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565" yWindow="-180" windowWidth="15705" windowHeight="12870" tabRatio="663"/>
  </bookViews>
  <sheets>
    <sheet name="Tabula Nr.1." sheetId="11" r:id="rId1"/>
    <sheet name="Tabula Nr.2" sheetId="18" r:id="rId2"/>
    <sheet name="Tabula Nr.3." sheetId="17" r:id="rId3"/>
    <sheet name="Sheet1" sheetId="13" state="hidden" r:id="rId4"/>
    <sheet name="Sheet1 (2)" sheetId="15" state="hidden" r:id="rId5"/>
  </sheets>
  <definedNames>
    <definedName name="_xlnm._FilterDatabase" localSheetId="0" hidden="1">'Tabula Nr.1.'!$A$6:$BL$12</definedName>
    <definedName name="_xlnm.Print_Area" localSheetId="4">'Sheet1 (2)'!$A$1:$T$287</definedName>
    <definedName name="_xlnm.Print_Area" localSheetId="0">'Tabula Nr.1.'!$A$1:$BL$211</definedName>
    <definedName name="_xlnm.Print_Area" localSheetId="1">'Tabula Nr.2'!$A$1:$M$48</definedName>
    <definedName name="_xlnm.Print_Titles" localSheetId="4">'Sheet1 (2)'!$3:$5</definedName>
    <definedName name="_xlnm.Print_Titles" localSheetId="0">'Tabula Nr.1.'!$A:$AY,'Tabula Nr.1.'!$6:$9</definedName>
    <definedName name="_xlnm.Print_Titles" localSheetId="1">'Tabula Nr.2'!$3:$7</definedName>
  </definedNames>
  <calcPr calcId="145621"/>
  <customWorkbookViews>
    <customWorkbookView name="fud-pieki - Personal View" guid="{BAE71775-BAF7-4075-956D-79F2B4C83DF2}" mergeInterval="0" personalView="1" maximized="1" xWindow="1" yWindow="1" windowWidth="1152" windowHeight="564" activeSheetId="2"/>
    <customWorkbookView name="fud-albin - Personal View" guid="{9BD5A339-659D-4DB6-9EE5-D64F079FAB4B}" mergeInterval="0" personalView="1" maximized="1" xWindow="1" yWindow="1" windowWidth="1280" windowHeight="740" activeSheetId="1"/>
    <customWorkbookView name="es-sparn - Personal View" guid="{5ECD4D5C-9A15-4126-AFD4-D8586884C9F1}" mergeInterval="0" personalView="1" maximized="1" xWindow="1" yWindow="1" windowWidth="1280" windowHeight="726" activeSheetId="1"/>
    <customWorkbookView name="es-murni - Personal View" guid="{E8B5ACD1-AF4F-425C-BC8F-24601639C119}" mergeInterval="0" personalView="1" maximized="1" xWindow="1" yWindow="1" windowWidth="1280" windowHeight="761" activeSheetId="4"/>
    <customWorkbookView name="it-berna - Personal View" guid="{266D37BA-F70B-4670-AA39-BEBF94364F31}" mergeInterval="0" personalView="1" maximized="1" xWindow="1" yWindow="1" windowWidth="1280" windowHeight="756" activeSheetId="2"/>
    <customWorkbookView name="es-muran - Personal View" guid="{A3B0767E-DE12-41A5-8D6F-9C6156DF23D4}" mergeInterval="0" personalView="1" maximized="1" xWindow="1" yWindow="1" windowWidth="1280" windowHeight="756" activeSheetId="2" showComments="commIndAndComment"/>
    <customWorkbookView name="ti - Personal View" guid="{7C04B03D-2B05-4C90-AA24-752095681C44}" mergeInterval="0" personalView="1" maximized="1" xWindow="1" yWindow="1" windowWidth="1152" windowHeight="600" activeSheetId="1"/>
  </customWorkbookViews>
</workbook>
</file>

<file path=xl/calcChain.xml><?xml version="1.0" encoding="utf-8"?>
<calcChain xmlns="http://schemas.openxmlformats.org/spreadsheetml/2006/main">
  <c r="AS196" i="11" l="1"/>
  <c r="L10" i="18" l="1"/>
  <c r="O12" i="17" l="1"/>
  <c r="BJ39" i="11" l="1"/>
  <c r="BI39" i="11"/>
  <c r="F39" i="11"/>
  <c r="G39" i="11"/>
  <c r="E39" i="11"/>
  <c r="BK196" i="11" l="1"/>
  <c r="BC196" i="11"/>
  <c r="BE196" i="11" s="1"/>
  <c r="AX196" i="11"/>
  <c r="AZ196" i="11" s="1"/>
  <c r="P196" i="11"/>
  <c r="S196" i="11" s="1"/>
  <c r="V196" i="11" s="1"/>
  <c r="Y196" i="11" s="1"/>
  <c r="AB196" i="11" s="1"/>
  <c r="AE196" i="11" s="1"/>
  <c r="AH196" i="11" s="1"/>
  <c r="AK196" i="11" s="1"/>
  <c r="AN196" i="11" s="1"/>
  <c r="AQ196" i="11" s="1"/>
  <c r="AT196" i="11" s="1"/>
  <c r="BI196" i="11" s="1"/>
  <c r="O196" i="11"/>
  <c r="R196" i="11" s="1"/>
  <c r="N196" i="11"/>
  <c r="J196" i="11"/>
  <c r="BK116" i="11"/>
  <c r="BC116" i="11"/>
  <c r="BE116" i="11" s="1"/>
  <c r="AX116" i="11"/>
  <c r="AZ116" i="11" s="1"/>
  <c r="P116" i="11"/>
  <c r="S116" i="11" s="1"/>
  <c r="V116" i="11" s="1"/>
  <c r="Y116" i="11" s="1"/>
  <c r="AB116" i="11" s="1"/>
  <c r="AE116" i="11" s="1"/>
  <c r="AH116" i="11" s="1"/>
  <c r="AK116" i="11" s="1"/>
  <c r="AN116" i="11" s="1"/>
  <c r="AQ116" i="11" s="1"/>
  <c r="AT116" i="11" s="1"/>
  <c r="BI116" i="11" s="1"/>
  <c r="O116" i="11"/>
  <c r="R116" i="11" s="1"/>
  <c r="N116" i="11"/>
  <c r="J116" i="11"/>
  <c r="BC113" i="11"/>
  <c r="BE113" i="11" s="1"/>
  <c r="BA113" i="11"/>
  <c r="BK113" i="11" s="1"/>
  <c r="AZ113" i="11"/>
  <c r="P113" i="11"/>
  <c r="S113" i="11" s="1"/>
  <c r="V113" i="11" s="1"/>
  <c r="Y113" i="11" s="1"/>
  <c r="AB113" i="11" s="1"/>
  <c r="AE113" i="11" s="1"/>
  <c r="AH113" i="11" s="1"/>
  <c r="AK113" i="11" s="1"/>
  <c r="AN113" i="11" s="1"/>
  <c r="AQ113" i="11" s="1"/>
  <c r="AT113" i="11" s="1"/>
  <c r="BI113" i="11" s="1"/>
  <c r="O113" i="11"/>
  <c r="R113" i="11" s="1"/>
  <c r="N113" i="11"/>
  <c r="J113" i="11"/>
  <c r="AF197" i="11"/>
  <c r="AC197" i="11"/>
  <c r="Z197" i="11"/>
  <c r="W197" i="11"/>
  <c r="T197" i="11"/>
  <c r="Q197" i="11"/>
  <c r="N197" i="11"/>
  <c r="U196" i="11" l="1"/>
  <c r="T196" i="11"/>
  <c r="Q196" i="11"/>
  <c r="U116" i="11"/>
  <c r="T116" i="11"/>
  <c r="Q116" i="11"/>
  <c r="U113" i="11"/>
  <c r="T113" i="11"/>
  <c r="Q113" i="11"/>
  <c r="BK62" i="11"/>
  <c r="BI62" i="11"/>
  <c r="BE62" i="11"/>
  <c r="BC62" i="11"/>
  <c r="AX62" i="11"/>
  <c r="AZ62" i="11" s="1"/>
  <c r="P62" i="11"/>
  <c r="S62" i="11" s="1"/>
  <c r="V62" i="11" s="1"/>
  <c r="Y62" i="11" s="1"/>
  <c r="AB62" i="11" s="1"/>
  <c r="AE62" i="11" s="1"/>
  <c r="AH62" i="11" s="1"/>
  <c r="AK62" i="11" s="1"/>
  <c r="AN62" i="11" s="1"/>
  <c r="AQ62" i="11" s="1"/>
  <c r="O62" i="11"/>
  <c r="R62" i="11" s="1"/>
  <c r="N62" i="11"/>
  <c r="J62" i="11"/>
  <c r="X196" i="11" l="1"/>
  <c r="W196" i="11"/>
  <c r="W116" i="11"/>
  <c r="X116" i="11"/>
  <c r="X113" i="11"/>
  <c r="W113" i="11"/>
  <c r="U62" i="11"/>
  <c r="T62" i="11"/>
  <c r="Q62" i="11"/>
  <c r="AR177" i="11"/>
  <c r="AO177" i="11"/>
  <c r="AL177" i="11"/>
  <c r="AI177" i="11"/>
  <c r="AF177" i="11"/>
  <c r="AC177" i="11"/>
  <c r="Z177" i="11"/>
  <c r="W177" i="11"/>
  <c r="T177" i="11"/>
  <c r="Q177" i="11"/>
  <c r="N177" i="11"/>
  <c r="Z196" i="11" l="1"/>
  <c r="AA196" i="11"/>
  <c r="AA116" i="11"/>
  <c r="Z116" i="11"/>
  <c r="Z113" i="11"/>
  <c r="AA113" i="11"/>
  <c r="W62" i="11"/>
  <c r="X62" i="11"/>
  <c r="D20" i="17"/>
  <c r="D6" i="17" s="1"/>
  <c r="E15" i="17"/>
  <c r="E12" i="17"/>
  <c r="E8" i="17"/>
  <c r="E10" i="17"/>
  <c r="E18" i="17"/>
  <c r="O18" i="17" s="1"/>
  <c r="E6" i="17" l="1"/>
  <c r="AD196" i="11"/>
  <c r="AC196" i="11"/>
  <c r="AD116" i="11"/>
  <c r="AC116" i="11"/>
  <c r="AD113" i="11"/>
  <c r="AC113" i="11"/>
  <c r="Z62" i="11"/>
  <c r="AA62" i="11"/>
  <c r="O17" i="17"/>
  <c r="AG196" i="11" l="1"/>
  <c r="AF196" i="11"/>
  <c r="AG116" i="11"/>
  <c r="AF116" i="11"/>
  <c r="AG113" i="11"/>
  <c r="AF113" i="11"/>
  <c r="AD62" i="11"/>
  <c r="AC62" i="11"/>
  <c r="F14" i="18"/>
  <c r="F13" i="18" s="1"/>
  <c r="G14" i="18"/>
  <c r="G13" i="18" s="1"/>
  <c r="H14" i="18"/>
  <c r="H13" i="18" s="1"/>
  <c r="I14" i="18"/>
  <c r="I13" i="18" s="1"/>
  <c r="J14" i="18"/>
  <c r="J13" i="18" s="1"/>
  <c r="K14" i="18"/>
  <c r="K13" i="18" s="1"/>
  <c r="F22" i="18"/>
  <c r="H22" i="18" s="1"/>
  <c r="J22" i="18" s="1"/>
  <c r="I22" i="18"/>
  <c r="K22" i="18" s="1"/>
  <c r="F23" i="18"/>
  <c r="I23" i="18"/>
  <c r="K23" i="18" s="1"/>
  <c r="G24" i="18"/>
  <c r="F25" i="18"/>
  <c r="I25" i="18"/>
  <c r="K25" i="18" s="1"/>
  <c r="J25" i="18" s="1"/>
  <c r="G26" i="18"/>
  <c r="I26" i="18" s="1"/>
  <c r="G27" i="18"/>
  <c r="I27" i="18" s="1"/>
  <c r="K27" i="18" s="1"/>
  <c r="G34" i="18"/>
  <c r="G33" i="18" s="1"/>
  <c r="F35" i="18"/>
  <c r="I35" i="18"/>
  <c r="H35" i="18" s="1"/>
  <c r="F36" i="18"/>
  <c r="H36" i="18"/>
  <c r="J36" i="18"/>
  <c r="AJ196" i="11" l="1"/>
  <c r="AI196" i="11"/>
  <c r="AI116" i="11"/>
  <c r="AJ116" i="11"/>
  <c r="AJ113" i="11"/>
  <c r="AI113" i="11"/>
  <c r="AG62" i="11"/>
  <c r="AF62" i="11"/>
  <c r="K35" i="18"/>
  <c r="J35" i="18" s="1"/>
  <c r="F24" i="18"/>
  <c r="H23" i="18"/>
  <c r="J23" i="18" s="1"/>
  <c r="F27" i="18"/>
  <c r="G28" i="18"/>
  <c r="G21" i="18" s="1"/>
  <c r="G20" i="18" s="1"/>
  <c r="K26" i="18"/>
  <c r="J26" i="18" s="1"/>
  <c r="H26" i="18"/>
  <c r="K10" i="18"/>
  <c r="G10" i="18"/>
  <c r="J27" i="18"/>
  <c r="K24" i="18"/>
  <c r="J10" i="18"/>
  <c r="F10" i="18"/>
  <c r="J24" i="18"/>
  <c r="I10" i="18"/>
  <c r="H10" i="18"/>
  <c r="F34" i="18"/>
  <c r="F33" i="18" s="1"/>
  <c r="H27" i="18"/>
  <c r="F26" i="18"/>
  <c r="H25" i="18"/>
  <c r="I24" i="18"/>
  <c r="I34" i="18"/>
  <c r="I28" i="18"/>
  <c r="C137" i="11"/>
  <c r="D137" i="11"/>
  <c r="E137" i="11"/>
  <c r="F137" i="11"/>
  <c r="G137" i="11"/>
  <c r="K137" i="11"/>
  <c r="L137" i="11"/>
  <c r="M137" i="11"/>
  <c r="N137" i="11"/>
  <c r="O137" i="11"/>
  <c r="P137" i="11"/>
  <c r="Q137" i="11"/>
  <c r="R137" i="11"/>
  <c r="S137" i="11"/>
  <c r="T137" i="11"/>
  <c r="U137" i="11"/>
  <c r="V137" i="11"/>
  <c r="W137" i="11"/>
  <c r="X137" i="11"/>
  <c r="Y137" i="11"/>
  <c r="Z137" i="11"/>
  <c r="AA137" i="11"/>
  <c r="AB137" i="11"/>
  <c r="AC137" i="11"/>
  <c r="AD137" i="11"/>
  <c r="AE137" i="11"/>
  <c r="AF137" i="11"/>
  <c r="AG137" i="11"/>
  <c r="AH137" i="11"/>
  <c r="AI137" i="11"/>
  <c r="AJ137" i="11"/>
  <c r="AK137" i="11"/>
  <c r="AL137" i="11"/>
  <c r="AM137" i="11"/>
  <c r="AN137" i="11"/>
  <c r="AO137" i="11"/>
  <c r="AP137" i="11"/>
  <c r="AQ137" i="11"/>
  <c r="AR137" i="11"/>
  <c r="AS137" i="11"/>
  <c r="AT137" i="11"/>
  <c r="AU137" i="11"/>
  <c r="AV137" i="11"/>
  <c r="AX137" i="11"/>
  <c r="AY137" i="11"/>
  <c r="AZ137" i="11"/>
  <c r="BA137" i="11"/>
  <c r="BC137" i="11"/>
  <c r="BD137" i="11"/>
  <c r="BE137" i="11"/>
  <c r="BF137" i="11"/>
  <c r="BH137" i="11"/>
  <c r="BI137" i="11"/>
  <c r="BJ137" i="11"/>
  <c r="BK137" i="11"/>
  <c r="AL196" i="11" l="1"/>
  <c r="AM196" i="11"/>
  <c r="AM116" i="11"/>
  <c r="AL116" i="11"/>
  <c r="AL113" i="11"/>
  <c r="AM113" i="11"/>
  <c r="AI62" i="11"/>
  <c r="AJ62" i="11"/>
  <c r="K28" i="18"/>
  <c r="H28" i="18"/>
  <c r="F28" i="18"/>
  <c r="F21" i="18" s="1"/>
  <c r="F20" i="18" s="1"/>
  <c r="F8" i="18" s="1"/>
  <c r="H24" i="18"/>
  <c r="G11" i="18"/>
  <c r="G8" i="18"/>
  <c r="I21" i="18"/>
  <c r="I33" i="18"/>
  <c r="K34" i="18"/>
  <c r="H34" i="18"/>
  <c r="H33" i="18" s="1"/>
  <c r="J28" i="18"/>
  <c r="L36" i="18"/>
  <c r="M24" i="18"/>
  <c r="L24" i="18"/>
  <c r="M14" i="18"/>
  <c r="M13" i="18" s="1"/>
  <c r="M10" i="18" s="1"/>
  <c r="L14" i="18"/>
  <c r="L13" i="18" s="1"/>
  <c r="AP196" i="11" l="1"/>
  <c r="AO196" i="11"/>
  <c r="AO116" i="11"/>
  <c r="AP116" i="11"/>
  <c r="AP113" i="11"/>
  <c r="AO113" i="11"/>
  <c r="AL62" i="11"/>
  <c r="AM62" i="11"/>
  <c r="H21" i="18"/>
  <c r="I20" i="18"/>
  <c r="I11" i="18" s="1"/>
  <c r="F11" i="18"/>
  <c r="H20" i="18"/>
  <c r="K33" i="18"/>
  <c r="J34" i="18"/>
  <c r="J33" i="18" s="1"/>
  <c r="M25" i="18"/>
  <c r="O20" i="17"/>
  <c r="O6" i="17" s="1"/>
  <c r="N20" i="17"/>
  <c r="M20" i="17"/>
  <c r="F20" i="17"/>
  <c r="H18" i="17"/>
  <c r="G18" i="17"/>
  <c r="F17" i="17"/>
  <c r="H17" i="17" s="1"/>
  <c r="H15" i="17"/>
  <c r="G15" i="17"/>
  <c r="H13" i="17"/>
  <c r="G13" i="17"/>
  <c r="C13" i="17"/>
  <c r="N12" i="17"/>
  <c r="M12" i="17"/>
  <c r="L6" i="17"/>
  <c r="K6" i="17"/>
  <c r="J6" i="17"/>
  <c r="I6" i="17"/>
  <c r="G12" i="17"/>
  <c r="H10" i="17"/>
  <c r="G10" i="17"/>
  <c r="H8" i="17"/>
  <c r="G8" i="17"/>
  <c r="AR196" i="11" l="1"/>
  <c r="AS116" i="11"/>
  <c r="AR116" i="11"/>
  <c r="AS113" i="11"/>
  <c r="AR113" i="11"/>
  <c r="AP62" i="11"/>
  <c r="AO62" i="11"/>
  <c r="I8" i="18"/>
  <c r="G20" i="17"/>
  <c r="C20" i="17"/>
  <c r="C6" i="17" s="1"/>
  <c r="N6" i="17"/>
  <c r="F6" i="17"/>
  <c r="H12" i="17"/>
  <c r="H6" i="17" s="1"/>
  <c r="M6" i="17"/>
  <c r="H11" i="18"/>
  <c r="H8" i="18"/>
  <c r="L25" i="18"/>
  <c r="M34" i="18"/>
  <c r="M35" i="18"/>
  <c r="G17" i="17"/>
  <c r="D35" i="18"/>
  <c r="D34" i="18"/>
  <c r="E33" i="18"/>
  <c r="C33" i="18"/>
  <c r="C20" i="18" s="1"/>
  <c r="C31" i="18"/>
  <c r="C30" i="18"/>
  <c r="C29" i="18"/>
  <c r="C27" i="18"/>
  <c r="C26" i="18"/>
  <c r="C25" i="18"/>
  <c r="C24" i="18"/>
  <c r="E21" i="18"/>
  <c r="D21" i="18"/>
  <c r="E14" i="18"/>
  <c r="E13" i="18" s="1"/>
  <c r="D14" i="18"/>
  <c r="D13" i="18" s="1"/>
  <c r="D10" i="18" s="1"/>
  <c r="C14" i="18"/>
  <c r="C13" i="18" s="1"/>
  <c r="BH196" i="11" l="1"/>
  <c r="AU196" i="11"/>
  <c r="AU116" i="11"/>
  <c r="BH116" i="11"/>
  <c r="BH113" i="11"/>
  <c r="AU113" i="11"/>
  <c r="AS62" i="11"/>
  <c r="AR62" i="11"/>
  <c r="G6" i="17"/>
  <c r="J29" i="18"/>
  <c r="J30" i="18"/>
  <c r="K30" i="18" s="1"/>
  <c r="D33" i="18"/>
  <c r="D20" i="18" s="1"/>
  <c r="M26" i="18"/>
  <c r="E20" i="18"/>
  <c r="E11" i="18" s="1"/>
  <c r="L31" i="18"/>
  <c r="M27" i="18"/>
  <c r="L35" i="18"/>
  <c r="L34" i="18"/>
  <c r="M33" i="18"/>
  <c r="C11" i="18"/>
  <c r="C8" i="18"/>
  <c r="C10" i="18"/>
  <c r="E10" i="18"/>
  <c r="C28" i="18"/>
  <c r="C32" i="18" s="1"/>
  <c r="BJ196" i="11" l="1"/>
  <c r="BJ116" i="11"/>
  <c r="BJ113" i="11"/>
  <c r="AU62" i="11"/>
  <c r="BH62" i="11"/>
  <c r="BJ62" i="11" s="1"/>
  <c r="K29" i="18"/>
  <c r="K21" i="18" s="1"/>
  <c r="K20" i="18" s="1"/>
  <c r="J21" i="18"/>
  <c r="J20" i="18" s="1"/>
  <c r="M31" i="18"/>
  <c r="D11" i="18"/>
  <c r="D8" i="18"/>
  <c r="E8" i="18"/>
  <c r="M30" i="18"/>
  <c r="L30" i="18"/>
  <c r="L29" i="18"/>
  <c r="M29" i="18"/>
  <c r="L26" i="18"/>
  <c r="L33" i="18"/>
  <c r="L27" i="18"/>
  <c r="M28" i="18"/>
  <c r="J11" i="18" l="1"/>
  <c r="J8" i="18"/>
  <c r="K11" i="18"/>
  <c r="K8" i="18"/>
  <c r="M21" i="18"/>
  <c r="M20" i="18" s="1"/>
  <c r="M11" i="18" s="1"/>
  <c r="L28" i="18"/>
  <c r="L21" i="18" s="1"/>
  <c r="L20" i="18" s="1"/>
  <c r="M8" i="18" l="1"/>
  <c r="L11" i="18"/>
  <c r="L8" i="18" s="1"/>
  <c r="BH163" i="11" l="1"/>
  <c r="BH164" i="11"/>
  <c r="BH171" i="11" l="1"/>
  <c r="BK170" i="11"/>
  <c r="BD170" i="11"/>
  <c r="BC170" i="11"/>
  <c r="BE170" i="11" s="1"/>
  <c r="AZ170" i="11"/>
  <c r="S170" i="11"/>
  <c r="V170" i="11" s="1"/>
  <c r="Y170" i="11" s="1"/>
  <c r="AB170" i="11" s="1"/>
  <c r="AE170" i="11" s="1"/>
  <c r="AH170" i="11" s="1"/>
  <c r="AK170" i="11" s="1"/>
  <c r="AN170" i="11" s="1"/>
  <c r="AQ170" i="11" s="1"/>
  <c r="AT170" i="11" s="1"/>
  <c r="O170" i="11"/>
  <c r="Q170" i="11" s="1"/>
  <c r="N170" i="11"/>
  <c r="J170" i="11"/>
  <c r="BI170" i="11" l="1"/>
  <c r="R170" i="11"/>
  <c r="U170" i="11" l="1"/>
  <c r="T170" i="11"/>
  <c r="W170" i="11" l="1"/>
  <c r="X170" i="11"/>
  <c r="AA170" i="11" l="1"/>
  <c r="Z170" i="11"/>
  <c r="AC170" i="11" l="1"/>
  <c r="AD170" i="11"/>
  <c r="AG170" i="11" l="1"/>
  <c r="AF170" i="11"/>
  <c r="AI170" i="11" l="1"/>
  <c r="AJ170" i="11"/>
  <c r="AM170" i="11" l="1"/>
  <c r="AL170" i="11"/>
  <c r="AO170" i="11" l="1"/>
  <c r="AP170" i="11"/>
  <c r="AS170" i="11" l="1"/>
  <c r="AR170" i="11"/>
  <c r="AU170" i="11" l="1"/>
  <c r="BH170" i="11"/>
  <c r="BJ170" i="11" s="1"/>
  <c r="BI165" i="11" l="1"/>
  <c r="BK165" i="11" l="1"/>
  <c r="BH165" i="11"/>
  <c r="BJ165" i="11" s="1"/>
  <c r="BE165" i="11"/>
  <c r="AZ165" i="11"/>
  <c r="AU165" i="11"/>
  <c r="AR165" i="11"/>
  <c r="AO165" i="11"/>
  <c r="AL165" i="11"/>
  <c r="AI165" i="11"/>
  <c r="AF165" i="11"/>
  <c r="AC165" i="11"/>
  <c r="Z165" i="11"/>
  <c r="W165" i="11"/>
  <c r="T165" i="11"/>
  <c r="Q165" i="11"/>
  <c r="N165" i="11"/>
  <c r="J165" i="11"/>
  <c r="C188" i="11" l="1"/>
  <c r="J110" i="11" l="1"/>
  <c r="J109" i="11"/>
  <c r="J108" i="11"/>
  <c r="J107" i="11"/>
  <c r="J106" i="11"/>
  <c r="J105" i="11"/>
  <c r="J104" i="11"/>
  <c r="J103" i="11"/>
  <c r="J102" i="11"/>
  <c r="J101" i="11"/>
  <c r="J100" i="11"/>
  <c r="J99" i="11"/>
  <c r="J98" i="11"/>
  <c r="J97" i="11"/>
  <c r="J96" i="11"/>
  <c r="J95" i="11"/>
  <c r="J94" i="11"/>
  <c r="J93" i="11"/>
  <c r="J92" i="11"/>
  <c r="J91" i="11"/>
  <c r="J90" i="11"/>
  <c r="J89" i="11"/>
  <c r="J159" i="11" l="1"/>
  <c r="N159" i="11"/>
  <c r="O159" i="11"/>
  <c r="Q159" i="11" s="1"/>
  <c r="AZ159" i="11"/>
  <c r="BE159" i="11"/>
  <c r="BI159" i="11"/>
  <c r="BK159" i="11"/>
  <c r="J160" i="11"/>
  <c r="N160" i="11"/>
  <c r="O160" i="11"/>
  <c r="Q160" i="11" s="1"/>
  <c r="AZ160" i="11"/>
  <c r="BE160" i="11"/>
  <c r="BI160" i="11"/>
  <c r="BK160" i="11"/>
  <c r="J161" i="11"/>
  <c r="N161" i="11"/>
  <c r="O161" i="11"/>
  <c r="R161" i="11" s="1"/>
  <c r="T161" i="11" s="1"/>
  <c r="AQ161" i="11"/>
  <c r="AT161" i="11" s="1"/>
  <c r="AZ161" i="11"/>
  <c r="BE161" i="11"/>
  <c r="BK161" i="11"/>
  <c r="R159" i="11" l="1"/>
  <c r="T159" i="11" s="1"/>
  <c r="Q161" i="11"/>
  <c r="U161" i="11"/>
  <c r="R160" i="11"/>
  <c r="BI161" i="11"/>
  <c r="U159" i="11" l="1"/>
  <c r="W159" i="11" s="1"/>
  <c r="T160" i="11"/>
  <c r="U160" i="11"/>
  <c r="W161" i="11"/>
  <c r="X161" i="11"/>
  <c r="X159" i="11" l="1"/>
  <c r="Z159" i="11" s="1"/>
  <c r="W160" i="11"/>
  <c r="X160" i="11"/>
  <c r="Z161" i="11"/>
  <c r="AA161" i="11"/>
  <c r="AA159" i="11" l="1"/>
  <c r="AC159" i="11" s="1"/>
  <c r="AD159" i="11"/>
  <c r="AC161" i="11"/>
  <c r="AD161" i="11"/>
  <c r="Z160" i="11"/>
  <c r="AA160" i="11"/>
  <c r="AF161" i="11" l="1"/>
  <c r="AG161" i="11"/>
  <c r="AI161" i="11" s="1"/>
  <c r="AJ161" i="11" s="1"/>
  <c r="AC160" i="11"/>
  <c r="AD160" i="11"/>
  <c r="AF159" i="11"/>
  <c r="AG159" i="11"/>
  <c r="AL161" i="11" l="1"/>
  <c r="AM161" i="11"/>
  <c r="AF160" i="11"/>
  <c r="AG160" i="11"/>
  <c r="AI159" i="11"/>
  <c r="AJ159" i="11"/>
  <c r="AI160" i="11" l="1"/>
  <c r="AJ160" i="11"/>
  <c r="AL159" i="11"/>
  <c r="AM159" i="11"/>
  <c r="AO161" i="11"/>
  <c r="AP161" i="11"/>
  <c r="AO159" i="11" l="1"/>
  <c r="AP159" i="11"/>
  <c r="AS161" i="11"/>
  <c r="AR161" i="11"/>
  <c r="AL160" i="11"/>
  <c r="AM160" i="11"/>
  <c r="BH161" i="11" l="1"/>
  <c r="AU161" i="11"/>
  <c r="AO160" i="11"/>
  <c r="AP160" i="11"/>
  <c r="AR159" i="11"/>
  <c r="AS159" i="11"/>
  <c r="AR160" i="11" l="1"/>
  <c r="AS160" i="11"/>
  <c r="AU159" i="11"/>
  <c r="BH159" i="11"/>
  <c r="BJ161" i="11"/>
  <c r="BJ159" i="11" l="1"/>
  <c r="AU160" i="11"/>
  <c r="BH160" i="11"/>
  <c r="BJ160" i="11" l="1"/>
  <c r="BK22" i="11" l="1"/>
  <c r="BK24" i="11"/>
  <c r="BK25" i="11"/>
  <c r="BK26" i="11"/>
  <c r="BK27" i="11"/>
  <c r="BK28" i="11"/>
  <c r="BK29" i="11"/>
  <c r="BK30" i="11"/>
  <c r="BK31" i="11"/>
  <c r="BK32" i="11"/>
  <c r="BK33" i="11"/>
  <c r="BK34" i="11"/>
  <c r="BK36" i="11"/>
  <c r="BK37" i="11"/>
  <c r="BK38" i="11"/>
  <c r="BK39" i="11"/>
  <c r="BK40" i="11"/>
  <c r="BK41" i="11"/>
  <c r="BK42" i="11"/>
  <c r="BK43" i="11"/>
  <c r="BK44" i="11"/>
  <c r="BK46" i="11"/>
  <c r="BK47" i="11"/>
  <c r="BK48" i="11"/>
  <c r="BK49" i="11"/>
  <c r="BK50" i="11"/>
  <c r="BK51" i="11"/>
  <c r="BK52" i="11"/>
  <c r="BK53" i="11"/>
  <c r="BK54" i="11"/>
  <c r="BK55" i="11"/>
  <c r="BK56" i="11"/>
  <c r="BK57" i="11"/>
  <c r="BK58" i="11"/>
  <c r="BK59" i="11"/>
  <c r="BK60" i="11"/>
  <c r="BK63" i="11"/>
  <c r="BK64" i="11"/>
  <c r="BK65" i="11"/>
  <c r="BK66" i="11"/>
  <c r="BK68" i="11"/>
  <c r="BK69" i="11"/>
  <c r="BK70" i="11"/>
  <c r="BK71" i="11"/>
  <c r="BK72" i="11"/>
  <c r="BK73" i="11"/>
  <c r="BK74" i="11"/>
  <c r="BK75" i="11"/>
  <c r="BK77" i="11"/>
  <c r="BK78" i="11"/>
  <c r="BK79" i="11"/>
  <c r="BK81" i="11"/>
  <c r="BK82" i="11"/>
  <c r="BK84" i="11"/>
  <c r="BK85" i="11"/>
  <c r="BK112" i="11"/>
  <c r="BK114" i="11"/>
  <c r="BK115" i="11"/>
  <c r="BK117" i="11"/>
  <c r="BK120" i="11"/>
  <c r="BK121" i="11"/>
  <c r="BK122" i="11"/>
  <c r="BK123" i="11"/>
  <c r="BK125" i="11"/>
  <c r="BK126" i="11"/>
  <c r="BK127" i="11"/>
  <c r="BK128" i="11"/>
  <c r="BK129" i="11"/>
  <c r="BK130" i="11"/>
  <c r="BK131" i="11"/>
  <c r="BK132" i="11"/>
  <c r="BK133" i="11"/>
  <c r="BK136" i="11"/>
  <c r="BK138" i="11"/>
  <c r="BK140" i="11"/>
  <c r="BK141" i="11"/>
  <c r="BK142" i="11"/>
  <c r="BK143" i="11"/>
  <c r="BK144" i="11"/>
  <c r="BK145" i="11"/>
  <c r="BK146" i="11"/>
  <c r="BK147" i="11"/>
  <c r="BK148" i="11"/>
  <c r="BK150" i="11"/>
  <c r="BK151" i="11"/>
  <c r="BK152" i="11"/>
  <c r="BK153" i="11"/>
  <c r="BK154" i="11"/>
  <c r="BK155" i="11"/>
  <c r="BK156" i="11"/>
  <c r="BK157" i="11"/>
  <c r="BK158" i="11"/>
  <c r="BK163" i="11"/>
  <c r="BK164" i="11"/>
  <c r="BK166" i="11"/>
  <c r="BK167" i="11"/>
  <c r="BK169" i="11"/>
  <c r="BK171" i="11"/>
  <c r="BK173" i="11"/>
  <c r="BK174" i="11"/>
  <c r="BK175" i="11"/>
  <c r="BK176" i="11"/>
  <c r="BK177" i="11"/>
  <c r="BK178" i="11"/>
  <c r="BK181" i="11"/>
  <c r="BK182" i="11"/>
  <c r="BK183" i="11"/>
  <c r="BK184" i="11"/>
  <c r="BK185" i="11"/>
  <c r="BK186" i="11"/>
  <c r="BK187" i="11"/>
  <c r="BK194" i="11"/>
  <c r="BK197" i="11"/>
  <c r="BK198" i="11"/>
  <c r="BK199" i="11"/>
  <c r="BK200" i="11"/>
  <c r="BK202" i="11"/>
  <c r="AM119" i="11" l="1"/>
  <c r="BD119" i="11"/>
  <c r="AY119" i="11"/>
  <c r="AT119" i="11"/>
  <c r="AS119" i="11"/>
  <c r="AQ119" i="11"/>
  <c r="AP119" i="11"/>
  <c r="AN119" i="11"/>
  <c r="AK119" i="11"/>
  <c r="AJ119" i="11"/>
  <c r="AH119" i="11"/>
  <c r="AG119" i="11"/>
  <c r="AE119" i="11"/>
  <c r="AD119" i="11"/>
  <c r="AT88" i="11"/>
  <c r="AS88" i="11"/>
  <c r="AH88" i="11"/>
  <c r="AG88" i="11"/>
  <c r="AR119" i="11" l="1"/>
  <c r="AF119" i="11"/>
  <c r="AL119" i="11"/>
  <c r="AO119" i="11"/>
  <c r="AI119" i="11"/>
  <c r="AU119" i="11"/>
  <c r="BH71" i="11"/>
  <c r="BH69" i="11"/>
  <c r="BJ69" i="11" s="1"/>
  <c r="BF201" i="11" l="1"/>
  <c r="BA201" i="11"/>
  <c r="BF188" i="11"/>
  <c r="BA188" i="11"/>
  <c r="BF180" i="11"/>
  <c r="BA180" i="11"/>
  <c r="BF172" i="11"/>
  <c r="BA172" i="11"/>
  <c r="BF168" i="11"/>
  <c r="BA168" i="11"/>
  <c r="BF162" i="11"/>
  <c r="BA162" i="11"/>
  <c r="BA149" i="11"/>
  <c r="BF149" i="11"/>
  <c r="BF139" i="11"/>
  <c r="BA139" i="11"/>
  <c r="BF135" i="11"/>
  <c r="BA135" i="11"/>
  <c r="BF124" i="11"/>
  <c r="BA124" i="11"/>
  <c r="BF119" i="11"/>
  <c r="BA119" i="11"/>
  <c r="BF88" i="11"/>
  <c r="BA88" i="11"/>
  <c r="BF83" i="11"/>
  <c r="BA83" i="11"/>
  <c r="BF80" i="11"/>
  <c r="BA80" i="11"/>
  <c r="BF76" i="11"/>
  <c r="BA76" i="11"/>
  <c r="BF67" i="11"/>
  <c r="BA67" i="11"/>
  <c r="BF45" i="11"/>
  <c r="BA45" i="11"/>
  <c r="BJ201" i="11"/>
  <c r="BJ200" i="11"/>
  <c r="BJ199" i="11"/>
  <c r="BJ197" i="11"/>
  <c r="BJ178" i="11"/>
  <c r="BJ177" i="11"/>
  <c r="BJ176" i="11"/>
  <c r="BJ175" i="11"/>
  <c r="BJ174" i="11"/>
  <c r="BJ173" i="11"/>
  <c r="BJ171" i="11"/>
  <c r="BJ169" i="11"/>
  <c r="BJ167" i="11"/>
  <c r="BJ166" i="11"/>
  <c r="BJ164" i="11"/>
  <c r="BJ163" i="11"/>
  <c r="BJ148" i="11"/>
  <c r="BJ147" i="11"/>
  <c r="BJ146" i="11"/>
  <c r="BJ144" i="11"/>
  <c r="BJ135" i="11"/>
  <c r="BJ133" i="11"/>
  <c r="BJ132" i="11"/>
  <c r="BJ131" i="11"/>
  <c r="BJ130" i="11"/>
  <c r="BJ129" i="11"/>
  <c r="BJ128" i="11"/>
  <c r="BJ127" i="11"/>
  <c r="BJ126" i="11"/>
  <c r="BJ125" i="11"/>
  <c r="BJ115" i="11"/>
  <c r="BJ114" i="11"/>
  <c r="BJ85" i="11"/>
  <c r="BJ84" i="11"/>
  <c r="BJ80" i="11"/>
  <c r="BJ79" i="11"/>
  <c r="BJ78" i="11"/>
  <c r="BJ77" i="11"/>
  <c r="BJ68" i="11"/>
  <c r="BJ67" i="11" s="1"/>
  <c r="BJ66" i="11"/>
  <c r="BJ65" i="11"/>
  <c r="BJ64" i="11"/>
  <c r="BJ41" i="11"/>
  <c r="BJ40" i="11"/>
  <c r="BJ37" i="11"/>
  <c r="BJ36" i="11"/>
  <c r="BJ32" i="11"/>
  <c r="BJ29" i="11"/>
  <c r="BJ28" i="11"/>
  <c r="BJ24" i="11"/>
  <c r="BJ22" i="11"/>
  <c r="BE201" i="11"/>
  <c r="BE200" i="11"/>
  <c r="BE199" i="11"/>
  <c r="BE198" i="11"/>
  <c r="BE197" i="11"/>
  <c r="BE194" i="11"/>
  <c r="BE187" i="11"/>
  <c r="BE186" i="11"/>
  <c r="BE185" i="11"/>
  <c r="BE184" i="11"/>
  <c r="BE183" i="11"/>
  <c r="BE182" i="11"/>
  <c r="BE181" i="11"/>
  <c r="BE178" i="11"/>
  <c r="BE177" i="11"/>
  <c r="BE176" i="11"/>
  <c r="BE175" i="11"/>
  <c r="BE174" i="11"/>
  <c r="BE173" i="11"/>
  <c r="BE171" i="11"/>
  <c r="BE169" i="11"/>
  <c r="BE167" i="11"/>
  <c r="BE166" i="11"/>
  <c r="BE164" i="11"/>
  <c r="BE163" i="11"/>
  <c r="BE158" i="11"/>
  <c r="BE156" i="11"/>
  <c r="BE155" i="11"/>
  <c r="BE154" i="11"/>
  <c r="BE153" i="11"/>
  <c r="BE152" i="11"/>
  <c r="BE151" i="11"/>
  <c r="BE150" i="11"/>
  <c r="BE148" i="11"/>
  <c r="BE147" i="11"/>
  <c r="BE146" i="11"/>
  <c r="BE145" i="11"/>
  <c r="BE144" i="11"/>
  <c r="BE143" i="11"/>
  <c r="BE142" i="11"/>
  <c r="BE141" i="11"/>
  <c r="BE140" i="11"/>
  <c r="BE135" i="11"/>
  <c r="BE134" i="11" s="1"/>
  <c r="BE133" i="11"/>
  <c r="BE132" i="11"/>
  <c r="BE131" i="11"/>
  <c r="BE130" i="11"/>
  <c r="BE129" i="11"/>
  <c r="BE128" i="11"/>
  <c r="BE127" i="11"/>
  <c r="BE126" i="11"/>
  <c r="BE125" i="11"/>
  <c r="BE123" i="11"/>
  <c r="BE121" i="11"/>
  <c r="BE117" i="11"/>
  <c r="BE115" i="11"/>
  <c r="BE114" i="11"/>
  <c r="BE112" i="11"/>
  <c r="BE85" i="11"/>
  <c r="BE83" i="11" s="1"/>
  <c r="BE84" i="11"/>
  <c r="BE80" i="11"/>
  <c r="BE79" i="11"/>
  <c r="BE78" i="11"/>
  <c r="BE77" i="11"/>
  <c r="BE68" i="11"/>
  <c r="BE67" i="11" s="1"/>
  <c r="BE66" i="11"/>
  <c r="BE65" i="11"/>
  <c r="BE64" i="11"/>
  <c r="BE63" i="11"/>
  <c r="BE60" i="11"/>
  <c r="BE59" i="11"/>
  <c r="BE58" i="11"/>
  <c r="BE57" i="11"/>
  <c r="BE56" i="11"/>
  <c r="BE55" i="11"/>
  <c r="BE54" i="11"/>
  <c r="BE53" i="11"/>
  <c r="BE52" i="11"/>
  <c r="BE51" i="11"/>
  <c r="BE50" i="11"/>
  <c r="BE49" i="11"/>
  <c r="BE48" i="11"/>
  <c r="BE47" i="11"/>
  <c r="BE46" i="11"/>
  <c r="BE44" i="11"/>
  <c r="BE43" i="11"/>
  <c r="BE42" i="11"/>
  <c r="BE41" i="11"/>
  <c r="BE40" i="11"/>
  <c r="BE39" i="11"/>
  <c r="BE38" i="11"/>
  <c r="BE37" i="11"/>
  <c r="BE36" i="11"/>
  <c r="BE35" i="11"/>
  <c r="BE34" i="11"/>
  <c r="BE33" i="11"/>
  <c r="BE32" i="11"/>
  <c r="BE31" i="11"/>
  <c r="BE30" i="11"/>
  <c r="BE29" i="11"/>
  <c r="BE28" i="11"/>
  <c r="BE27" i="11"/>
  <c r="BE26" i="11"/>
  <c r="BE24" i="11"/>
  <c r="BE23" i="11"/>
  <c r="BE22" i="11"/>
  <c r="AZ201" i="11"/>
  <c r="AZ200" i="11"/>
  <c r="AZ199" i="11"/>
  <c r="AZ198" i="11"/>
  <c r="AZ197" i="11"/>
  <c r="AZ194" i="11"/>
  <c r="AZ187" i="11"/>
  <c r="AZ186" i="11"/>
  <c r="AZ185" i="11"/>
  <c r="AZ184" i="11"/>
  <c r="AZ183" i="11"/>
  <c r="AZ182" i="11"/>
  <c r="AZ181" i="11"/>
  <c r="AZ178" i="11"/>
  <c r="AZ177" i="11"/>
  <c r="AZ176" i="11"/>
  <c r="AZ175" i="11"/>
  <c r="AZ174" i="11"/>
  <c r="AZ173" i="11"/>
  <c r="AZ171" i="11"/>
  <c r="AZ169" i="11"/>
  <c r="AZ167" i="11"/>
  <c r="AZ166" i="11"/>
  <c r="AZ164" i="11"/>
  <c r="AZ163" i="11"/>
  <c r="AZ158" i="11"/>
  <c r="AZ156" i="11"/>
  <c r="AZ155" i="11"/>
  <c r="AZ154" i="11"/>
  <c r="AZ153" i="11"/>
  <c r="AZ152" i="11"/>
  <c r="AZ151" i="11"/>
  <c r="AZ148" i="11"/>
  <c r="AZ147" i="11"/>
  <c r="AZ146" i="11"/>
  <c r="AZ145" i="11"/>
  <c r="AZ144" i="11"/>
  <c r="AZ143" i="11"/>
  <c r="AZ142" i="11"/>
  <c r="AZ141" i="11"/>
  <c r="AZ140" i="11"/>
  <c r="AZ135" i="11"/>
  <c r="AZ134" i="11" s="1"/>
  <c r="AZ133" i="11"/>
  <c r="AZ132" i="11"/>
  <c r="AZ131" i="11"/>
  <c r="AZ130" i="11"/>
  <c r="AZ129" i="11"/>
  <c r="AZ128" i="11"/>
  <c r="AZ127" i="11"/>
  <c r="AZ126" i="11"/>
  <c r="AZ125" i="11"/>
  <c r="AZ123" i="11"/>
  <c r="AZ121" i="11"/>
  <c r="AZ117" i="11"/>
  <c r="AZ115" i="11"/>
  <c r="AZ114" i="11"/>
  <c r="AZ85" i="11"/>
  <c r="AZ84" i="11"/>
  <c r="AZ80" i="11"/>
  <c r="AZ79" i="11"/>
  <c r="AZ78" i="11"/>
  <c r="AZ77" i="11"/>
  <c r="AZ68" i="11"/>
  <c r="AZ67" i="11" s="1"/>
  <c r="AZ66" i="11"/>
  <c r="AZ65" i="11"/>
  <c r="AZ64" i="11"/>
  <c r="AZ63" i="11"/>
  <c r="AZ60" i="11"/>
  <c r="AZ59" i="11"/>
  <c r="AZ58" i="11"/>
  <c r="AZ57" i="11"/>
  <c r="AZ56" i="11"/>
  <c r="AZ55" i="11"/>
  <c r="AZ54" i="11"/>
  <c r="AZ53" i="11"/>
  <c r="AZ51" i="11"/>
  <c r="AZ50" i="11"/>
  <c r="AZ49" i="11"/>
  <c r="AZ48" i="11"/>
  <c r="AZ47" i="11"/>
  <c r="AZ46" i="11"/>
  <c r="AZ41" i="11"/>
  <c r="AZ40" i="11"/>
  <c r="AZ39" i="11"/>
  <c r="AZ38" i="11"/>
  <c r="AZ37" i="11"/>
  <c r="AZ36" i="11"/>
  <c r="AZ34" i="11"/>
  <c r="AZ33" i="11"/>
  <c r="AZ32" i="11"/>
  <c r="AZ29" i="11"/>
  <c r="AZ28" i="11"/>
  <c r="AZ27" i="11"/>
  <c r="AZ24" i="11"/>
  <c r="AZ22" i="11"/>
  <c r="AV201" i="11"/>
  <c r="AV188" i="11"/>
  <c r="AV180" i="11"/>
  <c r="AV172" i="11"/>
  <c r="AV168" i="11"/>
  <c r="AV162" i="11"/>
  <c r="AV149" i="11"/>
  <c r="AV139" i="11"/>
  <c r="AV135" i="11"/>
  <c r="AV124" i="11"/>
  <c r="AV119" i="11"/>
  <c r="AV88" i="11"/>
  <c r="AV83" i="11"/>
  <c r="AV80" i="11"/>
  <c r="AV76" i="11"/>
  <c r="AV67" i="11"/>
  <c r="AV45" i="11"/>
  <c r="AU201" i="11"/>
  <c r="AU200" i="11"/>
  <c r="AU199" i="11"/>
  <c r="AU197" i="11"/>
  <c r="AU194" i="11"/>
  <c r="AU187" i="11"/>
  <c r="AU185" i="11"/>
  <c r="AU184" i="11"/>
  <c r="AU183" i="11"/>
  <c r="AU182" i="11"/>
  <c r="AU178" i="11"/>
  <c r="AU177" i="11"/>
  <c r="AU176" i="11"/>
  <c r="AU175" i="11"/>
  <c r="AU174" i="11"/>
  <c r="AU173" i="11"/>
  <c r="AU171" i="11"/>
  <c r="AU169" i="11"/>
  <c r="AU167" i="11"/>
  <c r="AU166" i="11"/>
  <c r="AU164" i="11"/>
  <c r="AU163" i="11"/>
  <c r="AU158" i="11"/>
  <c r="AU157" i="11"/>
  <c r="AU156" i="11"/>
  <c r="AU152" i="11"/>
  <c r="AU148" i="11"/>
  <c r="AU147" i="11"/>
  <c r="AU146" i="11"/>
  <c r="AU144" i="11"/>
  <c r="AU135" i="11"/>
  <c r="AU134" i="11" s="1"/>
  <c r="AU133" i="11"/>
  <c r="AU132" i="11"/>
  <c r="AU131" i="11"/>
  <c r="AU130" i="11"/>
  <c r="AU129" i="11"/>
  <c r="AU128" i="11"/>
  <c r="AU127" i="11"/>
  <c r="AU126" i="11"/>
  <c r="AU125" i="11"/>
  <c r="AU123" i="11"/>
  <c r="AU122" i="11"/>
  <c r="AU121" i="11"/>
  <c r="AU120" i="11"/>
  <c r="AU115" i="11"/>
  <c r="AU114" i="11"/>
  <c r="AU85" i="11"/>
  <c r="AU84" i="11"/>
  <c r="AU80" i="11"/>
  <c r="AU79" i="11"/>
  <c r="AU78" i="11"/>
  <c r="AU77" i="11"/>
  <c r="AU68" i="11"/>
  <c r="AU67" i="11" s="1"/>
  <c r="AU66" i="11"/>
  <c r="AU65" i="11"/>
  <c r="AU64" i="11"/>
  <c r="AU63" i="11"/>
  <c r="AU60" i="11"/>
  <c r="AU59" i="11"/>
  <c r="AU58" i="11"/>
  <c r="AU57" i="11"/>
  <c r="AU56" i="11"/>
  <c r="AU55" i="11"/>
  <c r="AU54" i="11"/>
  <c r="AU53" i="11"/>
  <c r="AU52" i="11"/>
  <c r="AU51" i="11"/>
  <c r="AU50" i="11"/>
  <c r="AU49" i="11"/>
  <c r="AU48" i="11"/>
  <c r="AU47" i="11"/>
  <c r="AU46" i="11"/>
  <c r="AU41" i="11"/>
  <c r="AU40" i="11"/>
  <c r="AU37" i="11"/>
  <c r="AU36" i="11"/>
  <c r="AU32" i="11"/>
  <c r="AU29" i="11"/>
  <c r="AU28" i="11"/>
  <c r="AU24" i="11"/>
  <c r="AU22" i="11"/>
  <c r="AR201" i="11"/>
  <c r="AR200" i="11"/>
  <c r="AR199" i="11"/>
  <c r="AR197" i="11"/>
  <c r="AR194" i="11"/>
  <c r="AR185" i="11"/>
  <c r="AR184" i="11"/>
  <c r="AR183" i="11"/>
  <c r="AR182" i="11"/>
  <c r="AR181" i="11"/>
  <c r="AR178" i="11"/>
  <c r="AR176" i="11"/>
  <c r="AR175" i="11"/>
  <c r="AR174" i="11"/>
  <c r="AR173" i="11"/>
  <c r="AR171" i="11"/>
  <c r="AR169" i="11"/>
  <c r="AR167" i="11"/>
  <c r="AR166" i="11"/>
  <c r="AR164" i="11"/>
  <c r="AR163" i="11"/>
  <c r="AR158" i="11"/>
  <c r="AR157" i="11"/>
  <c r="AR156" i="11"/>
  <c r="AR148" i="11"/>
  <c r="AR147" i="11"/>
  <c r="AR146" i="11"/>
  <c r="AR144" i="11"/>
  <c r="AR135" i="11"/>
  <c r="AR134" i="11" s="1"/>
  <c r="AR133" i="11"/>
  <c r="AR132" i="11"/>
  <c r="AR131" i="11"/>
  <c r="AR130" i="11"/>
  <c r="AR129" i="11"/>
  <c r="AR128" i="11"/>
  <c r="AR127" i="11"/>
  <c r="AR126" i="11"/>
  <c r="AR125" i="11"/>
  <c r="AR123" i="11"/>
  <c r="AR122" i="11"/>
  <c r="AR121" i="11"/>
  <c r="AR120" i="11"/>
  <c r="AR115" i="11"/>
  <c r="AR114" i="11"/>
  <c r="AR85" i="11"/>
  <c r="AR84" i="11"/>
  <c r="AR80" i="11"/>
  <c r="AR79" i="11"/>
  <c r="AR78" i="11"/>
  <c r="AR77" i="11"/>
  <c r="AR68" i="11"/>
  <c r="AR67" i="11" s="1"/>
  <c r="AR66" i="11"/>
  <c r="AR65" i="11"/>
  <c r="AR64" i="11"/>
  <c r="AR63" i="11"/>
  <c r="AR60" i="11"/>
  <c r="AR59" i="11"/>
  <c r="AR58" i="11"/>
  <c r="AR57" i="11"/>
  <c r="AR56" i="11"/>
  <c r="AR55" i="11"/>
  <c r="AR54" i="11"/>
  <c r="AR53" i="11"/>
  <c r="AR52" i="11"/>
  <c r="AR51" i="11"/>
  <c r="AR50" i="11"/>
  <c r="AR49" i="11"/>
  <c r="AR48" i="11"/>
  <c r="AR47" i="11"/>
  <c r="AR46" i="11"/>
  <c r="AR41" i="11"/>
  <c r="AR40" i="11"/>
  <c r="AR37" i="11"/>
  <c r="AR36" i="11"/>
  <c r="AR32" i="11"/>
  <c r="AR29" i="11"/>
  <c r="AR28" i="11"/>
  <c r="AR24" i="11"/>
  <c r="AR22" i="11"/>
  <c r="AO201" i="11"/>
  <c r="AO200" i="11"/>
  <c r="AO199" i="11"/>
  <c r="AO197" i="11"/>
  <c r="AO194" i="11"/>
  <c r="AO188" i="11" s="1"/>
  <c r="AO187" i="11"/>
  <c r="AO186" i="11"/>
  <c r="AO185" i="11"/>
  <c r="AO184" i="11"/>
  <c r="AO183" i="11"/>
  <c r="AO182" i="11"/>
  <c r="AO178" i="11"/>
  <c r="AO176" i="11"/>
  <c r="AO175" i="11"/>
  <c r="AO174" i="11"/>
  <c r="AO173" i="11"/>
  <c r="AO171" i="11"/>
  <c r="AO169" i="11"/>
  <c r="AO167" i="11"/>
  <c r="AO166" i="11"/>
  <c r="AO164" i="11"/>
  <c r="AO163" i="11"/>
  <c r="AO158" i="11"/>
  <c r="AO157" i="11"/>
  <c r="AO156" i="11"/>
  <c r="AO154" i="11"/>
  <c r="AO152" i="11"/>
  <c r="AO148" i="11"/>
  <c r="AO147" i="11"/>
  <c r="AO146" i="11"/>
  <c r="AO144" i="11"/>
  <c r="AO135" i="11"/>
  <c r="AO133" i="11"/>
  <c r="AO132" i="11"/>
  <c r="AO131" i="11"/>
  <c r="AO130" i="11"/>
  <c r="AO129" i="11"/>
  <c r="AO128" i="11"/>
  <c r="AO127" i="11"/>
  <c r="AO126" i="11"/>
  <c r="AO125" i="11"/>
  <c r="AO123" i="11"/>
  <c r="AO122" i="11"/>
  <c r="AO121" i="11"/>
  <c r="AO120" i="11"/>
  <c r="AO115" i="11"/>
  <c r="AO114" i="11"/>
  <c r="AO85" i="11"/>
  <c r="AO84" i="11"/>
  <c r="AO80" i="11"/>
  <c r="AO79" i="11"/>
  <c r="AO78" i="11"/>
  <c r="AO77" i="11"/>
  <c r="AO68" i="11"/>
  <c r="AO67" i="11" s="1"/>
  <c r="AO66" i="11"/>
  <c r="AO65" i="11"/>
  <c r="AO64" i="11"/>
  <c r="AO63" i="11"/>
  <c r="AO60" i="11"/>
  <c r="AO59" i="11"/>
  <c r="AO58" i="11"/>
  <c r="AO57" i="11"/>
  <c r="AO56" i="11"/>
  <c r="AO55" i="11"/>
  <c r="AO54" i="11"/>
  <c r="AO53" i="11"/>
  <c r="AO52" i="11"/>
  <c r="AO51" i="11"/>
  <c r="AO50" i="11"/>
  <c r="AO49" i="11"/>
  <c r="AO48" i="11"/>
  <c r="AO47" i="11"/>
  <c r="AO46" i="11"/>
  <c r="AO41" i="11"/>
  <c r="AO40" i="11"/>
  <c r="AO37" i="11"/>
  <c r="AO36" i="11"/>
  <c r="AO32" i="11"/>
  <c r="AO29" i="11"/>
  <c r="AO28" i="11"/>
  <c r="AO24" i="11"/>
  <c r="AO22" i="11"/>
  <c r="AL201" i="11"/>
  <c r="AL200" i="11"/>
  <c r="AL199" i="11"/>
  <c r="AL197" i="11"/>
  <c r="AL194" i="11"/>
  <c r="AL185" i="11"/>
  <c r="AL184" i="11"/>
  <c r="AL183" i="11"/>
  <c r="AL182" i="11"/>
  <c r="AL178" i="11"/>
  <c r="AL176" i="11"/>
  <c r="AL175" i="11"/>
  <c r="AL174" i="11"/>
  <c r="AL173" i="11"/>
  <c r="AL171" i="11"/>
  <c r="AL169" i="11"/>
  <c r="AL167" i="11"/>
  <c r="AL166" i="11"/>
  <c r="AL164" i="11"/>
  <c r="AL163" i="11"/>
  <c r="AL158" i="11"/>
  <c r="AL157" i="11"/>
  <c r="AL156" i="11"/>
  <c r="AL154" i="11"/>
  <c r="AL150" i="11"/>
  <c r="AL148" i="11"/>
  <c r="AL147" i="11"/>
  <c r="AL146" i="11"/>
  <c r="AL144" i="11"/>
  <c r="AL135" i="11"/>
  <c r="AL133" i="11"/>
  <c r="AL132" i="11"/>
  <c r="AL131" i="11"/>
  <c r="AL130" i="11"/>
  <c r="AL129" i="11"/>
  <c r="AL128" i="11"/>
  <c r="AL127" i="11"/>
  <c r="AL126" i="11"/>
  <c r="AL125" i="11"/>
  <c r="AL123" i="11"/>
  <c r="AL122" i="11"/>
  <c r="AL121" i="11"/>
  <c r="AL120" i="11"/>
  <c r="AL115" i="11"/>
  <c r="AL114" i="11"/>
  <c r="AL88" i="11"/>
  <c r="AL85" i="11"/>
  <c r="AL84" i="11"/>
  <c r="AL80" i="11"/>
  <c r="AL79" i="11"/>
  <c r="AL78" i="11"/>
  <c r="AL77" i="11"/>
  <c r="AL68" i="11"/>
  <c r="AL67" i="11" s="1"/>
  <c r="AL66" i="11"/>
  <c r="AL65" i="11"/>
  <c r="AL64" i="11"/>
  <c r="AL63" i="11"/>
  <c r="AL60" i="11"/>
  <c r="AL59" i="11"/>
  <c r="AL58" i="11"/>
  <c r="AL57" i="11"/>
  <c r="AL56" i="11"/>
  <c r="AL55" i="11"/>
  <c r="AL54" i="11"/>
  <c r="AL53" i="11"/>
  <c r="AL52" i="11"/>
  <c r="AL51" i="11"/>
  <c r="AL50" i="11"/>
  <c r="AL49" i="11"/>
  <c r="AL48" i="11"/>
  <c r="AL47" i="11"/>
  <c r="AL46" i="11"/>
  <c r="AL41" i="11"/>
  <c r="AL40" i="11"/>
  <c r="AL37" i="11"/>
  <c r="AL36" i="11"/>
  <c r="AL32" i="11"/>
  <c r="AL29" i="11"/>
  <c r="AL28" i="11"/>
  <c r="AL24" i="11"/>
  <c r="AL22" i="11"/>
  <c r="AI201" i="11"/>
  <c r="AI200" i="11"/>
  <c r="AI199" i="11"/>
  <c r="AI197" i="11"/>
  <c r="AI194" i="11"/>
  <c r="AI188" i="11"/>
  <c r="AI185" i="11"/>
  <c r="AI184" i="11"/>
  <c r="AI183" i="11"/>
  <c r="AI182" i="11"/>
  <c r="AI181" i="11"/>
  <c r="AI178" i="11"/>
  <c r="AI176" i="11"/>
  <c r="AI175" i="11"/>
  <c r="AI174" i="11"/>
  <c r="AI173" i="11"/>
  <c r="AI171" i="11"/>
  <c r="AI169" i="11"/>
  <c r="AI167" i="11"/>
  <c r="AI166" i="11"/>
  <c r="AI164" i="11"/>
  <c r="AI163" i="11"/>
  <c r="AI158" i="11"/>
  <c r="AI157" i="11"/>
  <c r="AI156" i="11"/>
  <c r="AI154" i="11"/>
  <c r="AI150" i="11"/>
  <c r="AI148" i="11"/>
  <c r="AI147" i="11"/>
  <c r="AI146" i="11"/>
  <c r="AI144" i="11"/>
  <c r="AI135" i="11"/>
  <c r="AI133" i="11"/>
  <c r="AI132" i="11"/>
  <c r="AI131" i="11"/>
  <c r="AI130" i="11"/>
  <c r="AI129" i="11"/>
  <c r="AI128" i="11"/>
  <c r="AI127" i="11"/>
  <c r="AI126" i="11"/>
  <c r="AI125" i="11"/>
  <c r="AI123" i="11"/>
  <c r="AI122" i="11"/>
  <c r="AI121" i="11"/>
  <c r="AI120" i="11"/>
  <c r="AI115" i="11"/>
  <c r="AI114" i="11"/>
  <c r="AI85" i="11"/>
  <c r="AI84" i="11"/>
  <c r="AI80" i="11"/>
  <c r="AI79" i="11"/>
  <c r="AI78" i="11"/>
  <c r="AI77" i="11"/>
  <c r="AI68" i="11"/>
  <c r="AI67" i="11" s="1"/>
  <c r="AI66" i="11"/>
  <c r="AI65" i="11"/>
  <c r="AI64" i="11"/>
  <c r="AI63" i="11"/>
  <c r="AI60" i="11"/>
  <c r="AI59" i="11"/>
  <c r="AI58" i="11"/>
  <c r="AI57" i="11"/>
  <c r="AI56" i="11"/>
  <c r="AI55" i="11"/>
  <c r="AI54" i="11"/>
  <c r="AI53" i="11"/>
  <c r="AI52" i="11"/>
  <c r="AI51" i="11"/>
  <c r="AI50" i="11"/>
  <c r="AI49" i="11"/>
  <c r="AI48" i="11"/>
  <c r="AI47" i="11"/>
  <c r="AI46" i="11"/>
  <c r="AI41" i="11"/>
  <c r="AI40" i="11"/>
  <c r="AI37" i="11"/>
  <c r="AI36" i="11"/>
  <c r="AI32" i="11"/>
  <c r="AI29" i="11"/>
  <c r="AI28" i="11"/>
  <c r="AI24" i="11"/>
  <c r="AI22" i="11"/>
  <c r="AF201" i="11"/>
  <c r="AF200" i="11"/>
  <c r="AF199" i="11"/>
  <c r="AF194" i="11"/>
  <c r="AF187" i="11"/>
  <c r="AF186" i="11"/>
  <c r="AF185" i="11"/>
  <c r="AF184" i="11"/>
  <c r="AF183" i="11"/>
  <c r="AF182" i="11"/>
  <c r="AF178" i="11"/>
  <c r="AF176" i="11"/>
  <c r="AF175" i="11"/>
  <c r="AF174" i="11"/>
  <c r="AF173" i="11"/>
  <c r="AF171" i="11"/>
  <c r="AF169" i="11"/>
  <c r="AF167" i="11"/>
  <c r="AF166" i="11"/>
  <c r="AF164" i="11"/>
  <c r="AF163" i="11"/>
  <c r="AF158" i="11"/>
  <c r="AF157" i="11"/>
  <c r="AF156" i="11"/>
  <c r="AF154" i="11"/>
  <c r="AF152" i="11"/>
  <c r="AF150" i="11"/>
  <c r="AF148" i="11"/>
  <c r="AF147" i="11"/>
  <c r="AF146" i="11"/>
  <c r="AF144" i="11"/>
  <c r="AF135" i="11"/>
  <c r="AF133" i="11"/>
  <c r="AF132" i="11"/>
  <c r="AF131" i="11"/>
  <c r="AF130" i="11"/>
  <c r="AF129" i="11"/>
  <c r="AF128" i="11"/>
  <c r="AF127" i="11"/>
  <c r="AF126" i="11"/>
  <c r="AF125" i="11"/>
  <c r="AF123" i="11"/>
  <c r="AF122" i="11"/>
  <c r="AF121" i="11"/>
  <c r="AF120" i="11"/>
  <c r="AF115" i="11"/>
  <c r="AF114" i="11"/>
  <c r="AF85" i="11"/>
  <c r="AF84" i="11"/>
  <c r="AF80" i="11"/>
  <c r="AF79" i="11"/>
  <c r="AF78" i="11"/>
  <c r="AF77" i="11"/>
  <c r="AF68" i="11"/>
  <c r="AF67" i="11" s="1"/>
  <c r="AF66" i="11"/>
  <c r="AF65" i="11"/>
  <c r="AF64" i="11"/>
  <c r="AF63" i="11"/>
  <c r="AF60" i="11"/>
  <c r="AF59" i="11"/>
  <c r="AF58" i="11"/>
  <c r="AF57" i="11"/>
  <c r="AF56" i="11"/>
  <c r="AF55" i="11"/>
  <c r="AF54" i="11"/>
  <c r="AF53" i="11"/>
  <c r="AF52" i="11"/>
  <c r="AF51" i="11"/>
  <c r="AF50" i="11"/>
  <c r="AF49" i="11"/>
  <c r="AF48" i="11"/>
  <c r="AF47" i="11"/>
  <c r="AF46" i="11"/>
  <c r="AF41" i="11"/>
  <c r="AF40" i="11"/>
  <c r="AF37" i="11"/>
  <c r="AF36" i="11"/>
  <c r="AF32" i="11"/>
  <c r="AF29" i="11"/>
  <c r="AF28" i="11"/>
  <c r="AF24" i="11"/>
  <c r="AF22" i="11"/>
  <c r="AC201" i="11"/>
  <c r="AC200" i="11"/>
  <c r="AC199" i="11"/>
  <c r="AC194" i="11"/>
  <c r="AC185" i="11"/>
  <c r="AC183" i="11"/>
  <c r="AC182" i="11"/>
  <c r="AC178" i="11"/>
  <c r="AC176" i="11"/>
  <c r="AC175" i="11"/>
  <c r="AC174" i="11"/>
  <c r="AC173" i="11"/>
  <c r="AC171" i="11"/>
  <c r="AC169" i="11"/>
  <c r="AC167" i="11"/>
  <c r="AC166" i="11"/>
  <c r="AC164" i="11"/>
  <c r="AC163" i="11"/>
  <c r="AC158" i="11"/>
  <c r="AC157" i="11"/>
  <c r="AC156" i="11"/>
  <c r="AC154" i="11"/>
  <c r="AC150" i="11"/>
  <c r="AC148" i="11"/>
  <c r="AC147" i="11"/>
  <c r="AC146" i="11"/>
  <c r="AC144" i="11"/>
  <c r="AC135" i="11"/>
  <c r="AC134" i="11" s="1"/>
  <c r="AC133" i="11"/>
  <c r="AC132" i="11"/>
  <c r="AC131" i="11"/>
  <c r="AC130" i="11"/>
  <c r="AC129" i="11"/>
  <c r="AC128" i="11"/>
  <c r="AC127" i="11"/>
  <c r="AC126" i="11"/>
  <c r="AC125" i="11"/>
  <c r="AC123" i="11"/>
  <c r="AC122" i="11"/>
  <c r="AC121" i="11"/>
  <c r="AC120" i="11"/>
  <c r="AC115" i="11"/>
  <c r="AC114" i="11"/>
  <c r="AC85" i="11"/>
  <c r="AC84" i="11"/>
  <c r="AC80" i="11"/>
  <c r="AC79" i="11"/>
  <c r="AC78" i="11"/>
  <c r="AC77" i="11"/>
  <c r="AC68" i="11"/>
  <c r="AC67" i="11" s="1"/>
  <c r="AC66" i="11"/>
  <c r="AC65" i="11"/>
  <c r="AC64" i="11"/>
  <c r="AC63" i="11"/>
  <c r="AC60" i="11"/>
  <c r="AC59" i="11"/>
  <c r="AC58" i="11"/>
  <c r="AC57" i="11"/>
  <c r="AC56" i="11"/>
  <c r="AC55" i="11"/>
  <c r="AC54" i="11"/>
  <c r="AC53" i="11"/>
  <c r="AC52" i="11"/>
  <c r="AC51" i="11"/>
  <c r="AC50" i="11"/>
  <c r="AC49" i="11"/>
  <c r="AC48" i="11"/>
  <c r="AC47" i="11"/>
  <c r="AC46" i="11"/>
  <c r="AC41" i="11"/>
  <c r="AC40" i="11"/>
  <c r="AC37" i="11"/>
  <c r="AC36" i="11"/>
  <c r="AC32" i="11"/>
  <c r="AC29" i="11"/>
  <c r="AC28" i="11"/>
  <c r="AC24" i="11"/>
  <c r="AC22" i="11"/>
  <c r="Z201" i="11"/>
  <c r="Z200" i="11"/>
  <c r="Z199" i="11"/>
  <c r="Z194" i="11"/>
  <c r="Z185" i="11"/>
  <c r="Z184" i="11"/>
  <c r="Z183" i="11"/>
  <c r="Z182" i="11"/>
  <c r="Z181" i="11"/>
  <c r="Z178" i="11"/>
  <c r="Z176" i="11"/>
  <c r="Z175" i="11"/>
  <c r="Z174" i="11"/>
  <c r="Z173" i="11"/>
  <c r="Z171" i="11"/>
  <c r="Z169" i="11"/>
  <c r="Z167" i="11"/>
  <c r="Z166" i="11"/>
  <c r="Z164" i="11"/>
  <c r="Z163" i="11"/>
  <c r="Z158" i="11"/>
  <c r="Z157" i="11"/>
  <c r="Z156" i="11"/>
  <c r="Z154" i="11"/>
  <c r="Z151" i="11"/>
  <c r="Z150" i="11"/>
  <c r="Z148" i="11"/>
  <c r="Z147" i="11"/>
  <c r="Z146" i="11"/>
  <c r="Z144" i="11"/>
  <c r="Z135" i="11"/>
  <c r="Z133" i="11"/>
  <c r="Z132" i="11"/>
  <c r="Z131" i="11"/>
  <c r="Z130" i="11"/>
  <c r="Z129" i="11"/>
  <c r="Z128" i="11"/>
  <c r="Z127" i="11"/>
  <c r="Z126" i="11"/>
  <c r="Z125" i="11"/>
  <c r="Z115" i="11"/>
  <c r="Z114" i="11"/>
  <c r="Z85" i="11"/>
  <c r="Z84" i="11"/>
  <c r="Z80" i="11"/>
  <c r="Z79" i="11"/>
  <c r="Z78" i="11"/>
  <c r="Z77" i="11"/>
  <c r="Z68" i="11"/>
  <c r="Z67" i="11" s="1"/>
  <c r="Z66" i="11"/>
  <c r="Z65" i="11"/>
  <c r="Z64" i="11"/>
  <c r="Z63" i="11"/>
  <c r="Z60" i="11"/>
  <c r="Z59" i="11"/>
  <c r="Z58" i="11"/>
  <c r="Z57" i="11"/>
  <c r="Z56" i="11"/>
  <c r="Z55" i="11"/>
  <c r="Z54" i="11"/>
  <c r="Z53" i="11"/>
  <c r="Z52" i="11"/>
  <c r="Z51" i="11"/>
  <c r="Z50" i="11"/>
  <c r="Z49" i="11"/>
  <c r="Z48" i="11"/>
  <c r="Z47" i="11"/>
  <c r="Z46" i="11"/>
  <c r="Z41" i="11"/>
  <c r="Z40" i="11"/>
  <c r="Z37" i="11"/>
  <c r="Z36" i="11"/>
  <c r="Z32" i="11"/>
  <c r="Z29" i="11"/>
  <c r="Z28" i="11"/>
  <c r="Z24" i="11"/>
  <c r="Z22" i="11"/>
  <c r="W201" i="11"/>
  <c r="W200" i="11"/>
  <c r="W199" i="11"/>
  <c r="W194" i="11"/>
  <c r="W187" i="11"/>
  <c r="W186" i="11"/>
  <c r="W185" i="11"/>
  <c r="W184" i="11"/>
  <c r="W183" i="11"/>
  <c r="W182" i="11"/>
  <c r="W181" i="11"/>
  <c r="W178" i="11"/>
  <c r="W176" i="11"/>
  <c r="W175" i="11"/>
  <c r="W174" i="11"/>
  <c r="W173" i="11"/>
  <c r="W171" i="11"/>
  <c r="W169" i="11"/>
  <c r="W167" i="11"/>
  <c r="W166" i="11"/>
  <c r="W164" i="11"/>
  <c r="W163" i="11"/>
  <c r="W158" i="11"/>
  <c r="W157" i="11"/>
  <c r="W156" i="11"/>
  <c r="W154" i="11"/>
  <c r="W151" i="11"/>
  <c r="W150" i="11"/>
  <c r="W148" i="11"/>
  <c r="W147" i="11"/>
  <c r="W146" i="11"/>
  <c r="W144" i="11"/>
  <c r="W135" i="11"/>
  <c r="W134" i="11" s="1"/>
  <c r="W133" i="11"/>
  <c r="W132" i="11"/>
  <c r="W131" i="11"/>
  <c r="W130" i="11"/>
  <c r="W129" i="11"/>
  <c r="W128" i="11"/>
  <c r="W127" i="11"/>
  <c r="W126" i="11"/>
  <c r="W125" i="11"/>
  <c r="W115" i="11"/>
  <c r="W114" i="11"/>
  <c r="W85" i="11"/>
  <c r="W84" i="11"/>
  <c r="W80" i="11"/>
  <c r="W79" i="11"/>
  <c r="W78" i="11"/>
  <c r="W77" i="11"/>
  <c r="W68" i="11"/>
  <c r="W67" i="11" s="1"/>
  <c r="W66" i="11"/>
  <c r="W65" i="11"/>
  <c r="W64" i="11"/>
  <c r="W63" i="11"/>
  <c r="W60" i="11"/>
  <c r="W59" i="11"/>
  <c r="W58" i="11"/>
  <c r="W57" i="11"/>
  <c r="W56" i="11"/>
  <c r="W55" i="11"/>
  <c r="W54" i="11"/>
  <c r="W53" i="11"/>
  <c r="W52" i="11"/>
  <c r="W51" i="11"/>
  <c r="W50" i="11"/>
  <c r="W49" i="11"/>
  <c r="W48" i="11"/>
  <c r="W47" i="11"/>
  <c r="W46" i="11"/>
  <c r="W41" i="11"/>
  <c r="W40" i="11"/>
  <c r="W37" i="11"/>
  <c r="W36" i="11"/>
  <c r="W32" i="11"/>
  <c r="W29" i="11"/>
  <c r="W28" i="11"/>
  <c r="W24" i="11"/>
  <c r="W22" i="11"/>
  <c r="T201" i="11"/>
  <c r="T200" i="11"/>
  <c r="T199" i="11"/>
  <c r="T194" i="11"/>
  <c r="T188" i="11" s="1"/>
  <c r="T185" i="11"/>
  <c r="T184" i="11"/>
  <c r="T183" i="11"/>
  <c r="T182" i="11"/>
  <c r="T181" i="11"/>
  <c r="T178" i="11"/>
  <c r="T176" i="11"/>
  <c r="T175" i="11"/>
  <c r="T174" i="11"/>
  <c r="T173" i="11"/>
  <c r="T171" i="11"/>
  <c r="T169" i="11"/>
  <c r="T167" i="11"/>
  <c r="T166" i="11"/>
  <c r="T164" i="11"/>
  <c r="T163" i="11"/>
  <c r="T158" i="11"/>
  <c r="T157" i="11"/>
  <c r="T156" i="11"/>
  <c r="T154" i="11"/>
  <c r="T153" i="11"/>
  <c r="T152" i="11"/>
  <c r="T151" i="11"/>
  <c r="T150" i="11"/>
  <c r="T148" i="11"/>
  <c r="T147" i="11"/>
  <c r="T146" i="11"/>
  <c r="T144" i="11"/>
  <c r="T135" i="11"/>
  <c r="T133" i="11"/>
  <c r="T132" i="11"/>
  <c r="T131" i="11"/>
  <c r="T130" i="11"/>
  <c r="T129" i="11"/>
  <c r="T128" i="11"/>
  <c r="T127" i="11"/>
  <c r="T126" i="11"/>
  <c r="T125" i="11"/>
  <c r="T115" i="11"/>
  <c r="T114" i="11"/>
  <c r="T85" i="11"/>
  <c r="T84" i="11"/>
  <c r="T80" i="11"/>
  <c r="T79" i="11"/>
  <c r="T78" i="11"/>
  <c r="T77" i="11"/>
  <c r="T68" i="11"/>
  <c r="T67" i="11" s="1"/>
  <c r="T66" i="11"/>
  <c r="T65" i="11"/>
  <c r="T64" i="11"/>
  <c r="T63" i="11"/>
  <c r="T60" i="11"/>
  <c r="T59" i="11"/>
  <c r="T58" i="11"/>
  <c r="T57" i="11"/>
  <c r="T56" i="11"/>
  <c r="T55" i="11"/>
  <c r="T54" i="11"/>
  <c r="T53" i="11"/>
  <c r="T52" i="11"/>
  <c r="T51" i="11"/>
  <c r="T50" i="11"/>
  <c r="T49" i="11"/>
  <c r="T48" i="11"/>
  <c r="T47" i="11"/>
  <c r="T46" i="11"/>
  <c r="T41" i="11"/>
  <c r="T40" i="11"/>
  <c r="T37" i="11"/>
  <c r="T36" i="11"/>
  <c r="T32" i="11"/>
  <c r="T29" i="11"/>
  <c r="T28" i="11"/>
  <c r="T24" i="11"/>
  <c r="T22" i="11"/>
  <c r="Q201" i="11"/>
  <c r="Q200" i="11"/>
  <c r="Q199" i="11"/>
  <c r="Q194" i="11"/>
  <c r="Q186" i="11"/>
  <c r="Q185" i="11"/>
  <c r="Q184" i="11"/>
  <c r="Q183" i="11"/>
  <c r="Q182" i="11"/>
  <c r="Q181" i="11"/>
  <c r="Q178" i="11"/>
  <c r="Q176" i="11"/>
  <c r="Q175" i="11"/>
  <c r="Q174" i="11"/>
  <c r="Q173" i="11"/>
  <c r="Q171" i="11"/>
  <c r="Q169" i="11"/>
  <c r="Q167" i="11"/>
  <c r="Q166" i="11"/>
  <c r="Q164" i="11"/>
  <c r="Q163" i="11"/>
  <c r="Q158" i="11"/>
  <c r="Q157" i="11"/>
  <c r="Q156" i="11"/>
  <c r="Q154" i="11"/>
  <c r="Q153" i="11"/>
  <c r="Q152" i="11"/>
  <c r="Q151" i="11"/>
  <c r="Q150" i="11"/>
  <c r="Q148" i="11"/>
  <c r="Q147" i="11"/>
  <c r="Q146" i="11"/>
  <c r="Q145" i="11"/>
  <c r="Q144" i="11"/>
  <c r="Q140" i="11"/>
  <c r="Q135" i="11"/>
  <c r="Q133" i="11"/>
  <c r="Q132" i="11"/>
  <c r="Q131" i="11"/>
  <c r="Q130" i="11"/>
  <c r="Q129" i="11"/>
  <c r="Q128" i="11"/>
  <c r="Q127" i="11"/>
  <c r="Q126" i="11"/>
  <c r="Q125" i="11"/>
  <c r="Q115" i="11"/>
  <c r="Q114" i="11"/>
  <c r="Q85" i="11"/>
  <c r="Q84" i="11"/>
  <c r="Q83" i="11" s="1"/>
  <c r="Q80" i="11"/>
  <c r="Q79" i="11"/>
  <c r="Q78" i="11"/>
  <c r="Q77" i="11"/>
  <c r="Q68" i="11"/>
  <c r="Q67" i="11" s="1"/>
  <c r="Q66" i="11"/>
  <c r="Q65" i="11"/>
  <c r="Q64" i="11"/>
  <c r="Q63" i="11"/>
  <c r="Q60" i="11"/>
  <c r="Q59" i="11"/>
  <c r="Q58" i="11"/>
  <c r="Q57" i="11"/>
  <c r="Q56" i="11"/>
  <c r="Q55" i="11"/>
  <c r="Q54" i="11"/>
  <c r="Q53" i="11"/>
  <c r="Q52" i="11"/>
  <c r="Q51" i="11"/>
  <c r="Q50" i="11"/>
  <c r="Q49" i="11"/>
  <c r="Q48" i="11"/>
  <c r="Q47" i="11"/>
  <c r="Q46" i="11"/>
  <c r="Q41" i="11"/>
  <c r="Q40" i="11"/>
  <c r="Q37" i="11"/>
  <c r="Q36" i="11"/>
  <c r="Q32" i="11"/>
  <c r="Q29" i="11"/>
  <c r="Q28" i="11"/>
  <c r="Q24" i="11"/>
  <c r="Q22" i="11"/>
  <c r="N201" i="11"/>
  <c r="N199" i="11"/>
  <c r="N200" i="11"/>
  <c r="N198" i="11"/>
  <c r="N194" i="11"/>
  <c r="N182" i="11"/>
  <c r="N183" i="11"/>
  <c r="N184" i="11"/>
  <c r="N185" i="11"/>
  <c r="N186" i="11"/>
  <c r="N187" i="11"/>
  <c r="N181" i="11"/>
  <c r="N174" i="11"/>
  <c r="N175" i="11"/>
  <c r="N176" i="11"/>
  <c r="N178" i="11"/>
  <c r="N173" i="11"/>
  <c r="N171" i="11"/>
  <c r="N169" i="11"/>
  <c r="N164" i="11"/>
  <c r="N166" i="11"/>
  <c r="N167" i="11"/>
  <c r="N163" i="11"/>
  <c r="N151" i="11"/>
  <c r="N152" i="11"/>
  <c r="N153" i="11"/>
  <c r="N154" i="11"/>
  <c r="N155" i="11"/>
  <c r="N156" i="11"/>
  <c r="N157" i="11"/>
  <c r="N158" i="11"/>
  <c r="N150" i="11"/>
  <c r="N141" i="11"/>
  <c r="N142" i="11"/>
  <c r="N143" i="11"/>
  <c r="N144" i="11"/>
  <c r="N145" i="11"/>
  <c r="N146" i="11"/>
  <c r="N147" i="11"/>
  <c r="N148" i="11"/>
  <c r="N140" i="11"/>
  <c r="N135" i="11"/>
  <c r="N126" i="11"/>
  <c r="N127" i="11"/>
  <c r="N128" i="11"/>
  <c r="N129" i="11"/>
  <c r="N130" i="11"/>
  <c r="N131" i="11"/>
  <c r="N132" i="11"/>
  <c r="N133" i="11"/>
  <c r="N125" i="11"/>
  <c r="N121" i="11"/>
  <c r="N122" i="11"/>
  <c r="N123" i="11"/>
  <c r="N120" i="11"/>
  <c r="N114" i="11"/>
  <c r="N115" i="11"/>
  <c r="N117" i="11"/>
  <c r="N112" i="11"/>
  <c r="N85" i="11"/>
  <c r="N84" i="11"/>
  <c r="N78" i="11"/>
  <c r="N79" i="11"/>
  <c r="N77" i="11"/>
  <c r="N68" i="11"/>
  <c r="N67" i="11" s="1"/>
  <c r="N63" i="11"/>
  <c r="N64" i="11"/>
  <c r="N65" i="11"/>
  <c r="N66" i="11"/>
  <c r="N47" i="11"/>
  <c r="N48" i="11"/>
  <c r="N49" i="11"/>
  <c r="N50" i="11"/>
  <c r="N51" i="11"/>
  <c r="N52" i="11"/>
  <c r="N53" i="11"/>
  <c r="N54" i="11"/>
  <c r="N55" i="11"/>
  <c r="N56" i="11"/>
  <c r="N57" i="11"/>
  <c r="N58" i="11"/>
  <c r="N59" i="11"/>
  <c r="N60" i="11"/>
  <c r="N46" i="11"/>
  <c r="N42" i="11"/>
  <c r="N43" i="11"/>
  <c r="N44" i="11"/>
  <c r="N40" i="11"/>
  <c r="N41" i="11"/>
  <c r="N38" i="11"/>
  <c r="N39" i="11"/>
  <c r="N36" i="11"/>
  <c r="N37" i="11"/>
  <c r="N23" i="11"/>
  <c r="N24" i="11"/>
  <c r="N25" i="11"/>
  <c r="N26" i="11"/>
  <c r="N27" i="11"/>
  <c r="N28" i="11"/>
  <c r="N29" i="11"/>
  <c r="N30" i="11"/>
  <c r="N31" i="11"/>
  <c r="N32" i="11"/>
  <c r="N33" i="11"/>
  <c r="N34" i="11"/>
  <c r="N35" i="11"/>
  <c r="N22" i="11"/>
  <c r="AO168" i="11" l="1"/>
  <c r="Z83" i="11"/>
  <c r="BK45" i="11"/>
  <c r="BK135" i="11"/>
  <c r="BK201" i="11"/>
  <c r="N83" i="11"/>
  <c r="BA15" i="11"/>
  <c r="BK76" i="11"/>
  <c r="BK119" i="11"/>
  <c r="AO172" i="11"/>
  <c r="AI76" i="11"/>
  <c r="T83" i="11"/>
  <c r="Z168" i="11"/>
  <c r="AI83" i="11"/>
  <c r="AU83" i="11"/>
  <c r="BE180" i="11"/>
  <c r="N149" i="11"/>
  <c r="AC83" i="11"/>
  <c r="AF168" i="11"/>
  <c r="T124" i="11"/>
  <c r="AR83" i="11"/>
  <c r="AR162" i="11"/>
  <c r="T168" i="11"/>
  <c r="W83" i="11"/>
  <c r="AF83" i="11"/>
  <c r="AI168" i="11"/>
  <c r="AZ162" i="11"/>
  <c r="AZ172" i="11"/>
  <c r="AF124" i="11"/>
  <c r="AR172" i="11"/>
  <c r="BK172" i="11"/>
  <c r="BJ83" i="11"/>
  <c r="BK162" i="11"/>
  <c r="BJ168" i="11"/>
  <c r="BF118" i="11"/>
  <c r="BK188" i="11"/>
  <c r="AL76" i="11"/>
  <c r="W45" i="11"/>
  <c r="AR76" i="11"/>
  <c r="N76" i="11"/>
  <c r="AU76" i="11"/>
  <c r="BK67" i="11"/>
  <c r="Q124" i="11"/>
  <c r="Q188" i="11"/>
  <c r="W188" i="11"/>
  <c r="Q134" i="11"/>
  <c r="Q162" i="11"/>
  <c r="Q168" i="11"/>
  <c r="T162" i="11"/>
  <c r="T172" i="11"/>
  <c r="W162" i="11"/>
  <c r="W168" i="11"/>
  <c r="W180" i="11"/>
  <c r="Z124" i="11"/>
  <c r="Z162" i="11"/>
  <c r="Z172" i="11"/>
  <c r="AF172" i="11"/>
  <c r="AF188" i="11"/>
  <c r="AL172" i="11"/>
  <c r="AO83" i="11"/>
  <c r="AL45" i="11"/>
  <c r="N61" i="11"/>
  <c r="N162" i="11"/>
  <c r="Q172" i="11"/>
  <c r="W76" i="11"/>
  <c r="W124" i="11"/>
  <c r="W172" i="11"/>
  <c r="Z76" i="11"/>
  <c r="AF45" i="11"/>
  <c r="AZ83" i="11"/>
  <c r="AC162" i="11"/>
  <c r="AC172" i="11"/>
  <c r="AF162" i="11"/>
  <c r="AI45" i="11"/>
  <c r="AI124" i="11"/>
  <c r="AL83" i="11"/>
  <c r="AL124" i="11"/>
  <c r="AO124" i="11"/>
  <c r="AO162" i="11"/>
  <c r="AR124" i="11"/>
  <c r="AR168" i="11"/>
  <c r="AR188" i="11"/>
  <c r="AU162" i="11"/>
  <c r="AU172" i="11"/>
  <c r="BK168" i="11"/>
  <c r="AC124" i="11"/>
  <c r="AC168" i="11"/>
  <c r="AC188" i="11"/>
  <c r="AF76" i="11"/>
  <c r="AI162" i="11"/>
  <c r="AI172" i="11"/>
  <c r="AL162" i="11"/>
  <c r="AL168" i="11"/>
  <c r="AO134" i="11"/>
  <c r="AU45" i="11"/>
  <c r="BK80" i="11"/>
  <c r="AZ180" i="11"/>
  <c r="BE162" i="11"/>
  <c r="BE172" i="11"/>
  <c r="BA118" i="11"/>
  <c r="AU124" i="11"/>
  <c r="AU168" i="11"/>
  <c r="AU188" i="11"/>
  <c r="BK83" i="11"/>
  <c r="BK124" i="11"/>
  <c r="BK180" i="11"/>
  <c r="AZ124" i="11"/>
  <c r="AZ168" i="11"/>
  <c r="AZ188" i="11"/>
  <c r="BJ76" i="11"/>
  <c r="BJ124" i="11"/>
  <c r="BJ172" i="11"/>
  <c r="BE124" i="11"/>
  <c r="BJ162" i="11"/>
  <c r="BE168" i="11"/>
  <c r="BE188" i="11"/>
  <c r="AZ139" i="11"/>
  <c r="BK139" i="11"/>
  <c r="BE139" i="11"/>
  <c r="BK88" i="11"/>
  <c r="BK149" i="11"/>
  <c r="T88" i="11"/>
  <c r="Q88" i="11"/>
  <c r="AC88" i="11"/>
  <c r="AZ88" i="11"/>
  <c r="BE88" i="11"/>
  <c r="AO88" i="11"/>
  <c r="W88" i="11"/>
  <c r="Z88" i="11"/>
  <c r="AF88" i="11"/>
  <c r="AI88" i="11"/>
  <c r="AR88" i="11"/>
  <c r="AU88" i="11"/>
  <c r="BF15" i="11"/>
  <c r="T76" i="11"/>
  <c r="AO76" i="11"/>
  <c r="Q76" i="11"/>
  <c r="AC76" i="11"/>
  <c r="AZ76" i="11"/>
  <c r="BE76" i="11"/>
  <c r="Z45" i="11"/>
  <c r="Q45" i="11"/>
  <c r="T45" i="11"/>
  <c r="AR45" i="11"/>
  <c r="AZ45" i="11"/>
  <c r="AC45" i="11"/>
  <c r="AO45" i="11"/>
  <c r="BE45" i="11"/>
  <c r="AL134" i="11"/>
  <c r="AV134" i="11"/>
  <c r="BA134" i="11"/>
  <c r="AF134" i="11"/>
  <c r="BJ134" i="11"/>
  <c r="BF134" i="11"/>
  <c r="AV118" i="11"/>
  <c r="AV15" i="11"/>
  <c r="AI134" i="11"/>
  <c r="Z134" i="11"/>
  <c r="T134" i="11"/>
  <c r="N195" i="11"/>
  <c r="N188" i="11"/>
  <c r="N180" i="11"/>
  <c r="N172" i="11"/>
  <c r="N168" i="11"/>
  <c r="N139" i="11"/>
  <c r="N134" i="11"/>
  <c r="N124" i="11"/>
  <c r="N119" i="11"/>
  <c r="N111" i="11"/>
  <c r="N88" i="11"/>
  <c r="N80" i="11"/>
  <c r="N45" i="11"/>
  <c r="BK15" i="11" l="1"/>
  <c r="BK134" i="11"/>
  <c r="BK118" i="11"/>
  <c r="AU15" i="11"/>
  <c r="N179" i="11"/>
  <c r="N118" i="11"/>
  <c r="N87" i="11"/>
  <c r="BH121" i="11"/>
  <c r="BI121" i="11"/>
  <c r="BI122" i="11"/>
  <c r="BH123" i="11"/>
  <c r="BI123" i="11"/>
  <c r="BI120" i="11"/>
  <c r="BC122" i="11"/>
  <c r="BE122" i="11" s="1"/>
  <c r="BC120" i="11"/>
  <c r="AX122" i="11"/>
  <c r="AZ122" i="11" s="1"/>
  <c r="AX120" i="11"/>
  <c r="O123" i="11"/>
  <c r="Q123" i="11" s="1"/>
  <c r="O122" i="11"/>
  <c r="Q122" i="11" s="1"/>
  <c r="O121" i="11"/>
  <c r="O120" i="11"/>
  <c r="Q120" i="11" s="1"/>
  <c r="BJ121" i="11" l="1"/>
  <c r="BC119" i="11"/>
  <c r="BE120" i="11"/>
  <c r="AX119" i="11"/>
  <c r="AZ120" i="11"/>
  <c r="BI119" i="11"/>
  <c r="R121" i="11"/>
  <c r="T121" i="11" s="1"/>
  <c r="Q121" i="11"/>
  <c r="Q119" i="11" s="1"/>
  <c r="Q118" i="11" s="1"/>
  <c r="BJ123" i="11"/>
  <c r="N86" i="11"/>
  <c r="BH122" i="11"/>
  <c r="BJ122" i="11" s="1"/>
  <c r="BH120" i="11"/>
  <c r="BJ120" i="11" s="1"/>
  <c r="R123" i="11"/>
  <c r="T123" i="11" s="1"/>
  <c r="R120" i="11"/>
  <c r="T120" i="11" s="1"/>
  <c r="R122" i="11"/>
  <c r="T122" i="11" s="1"/>
  <c r="J66" i="11"/>
  <c r="J65" i="11"/>
  <c r="J64" i="11"/>
  <c r="BI63" i="11"/>
  <c r="BH63" i="11"/>
  <c r="J63" i="11"/>
  <c r="BI60" i="11"/>
  <c r="BH60" i="11"/>
  <c r="BI59" i="11"/>
  <c r="BH59" i="11"/>
  <c r="BI58" i="11"/>
  <c r="BH58" i="11"/>
  <c r="BI57" i="11"/>
  <c r="BH57" i="11"/>
  <c r="BI56" i="11"/>
  <c r="BH56" i="11"/>
  <c r="BI55" i="11"/>
  <c r="BH55" i="11"/>
  <c r="BI54" i="11"/>
  <c r="BH54" i="11"/>
  <c r="BI53" i="11"/>
  <c r="BH53" i="11"/>
  <c r="BI52" i="11"/>
  <c r="BH52" i="11"/>
  <c r="BI51" i="11"/>
  <c r="BH51" i="11"/>
  <c r="BI50" i="11"/>
  <c r="BH50" i="11"/>
  <c r="BI49" i="11"/>
  <c r="BH49" i="11"/>
  <c r="BI48" i="11"/>
  <c r="BH48" i="11"/>
  <c r="BI47" i="11"/>
  <c r="BH47" i="11"/>
  <c r="BI46" i="11"/>
  <c r="BH46" i="11"/>
  <c r="U121" i="11" l="1"/>
  <c r="W121" i="11" s="1"/>
  <c r="BA61" i="11"/>
  <c r="AZ61" i="11"/>
  <c r="BE61" i="11"/>
  <c r="T119" i="11"/>
  <c r="T118" i="11" s="1"/>
  <c r="BJ47" i="11"/>
  <c r="BJ48" i="11"/>
  <c r="BJ49" i="11"/>
  <c r="BJ50" i="11"/>
  <c r="BJ51" i="11"/>
  <c r="BJ52" i="11"/>
  <c r="BJ54" i="11"/>
  <c r="BJ56" i="11"/>
  <c r="BJ57" i="11"/>
  <c r="BJ58" i="11"/>
  <c r="BJ59" i="11"/>
  <c r="BJ60" i="11"/>
  <c r="BJ63" i="11"/>
  <c r="BJ46" i="11"/>
  <c r="Q61" i="11"/>
  <c r="BH119" i="11"/>
  <c r="AZ119" i="11"/>
  <c r="AZ15" i="11" s="1"/>
  <c r="BE119" i="11"/>
  <c r="BE15" i="11" s="1"/>
  <c r="BJ55" i="11"/>
  <c r="BJ53" i="11"/>
  <c r="U122" i="11"/>
  <c r="W122" i="11" s="1"/>
  <c r="X121" i="11"/>
  <c r="Z121" i="11" s="1"/>
  <c r="U120" i="11"/>
  <c r="W120" i="11" s="1"/>
  <c r="U123" i="11"/>
  <c r="W123" i="11" s="1"/>
  <c r="T61" i="11"/>
  <c r="I23" i="11"/>
  <c r="J23" i="11" s="1"/>
  <c r="AX44" i="11"/>
  <c r="AZ44" i="11" s="1"/>
  <c r="P44" i="11"/>
  <c r="O44" i="11"/>
  <c r="R44" i="11" s="1"/>
  <c r="AX43" i="11"/>
  <c r="AZ43" i="11" s="1"/>
  <c r="P43" i="11"/>
  <c r="O43" i="11"/>
  <c r="R43" i="11" s="1"/>
  <c r="AX42" i="11"/>
  <c r="AZ42" i="11" s="1"/>
  <c r="P42" i="11"/>
  <c r="O42" i="11"/>
  <c r="R42" i="11" s="1"/>
  <c r="P39" i="11"/>
  <c r="O39" i="11"/>
  <c r="P38" i="11"/>
  <c r="O38" i="11"/>
  <c r="BA35" i="11"/>
  <c r="AX35" i="11"/>
  <c r="AZ35" i="11" s="1"/>
  <c r="AV35" i="11"/>
  <c r="P35" i="11"/>
  <c r="O35" i="11"/>
  <c r="R35" i="11" s="1"/>
  <c r="P34" i="11"/>
  <c r="O34" i="11"/>
  <c r="P33" i="11"/>
  <c r="O33" i="11"/>
  <c r="AX31" i="11"/>
  <c r="AZ31" i="11" s="1"/>
  <c r="P31" i="11"/>
  <c r="O31" i="11"/>
  <c r="R31" i="11" s="1"/>
  <c r="AX30" i="11"/>
  <c r="AZ30" i="11" s="1"/>
  <c r="P30" i="11"/>
  <c r="O30" i="11"/>
  <c r="R30" i="11" s="1"/>
  <c r="P27" i="11"/>
  <c r="O27" i="11"/>
  <c r="AX26" i="11"/>
  <c r="AZ26" i="11" s="1"/>
  <c r="P26" i="11"/>
  <c r="O26" i="11"/>
  <c r="BC25" i="11"/>
  <c r="BE25" i="11" s="1"/>
  <c r="AX25" i="11"/>
  <c r="AZ25" i="11" s="1"/>
  <c r="P25" i="11"/>
  <c r="O25" i="11"/>
  <c r="BA23" i="11"/>
  <c r="AX23" i="11"/>
  <c r="AZ23" i="11" s="1"/>
  <c r="AV23" i="11"/>
  <c r="P23" i="11"/>
  <c r="O23" i="11"/>
  <c r="R23" i="11" s="1"/>
  <c r="BK35" i="11" l="1"/>
  <c r="W119" i="11"/>
  <c r="W118" i="11" s="1"/>
  <c r="BJ45" i="11"/>
  <c r="S26" i="11"/>
  <c r="Q26" i="11"/>
  <c r="S38" i="11"/>
  <c r="Q38" i="11"/>
  <c r="S42" i="11"/>
  <c r="Q42" i="11"/>
  <c r="S30" i="11"/>
  <c r="Q30" i="11"/>
  <c r="S34" i="11"/>
  <c r="Q34" i="11"/>
  <c r="BF61" i="11"/>
  <c r="BK23" i="11"/>
  <c r="AV21" i="11"/>
  <c r="S25" i="11"/>
  <c r="Q25" i="11"/>
  <c r="S31" i="11"/>
  <c r="Q31" i="11"/>
  <c r="S39" i="11"/>
  <c r="Q39" i="11"/>
  <c r="S44" i="11"/>
  <c r="Q44" i="11"/>
  <c r="BJ119" i="11"/>
  <c r="S23" i="11"/>
  <c r="Q23" i="11"/>
  <c r="S27" i="11"/>
  <c r="Q27" i="11"/>
  <c r="S33" i="11"/>
  <c r="Q33" i="11"/>
  <c r="S35" i="11"/>
  <c r="Q35" i="11"/>
  <c r="S43" i="11"/>
  <c r="Q43" i="11"/>
  <c r="R26" i="11"/>
  <c r="U26" i="11" s="1"/>
  <c r="X123" i="11"/>
  <c r="Z123" i="11" s="1"/>
  <c r="X120" i="11"/>
  <c r="Z120" i="11" s="1"/>
  <c r="X122" i="11"/>
  <c r="Z122" i="11" s="1"/>
  <c r="W61" i="11"/>
  <c r="U44" i="11"/>
  <c r="U43" i="11"/>
  <c r="U42" i="11"/>
  <c r="R39" i="11"/>
  <c r="R38" i="11"/>
  <c r="U35" i="11"/>
  <c r="R34" i="11"/>
  <c r="R33" i="11"/>
  <c r="U31" i="11"/>
  <c r="U30" i="11"/>
  <c r="R27" i="11"/>
  <c r="R25" i="11"/>
  <c r="U23" i="11"/>
  <c r="Z119" i="11" l="1"/>
  <c r="Z118" i="11" s="1"/>
  <c r="V43" i="11"/>
  <c r="T43" i="11"/>
  <c r="V33" i="11"/>
  <c r="T33" i="11"/>
  <c r="V23" i="11"/>
  <c r="T23" i="11"/>
  <c r="V30" i="11"/>
  <c r="T30" i="11"/>
  <c r="V39" i="11"/>
  <c r="T39" i="11"/>
  <c r="V25" i="11"/>
  <c r="T25" i="11"/>
  <c r="V38" i="11"/>
  <c r="T38" i="11"/>
  <c r="V35" i="11"/>
  <c r="T35" i="11"/>
  <c r="V27" i="11"/>
  <c r="T27" i="11"/>
  <c r="V34" i="11"/>
  <c r="T34" i="11"/>
  <c r="V44" i="11"/>
  <c r="T44" i="11"/>
  <c r="V31" i="11"/>
  <c r="T31" i="11"/>
  <c r="V42" i="11"/>
  <c r="T42" i="11"/>
  <c r="V26" i="11"/>
  <c r="T26" i="11"/>
  <c r="Z61" i="11"/>
  <c r="X44" i="11"/>
  <c r="X43" i="11"/>
  <c r="X42" i="11"/>
  <c r="U39" i="11"/>
  <c r="U38" i="11"/>
  <c r="X35" i="11"/>
  <c r="U34" i="11"/>
  <c r="U33" i="11"/>
  <c r="X31" i="11"/>
  <c r="X30" i="11"/>
  <c r="U27" i="11"/>
  <c r="X26" i="11"/>
  <c r="U25" i="11"/>
  <c r="X23" i="11"/>
  <c r="Y42" i="11" l="1"/>
  <c r="W42" i="11"/>
  <c r="Y44" i="11"/>
  <c r="W44" i="11"/>
  <c r="Y35" i="11"/>
  <c r="W35" i="11"/>
  <c r="Y25" i="11"/>
  <c r="W25" i="11"/>
  <c r="Y30" i="11"/>
  <c r="W30" i="11"/>
  <c r="Y33" i="11"/>
  <c r="W33" i="11"/>
  <c r="Y26" i="11"/>
  <c r="W26" i="11"/>
  <c r="Y31" i="11"/>
  <c r="W31" i="11"/>
  <c r="Y34" i="11"/>
  <c r="W34" i="11"/>
  <c r="Y27" i="11"/>
  <c r="W27" i="11"/>
  <c r="Y38" i="11"/>
  <c r="W38" i="11"/>
  <c r="Y39" i="11"/>
  <c r="W39" i="11"/>
  <c r="Y23" i="11"/>
  <c r="W23" i="11"/>
  <c r="Y43" i="11"/>
  <c r="W43" i="11"/>
  <c r="AC61" i="11"/>
  <c r="AA44" i="11"/>
  <c r="AA43" i="11"/>
  <c r="AA42" i="11"/>
  <c r="X39" i="11"/>
  <c r="X38" i="11"/>
  <c r="AA35" i="11"/>
  <c r="X34" i="11"/>
  <c r="X33" i="11"/>
  <c r="AA31" i="11"/>
  <c r="AA30" i="11"/>
  <c r="X27" i="11"/>
  <c r="AA26" i="11"/>
  <c r="X25" i="11"/>
  <c r="AA23" i="11"/>
  <c r="AB43" i="11" l="1"/>
  <c r="Z43" i="11"/>
  <c r="AB39" i="11"/>
  <c r="Z39" i="11"/>
  <c r="AB27" i="11"/>
  <c r="Z27" i="11"/>
  <c r="AB31" i="11"/>
  <c r="Z31" i="11"/>
  <c r="AB33" i="11"/>
  <c r="Z33" i="11"/>
  <c r="AB25" i="11"/>
  <c r="Z25" i="11"/>
  <c r="AB44" i="11"/>
  <c r="Z44" i="11"/>
  <c r="AB23" i="11"/>
  <c r="Z23" i="11"/>
  <c r="AB38" i="11"/>
  <c r="Z38" i="11"/>
  <c r="AB34" i="11"/>
  <c r="Z34" i="11"/>
  <c r="AB26" i="11"/>
  <c r="Z26" i="11"/>
  <c r="AB30" i="11"/>
  <c r="Z30" i="11"/>
  <c r="AB35" i="11"/>
  <c r="Z35" i="11"/>
  <c r="AB42" i="11"/>
  <c r="Z42" i="11"/>
  <c r="AF61" i="11"/>
  <c r="AD44" i="11"/>
  <c r="AD43" i="11"/>
  <c r="AD42" i="11"/>
  <c r="AA39" i="11"/>
  <c r="AA38" i="11"/>
  <c r="AD35" i="11"/>
  <c r="AA34" i="11"/>
  <c r="AA33" i="11"/>
  <c r="AD31" i="11"/>
  <c r="AD30" i="11"/>
  <c r="AA27" i="11"/>
  <c r="AD26" i="11"/>
  <c r="AA25" i="11"/>
  <c r="AD23" i="11"/>
  <c r="AE42" i="11" l="1"/>
  <c r="AC42" i="11"/>
  <c r="AE30" i="11"/>
  <c r="AC30" i="11"/>
  <c r="AE34" i="11"/>
  <c r="AC34" i="11"/>
  <c r="AE23" i="11"/>
  <c r="AC23" i="11"/>
  <c r="AE25" i="11"/>
  <c r="AC25" i="11"/>
  <c r="AE31" i="11"/>
  <c r="AC31" i="11"/>
  <c r="AE39" i="11"/>
  <c r="AC39" i="11"/>
  <c r="AE35" i="11"/>
  <c r="AC35" i="11"/>
  <c r="AE26" i="11"/>
  <c r="AC26" i="11"/>
  <c r="AE38" i="11"/>
  <c r="AC38" i="11"/>
  <c r="AE44" i="11"/>
  <c r="AC44" i="11"/>
  <c r="AE33" i="11"/>
  <c r="AC33" i="11"/>
  <c r="AE27" i="11"/>
  <c r="AC27" i="11"/>
  <c r="AE43" i="11"/>
  <c r="AC43" i="11"/>
  <c r="AI61" i="11"/>
  <c r="AU61" i="11"/>
  <c r="AG44" i="11"/>
  <c r="AG43" i="11"/>
  <c r="AG42" i="11"/>
  <c r="AD39" i="11"/>
  <c r="AD38" i="11"/>
  <c r="AG35" i="11"/>
  <c r="AD34" i="11"/>
  <c r="AD33" i="11"/>
  <c r="AG31" i="11"/>
  <c r="AG30" i="11"/>
  <c r="AD27" i="11"/>
  <c r="AG26" i="11"/>
  <c r="AD25" i="11"/>
  <c r="AG23" i="11"/>
  <c r="AH43" i="11" l="1"/>
  <c r="AF43" i="11"/>
  <c r="AH33" i="11"/>
  <c r="AF33" i="11"/>
  <c r="AH38" i="11"/>
  <c r="AF38" i="11"/>
  <c r="AH35" i="11"/>
  <c r="AF35" i="11"/>
  <c r="AH31" i="11"/>
  <c r="AF31" i="11"/>
  <c r="AH23" i="11"/>
  <c r="AF23" i="11"/>
  <c r="AH30" i="11"/>
  <c r="AF30" i="11"/>
  <c r="AH27" i="11"/>
  <c r="AF27" i="11"/>
  <c r="AH44" i="11"/>
  <c r="AF44" i="11"/>
  <c r="AH26" i="11"/>
  <c r="AF26" i="11"/>
  <c r="AH39" i="11"/>
  <c r="AF39" i="11"/>
  <c r="AH25" i="11"/>
  <c r="AF25" i="11"/>
  <c r="AH34" i="11"/>
  <c r="AF34" i="11"/>
  <c r="AH42" i="11"/>
  <c r="AF42" i="11"/>
  <c r="BJ61" i="11"/>
  <c r="AL61" i="11"/>
  <c r="AJ44" i="11"/>
  <c r="AJ43" i="11"/>
  <c r="AJ42" i="11"/>
  <c r="AG39" i="11"/>
  <c r="AG38" i="11"/>
  <c r="AJ35" i="11"/>
  <c r="AG34" i="11"/>
  <c r="AG33" i="11"/>
  <c r="AJ31" i="11"/>
  <c r="AJ30" i="11"/>
  <c r="AG27" i="11"/>
  <c r="AJ26" i="11"/>
  <c r="AG25" i="11"/>
  <c r="AJ23" i="11"/>
  <c r="AG21" i="11" l="1"/>
  <c r="AK42" i="11"/>
  <c r="AI42" i="11"/>
  <c r="AK25" i="11"/>
  <c r="AI25" i="11"/>
  <c r="AK26" i="11"/>
  <c r="AI26" i="11"/>
  <c r="AK27" i="11"/>
  <c r="AI27" i="11"/>
  <c r="AK23" i="11"/>
  <c r="AH21" i="11"/>
  <c r="AI23" i="11"/>
  <c r="AK35" i="11"/>
  <c r="AI35" i="11"/>
  <c r="AK33" i="11"/>
  <c r="AI33" i="11"/>
  <c r="AV61" i="11"/>
  <c r="AK34" i="11"/>
  <c r="AI34" i="11"/>
  <c r="AK39" i="11"/>
  <c r="AI39" i="11"/>
  <c r="AK44" i="11"/>
  <c r="AI44" i="11"/>
  <c r="AK30" i="11"/>
  <c r="AI30" i="11"/>
  <c r="AK31" i="11"/>
  <c r="AI31" i="11"/>
  <c r="AK38" i="11"/>
  <c r="AI38" i="11"/>
  <c r="AK43" i="11"/>
  <c r="AI43" i="11"/>
  <c r="AO61" i="11"/>
  <c r="AM44" i="11"/>
  <c r="AM43" i="11"/>
  <c r="AM42" i="11"/>
  <c r="AJ39" i="11"/>
  <c r="AJ38" i="11"/>
  <c r="AM35" i="11"/>
  <c r="AJ34" i="11"/>
  <c r="AJ33" i="11"/>
  <c r="AM31" i="11"/>
  <c r="AM30" i="11"/>
  <c r="AJ27" i="11"/>
  <c r="AM26" i="11"/>
  <c r="AJ25" i="11"/>
  <c r="AM23" i="11"/>
  <c r="AJ21" i="11" l="1"/>
  <c r="AN31" i="11"/>
  <c r="AL31" i="11"/>
  <c r="AN25" i="11"/>
  <c r="AL25" i="11"/>
  <c r="AN38" i="11"/>
  <c r="AL38" i="11"/>
  <c r="AN30" i="11"/>
  <c r="AL30" i="11"/>
  <c r="AN39" i="11"/>
  <c r="AL39" i="11"/>
  <c r="BK61" i="11"/>
  <c r="AV20" i="11"/>
  <c r="AN23" i="11"/>
  <c r="AK21" i="11"/>
  <c r="AL23" i="11"/>
  <c r="AN26" i="11"/>
  <c r="AL26" i="11"/>
  <c r="AN42" i="11"/>
  <c r="AL42" i="11"/>
  <c r="AN43" i="11"/>
  <c r="AL43" i="11"/>
  <c r="AN44" i="11"/>
  <c r="AL44" i="11"/>
  <c r="AN34" i="11"/>
  <c r="AL34" i="11"/>
  <c r="AN27" i="11"/>
  <c r="AL27" i="11"/>
  <c r="AN33" i="11"/>
  <c r="AL33" i="11"/>
  <c r="AN35" i="11"/>
  <c r="AL35" i="11"/>
  <c r="AR61" i="11"/>
  <c r="AP44" i="11"/>
  <c r="AP43" i="11"/>
  <c r="AP42" i="11"/>
  <c r="AM39" i="11"/>
  <c r="AM38" i="11"/>
  <c r="AP35" i="11"/>
  <c r="AM34" i="11"/>
  <c r="AM33" i="11"/>
  <c r="AP31" i="11"/>
  <c r="AP30" i="11"/>
  <c r="AM27" i="11"/>
  <c r="AP26" i="11"/>
  <c r="AM25" i="11"/>
  <c r="AP23" i="11"/>
  <c r="AM21" i="11" l="1"/>
  <c r="AQ27" i="11"/>
  <c r="AO27" i="11"/>
  <c r="AQ44" i="11"/>
  <c r="AO44" i="11"/>
  <c r="AQ42" i="11"/>
  <c r="AO42" i="11"/>
  <c r="AQ25" i="11"/>
  <c r="AO25" i="11"/>
  <c r="AQ23" i="11"/>
  <c r="AN21" i="11"/>
  <c r="AO23" i="11"/>
  <c r="AQ39" i="11"/>
  <c r="AO39" i="11"/>
  <c r="AQ38" i="11"/>
  <c r="AO38" i="11"/>
  <c r="AQ33" i="11"/>
  <c r="AO33" i="11"/>
  <c r="AQ34" i="11"/>
  <c r="AO34" i="11"/>
  <c r="AQ43" i="11"/>
  <c r="AO43" i="11"/>
  <c r="AQ26" i="11"/>
  <c r="AO26" i="11"/>
  <c r="AQ31" i="11"/>
  <c r="AO31" i="11"/>
  <c r="AQ35" i="11"/>
  <c r="AO35" i="11"/>
  <c r="AQ30" i="11"/>
  <c r="AO30" i="11"/>
  <c r="AS44" i="11"/>
  <c r="AS43" i="11"/>
  <c r="AS42" i="11"/>
  <c r="AP39" i="11"/>
  <c r="AP38" i="11"/>
  <c r="AS35" i="11"/>
  <c r="AP34" i="11"/>
  <c r="AP33" i="11"/>
  <c r="AS31" i="11"/>
  <c r="AS30" i="11"/>
  <c r="AP27" i="11"/>
  <c r="AS26" i="11"/>
  <c r="AP25" i="11"/>
  <c r="AS23" i="11"/>
  <c r="AP21" i="11" l="1"/>
  <c r="AT26" i="11"/>
  <c r="AR26" i="11"/>
  <c r="AT34" i="11"/>
  <c r="AR34" i="11"/>
  <c r="AT38" i="11"/>
  <c r="AR38" i="11"/>
  <c r="AT44" i="11"/>
  <c r="AR44" i="11"/>
  <c r="AT31" i="11"/>
  <c r="AR31" i="11"/>
  <c r="AT23" i="11"/>
  <c r="AQ21" i="11"/>
  <c r="AR23" i="11"/>
  <c r="AT30" i="11"/>
  <c r="AR30" i="11"/>
  <c r="AT35" i="11"/>
  <c r="AR35" i="11"/>
  <c r="AT43" i="11"/>
  <c r="AR43" i="11"/>
  <c r="AT33" i="11"/>
  <c r="AR33" i="11"/>
  <c r="AT39" i="11"/>
  <c r="AR39" i="11"/>
  <c r="AT42" i="11"/>
  <c r="AR42" i="11"/>
  <c r="AT27" i="11"/>
  <c r="AR27" i="11"/>
  <c r="AT25" i="11"/>
  <c r="AR25" i="11"/>
  <c r="BH44" i="11"/>
  <c r="BH43" i="11"/>
  <c r="BH42" i="11"/>
  <c r="AS39" i="11"/>
  <c r="AS38" i="11"/>
  <c r="BH35" i="11"/>
  <c r="AS34" i="11"/>
  <c r="AS33" i="11"/>
  <c r="BH31" i="11"/>
  <c r="BH30" i="11"/>
  <c r="AS27" i="11"/>
  <c r="BH26" i="11"/>
  <c r="AS25" i="11"/>
  <c r="BH23" i="11"/>
  <c r="AS21" i="11" l="1"/>
  <c r="BI31" i="11"/>
  <c r="BJ31" i="11" s="1"/>
  <c r="AU31" i="11"/>
  <c r="BI34" i="11"/>
  <c r="AU34" i="11"/>
  <c r="BI25" i="11"/>
  <c r="AU25" i="11"/>
  <c r="BI42" i="11"/>
  <c r="BJ42" i="11" s="1"/>
  <c r="AU42" i="11"/>
  <c r="BI33" i="11"/>
  <c r="AU33" i="11"/>
  <c r="BI35" i="11"/>
  <c r="BJ35" i="11" s="1"/>
  <c r="AU35" i="11"/>
  <c r="BI23" i="11"/>
  <c r="BJ23" i="11" s="1"/>
  <c r="AT21" i="11"/>
  <c r="AU23" i="11"/>
  <c r="BI38" i="11"/>
  <c r="AU38" i="11"/>
  <c r="BI26" i="11"/>
  <c r="BJ26" i="11" s="1"/>
  <c r="AU26" i="11"/>
  <c r="BI27" i="11"/>
  <c r="AU27" i="11"/>
  <c r="AU39" i="11"/>
  <c r="BI43" i="11"/>
  <c r="BJ43" i="11" s="1"/>
  <c r="AU43" i="11"/>
  <c r="BI30" i="11"/>
  <c r="BJ30" i="11" s="1"/>
  <c r="AU30" i="11"/>
  <c r="BI44" i="11"/>
  <c r="BJ44" i="11" s="1"/>
  <c r="AU44" i="11"/>
  <c r="BH39" i="11"/>
  <c r="BH38" i="11"/>
  <c r="BH34" i="11"/>
  <c r="BH33" i="11"/>
  <c r="BH27" i="11"/>
  <c r="BH25" i="11"/>
  <c r="BJ25" i="11" l="1"/>
  <c r="BJ38" i="11"/>
  <c r="BJ33" i="11"/>
  <c r="BJ34" i="11"/>
  <c r="BJ27" i="11"/>
  <c r="AU21" i="11"/>
  <c r="AU20" i="11" s="1"/>
  <c r="BJ88" i="11"/>
  <c r="P117" i="11"/>
  <c r="O117" i="11"/>
  <c r="R117" i="11" s="1"/>
  <c r="U117" i="11" s="1"/>
  <c r="J117" i="11"/>
  <c r="BE111" i="11"/>
  <c r="J115" i="11"/>
  <c r="J114" i="11"/>
  <c r="AX112" i="11"/>
  <c r="AZ112" i="11" s="1"/>
  <c r="P112" i="11"/>
  <c r="O112" i="11"/>
  <c r="J112" i="11"/>
  <c r="J200" i="11"/>
  <c r="J199" i="11"/>
  <c r="P198" i="11"/>
  <c r="O198" i="11"/>
  <c r="R198" i="11" s="1"/>
  <c r="J198" i="11"/>
  <c r="J197" i="11"/>
  <c r="S198" i="11" l="1"/>
  <c r="Q198" i="11"/>
  <c r="S117" i="11"/>
  <c r="Q117" i="11"/>
  <c r="BA195" i="11"/>
  <c r="BA179" i="11" s="1"/>
  <c r="BA12" i="11" s="1"/>
  <c r="AZ195" i="11"/>
  <c r="AZ179" i="11" s="1"/>
  <c r="AZ12" i="11" s="1"/>
  <c r="BA111" i="11"/>
  <c r="AZ111" i="11"/>
  <c r="BF195" i="11"/>
  <c r="BF179" i="11" s="1"/>
  <c r="BF12" i="11" s="1"/>
  <c r="BE195" i="11"/>
  <c r="BE179" i="11" s="1"/>
  <c r="BE12" i="11" s="1"/>
  <c r="S112" i="11"/>
  <c r="Q112" i="11"/>
  <c r="BE87" i="11"/>
  <c r="BJ15" i="11"/>
  <c r="BF111" i="11"/>
  <c r="R112" i="11"/>
  <c r="U112" i="11" s="1"/>
  <c r="X112" i="11" s="1"/>
  <c r="X117" i="11"/>
  <c r="U198" i="11"/>
  <c r="AZ87" i="11" l="1"/>
  <c r="BF87" i="11"/>
  <c r="BF86" i="11" s="1"/>
  <c r="BF11" i="11" s="1"/>
  <c r="BF16" i="11"/>
  <c r="BA87" i="11"/>
  <c r="BA86" i="11" s="1"/>
  <c r="BA11" i="11" s="1"/>
  <c r="BA16" i="11"/>
  <c r="V112" i="11"/>
  <c r="T112" i="11"/>
  <c r="V117" i="11"/>
  <c r="T117" i="11"/>
  <c r="Q111" i="11"/>
  <c r="Q87" i="11" s="1"/>
  <c r="Q195" i="11"/>
  <c r="V198" i="11"/>
  <c r="T198" i="11"/>
  <c r="T195" i="11" s="1"/>
  <c r="AA117" i="11"/>
  <c r="AA112" i="11"/>
  <c r="X198" i="11"/>
  <c r="H171" i="11"/>
  <c r="H169" i="11"/>
  <c r="Y198" i="11" l="1"/>
  <c r="W198" i="11"/>
  <c r="T111" i="11"/>
  <c r="T87" i="11" s="1"/>
  <c r="Y117" i="11"/>
  <c r="W117" i="11"/>
  <c r="Y112" i="11"/>
  <c r="W112" i="11"/>
  <c r="AD112" i="11"/>
  <c r="AD117" i="11"/>
  <c r="AA198" i="11"/>
  <c r="BI187" i="11"/>
  <c r="BH187" i="11"/>
  <c r="AP187" i="11"/>
  <c r="AR187" i="11" s="1"/>
  <c r="AG187" i="11"/>
  <c r="X187" i="11"/>
  <c r="O187" i="11"/>
  <c r="BI186" i="11"/>
  <c r="AP186" i="11"/>
  <c r="AG186" i="11"/>
  <c r="X186" i="11"/>
  <c r="R186" i="11"/>
  <c r="T186" i="11" s="1"/>
  <c r="BI185" i="11"/>
  <c r="BH185" i="11"/>
  <c r="BI184" i="11"/>
  <c r="BH184" i="11"/>
  <c r="AA184" i="11"/>
  <c r="AC184" i="11" s="1"/>
  <c r="BI183" i="11"/>
  <c r="BH183" i="11"/>
  <c r="BI182" i="11"/>
  <c r="BH182" i="11"/>
  <c r="BI181" i="11"/>
  <c r="AS181" i="11"/>
  <c r="AJ181" i="11"/>
  <c r="AA181" i="11"/>
  <c r="AC181" i="11" s="1"/>
  <c r="BI156" i="11"/>
  <c r="BH156" i="11"/>
  <c r="AH155" i="11"/>
  <c r="Y155" i="11"/>
  <c r="O155" i="11"/>
  <c r="BI154" i="11"/>
  <c r="AS154" i="11"/>
  <c r="AP154" i="11"/>
  <c r="AR154" i="11" s="1"/>
  <c r="BI153" i="11"/>
  <c r="U153" i="11"/>
  <c r="BI152" i="11"/>
  <c r="BH152" i="11"/>
  <c r="AP152" i="11"/>
  <c r="AR152" i="11" s="1"/>
  <c r="AG152" i="11"/>
  <c r="U152" i="11"/>
  <c r="BI151" i="11"/>
  <c r="AA151" i="11"/>
  <c r="BI150" i="11"/>
  <c r="AX150" i="11"/>
  <c r="AZ150" i="11" s="1"/>
  <c r="AS150" i="11"/>
  <c r="AU150" i="11" s="1"/>
  <c r="AP150" i="11"/>
  <c r="AR150" i="11" s="1"/>
  <c r="AM150" i="11"/>
  <c r="AO150" i="11" s="1"/>
  <c r="BJ152" i="11" l="1"/>
  <c r="BJ182" i="11"/>
  <c r="W195" i="11"/>
  <c r="W179" i="11" s="1"/>
  <c r="BJ156" i="11"/>
  <c r="BJ183" i="11"/>
  <c r="BJ187" i="11"/>
  <c r="W111" i="11"/>
  <c r="W87" i="11" s="1"/>
  <c r="X152" i="11"/>
  <c r="Z152" i="11" s="1"/>
  <c r="W152" i="11"/>
  <c r="BH154" i="11"/>
  <c r="BJ154" i="11" s="1"/>
  <c r="AU154" i="11"/>
  <c r="AK155" i="11"/>
  <c r="AM181" i="11"/>
  <c r="AO181" i="11" s="1"/>
  <c r="AO180" i="11" s="1"/>
  <c r="AL181" i="11"/>
  <c r="AB112" i="11"/>
  <c r="Z112" i="11"/>
  <c r="AJ152" i="11"/>
  <c r="AL152" i="11" s="1"/>
  <c r="AI152" i="11"/>
  <c r="X153" i="11"/>
  <c r="Z153" i="11" s="1"/>
  <c r="W153" i="11"/>
  <c r="BH181" i="11"/>
  <c r="BJ181" i="11" s="1"/>
  <c r="AU181" i="11"/>
  <c r="BJ184" i="11"/>
  <c r="AA186" i="11"/>
  <c r="AC186" i="11" s="1"/>
  <c r="Z186" i="11"/>
  <c r="R187" i="11"/>
  <c r="T187" i="11" s="1"/>
  <c r="T180" i="11" s="1"/>
  <c r="T179" i="11" s="1"/>
  <c r="Q187" i="11"/>
  <c r="Q180" i="11" s="1"/>
  <c r="Q179" i="11" s="1"/>
  <c r="AD151" i="11"/>
  <c r="AF151" i="11" s="1"/>
  <c r="AC151" i="11"/>
  <c r="R155" i="11"/>
  <c r="T155" i="11" s="1"/>
  <c r="T149" i="11" s="1"/>
  <c r="Q155" i="11"/>
  <c r="Q149" i="11" s="1"/>
  <c r="AJ186" i="11"/>
  <c r="AL186" i="11" s="1"/>
  <c r="AI186" i="11"/>
  <c r="AA187" i="11"/>
  <c r="AC187" i="11" s="1"/>
  <c r="Z187" i="11"/>
  <c r="AB117" i="11"/>
  <c r="Z117" i="11"/>
  <c r="AB155" i="11"/>
  <c r="BJ185" i="11"/>
  <c r="AS186" i="11"/>
  <c r="AU186" i="11" s="1"/>
  <c r="AR186" i="11"/>
  <c r="AR180" i="11" s="1"/>
  <c r="AJ187" i="11"/>
  <c r="AL187" i="11" s="1"/>
  <c r="AI187" i="11"/>
  <c r="AB198" i="11"/>
  <c r="Z198" i="11"/>
  <c r="BH150" i="11"/>
  <c r="BJ150" i="11" s="1"/>
  <c r="AG112" i="11"/>
  <c r="AG117" i="11"/>
  <c r="AD198" i="11"/>
  <c r="AD181" i="11"/>
  <c r="AF181" i="11" s="1"/>
  <c r="AF180" i="11" s="1"/>
  <c r="I144" i="11"/>
  <c r="J144" i="11" s="1"/>
  <c r="J143" i="11"/>
  <c r="J142" i="11"/>
  <c r="J189" i="11"/>
  <c r="BI194" i="11"/>
  <c r="BH194" i="11"/>
  <c r="I194" i="11"/>
  <c r="J194" i="11" s="1"/>
  <c r="Z188" i="11"/>
  <c r="AL188" i="11"/>
  <c r="R145" i="11"/>
  <c r="BI143" i="11"/>
  <c r="O143" i="11"/>
  <c r="BI142" i="11"/>
  <c r="O142" i="11"/>
  <c r="Q142" i="11" s="1"/>
  <c r="BI141" i="11"/>
  <c r="O141" i="11"/>
  <c r="R140" i="11"/>
  <c r="L149" i="11"/>
  <c r="M149" i="11"/>
  <c r="O149" i="11"/>
  <c r="P149" i="11"/>
  <c r="L162" i="11"/>
  <c r="M162" i="11"/>
  <c r="O162" i="11"/>
  <c r="P162" i="11"/>
  <c r="L168" i="11"/>
  <c r="M168" i="11"/>
  <c r="O168" i="11"/>
  <c r="P168" i="11"/>
  <c r="L172" i="11"/>
  <c r="M172" i="11"/>
  <c r="O172" i="11"/>
  <c r="P172" i="11"/>
  <c r="L180" i="11"/>
  <c r="M180" i="11"/>
  <c r="O180" i="11"/>
  <c r="P180" i="11"/>
  <c r="L188" i="11"/>
  <c r="M188" i="11"/>
  <c r="O188" i="11"/>
  <c r="P188" i="11"/>
  <c r="AG151" i="11" l="1"/>
  <c r="AI151" i="11" s="1"/>
  <c r="AC180" i="11"/>
  <c r="AI180" i="11"/>
  <c r="BJ194" i="11"/>
  <c r="BJ188" i="11" s="1"/>
  <c r="BH186" i="11"/>
  <c r="BJ186" i="11" s="1"/>
  <c r="BJ180" i="11" s="1"/>
  <c r="AA152" i="11"/>
  <c r="AC152" i="11" s="1"/>
  <c r="T145" i="11"/>
  <c r="U145" i="11" s="1"/>
  <c r="U155" i="11"/>
  <c r="W155" i="11" s="1"/>
  <c r="W149" i="11" s="1"/>
  <c r="Z195" i="11"/>
  <c r="AE117" i="11"/>
  <c r="AC117" i="11"/>
  <c r="T140" i="11"/>
  <c r="AU180" i="11"/>
  <c r="Z111" i="11"/>
  <c r="Z87" i="11" s="1"/>
  <c r="AN155" i="11"/>
  <c r="Q141" i="11"/>
  <c r="R141" i="11" s="1"/>
  <c r="R143" i="11"/>
  <c r="T143" i="11" s="1"/>
  <c r="Q143" i="11"/>
  <c r="AA153" i="11"/>
  <c r="AC153" i="11" s="1"/>
  <c r="AE198" i="11"/>
  <c r="AC198" i="11"/>
  <c r="Z180" i="11"/>
  <c r="AE112" i="11"/>
  <c r="AC112" i="11"/>
  <c r="AL180" i="11"/>
  <c r="I191" i="11"/>
  <c r="J191" i="11" s="1"/>
  <c r="I190" i="11"/>
  <c r="J190" i="11" s="1"/>
  <c r="I193" i="11"/>
  <c r="J193" i="11" s="1"/>
  <c r="I192" i="11"/>
  <c r="J192" i="11" s="1"/>
  <c r="AJ117" i="11"/>
  <c r="AJ112" i="11"/>
  <c r="AG198" i="11"/>
  <c r="AJ151" i="11"/>
  <c r="AL151" i="11" s="1"/>
  <c r="R142" i="11"/>
  <c r="T142" i="11" s="1"/>
  <c r="X155" i="11" l="1"/>
  <c r="Z155" i="11" s="1"/>
  <c r="Z149" i="11" s="1"/>
  <c r="AD153" i="11"/>
  <c r="AF153" i="11" s="1"/>
  <c r="AC111" i="11"/>
  <c r="AC87" i="11" s="1"/>
  <c r="U143" i="11"/>
  <c r="W143" i="11" s="1"/>
  <c r="W145" i="11"/>
  <c r="X145" i="11" s="1"/>
  <c r="AH112" i="11"/>
  <c r="AF112" i="11"/>
  <c r="AH198" i="11"/>
  <c r="AF198" i="11"/>
  <c r="AH117" i="11"/>
  <c r="AF117" i="11"/>
  <c r="T141" i="11"/>
  <c r="U141" i="11" s="1"/>
  <c r="Z179" i="11"/>
  <c r="Q139" i="11"/>
  <c r="Q86" i="11" s="1"/>
  <c r="AQ155" i="11"/>
  <c r="AC195" i="11"/>
  <c r="AC179" i="11" s="1"/>
  <c r="U140" i="11"/>
  <c r="AM112" i="11"/>
  <c r="AM117" i="11"/>
  <c r="AJ198" i="11"/>
  <c r="AM151" i="11"/>
  <c r="AO151" i="11" s="1"/>
  <c r="U142" i="11"/>
  <c r="W142" i="11" s="1"/>
  <c r="AG153" i="11" l="1"/>
  <c r="AI153" i="11" s="1"/>
  <c r="AA155" i="11"/>
  <c r="AC155" i="11" s="1"/>
  <c r="AC149" i="11" s="1"/>
  <c r="T139" i="11"/>
  <c r="T86" i="11" s="1"/>
  <c r="X143" i="11"/>
  <c r="Z143" i="11" s="1"/>
  <c r="AF195" i="11"/>
  <c r="AF179" i="11" s="1"/>
  <c r="AK112" i="11"/>
  <c r="AI112" i="11"/>
  <c r="AT155" i="11"/>
  <c r="W141" i="11"/>
  <c r="X141" i="11" s="1"/>
  <c r="AK198" i="11"/>
  <c r="AI198" i="11"/>
  <c r="Z145" i="11"/>
  <c r="AA145" i="11" s="1"/>
  <c r="W140" i="11"/>
  <c r="AF111" i="11"/>
  <c r="AF87" i="11" s="1"/>
  <c r="AK117" i="11"/>
  <c r="AI117" i="11"/>
  <c r="AP117" i="11"/>
  <c r="AP112" i="11"/>
  <c r="AM198" i="11"/>
  <c r="AP151" i="11"/>
  <c r="AR151" i="11" s="1"/>
  <c r="AJ153" i="11"/>
  <c r="AL153" i="11" s="1"/>
  <c r="X142" i="11"/>
  <c r="Z142" i="11" s="1"/>
  <c r="AD155" i="11" l="1"/>
  <c r="AF155" i="11" s="1"/>
  <c r="AF149" i="11" s="1"/>
  <c r="AA143" i="11"/>
  <c r="AC143" i="11" s="1"/>
  <c r="W139" i="11"/>
  <c r="W86" i="11" s="1"/>
  <c r="AN117" i="11"/>
  <c r="AL117" i="11"/>
  <c r="AN198" i="11"/>
  <c r="AL198" i="11"/>
  <c r="AI111" i="11"/>
  <c r="AI87" i="11" s="1"/>
  <c r="AC145" i="11"/>
  <c r="AD145" i="11" s="1"/>
  <c r="Z141" i="11"/>
  <c r="AA141" i="11" s="1"/>
  <c r="BI155" i="11"/>
  <c r="X140" i="11"/>
  <c r="AI195" i="11"/>
  <c r="AI179" i="11" s="1"/>
  <c r="AN112" i="11"/>
  <c r="AL112" i="11"/>
  <c r="AS112" i="11"/>
  <c r="BH112" i="11" s="1"/>
  <c r="AS117" i="11"/>
  <c r="BH117" i="11" s="1"/>
  <c r="AP198" i="11"/>
  <c r="AM153" i="11"/>
  <c r="AO153" i="11" s="1"/>
  <c r="AS151" i="11"/>
  <c r="AU151" i="11" s="1"/>
  <c r="AD143" i="11"/>
  <c r="AF143" i="11" s="1"/>
  <c r="AA142" i="11"/>
  <c r="AC142" i="11" s="1"/>
  <c r="AG155" i="11" l="1"/>
  <c r="AI155" i="11" s="1"/>
  <c r="AI149" i="11" s="1"/>
  <c r="AF145" i="11"/>
  <c r="AG145" i="11" s="1"/>
  <c r="AC141" i="11"/>
  <c r="AD141" i="11" s="1"/>
  <c r="Z140" i="11"/>
  <c r="Z139" i="11" s="1"/>
  <c r="Z86" i="11" s="1"/>
  <c r="AL111" i="11"/>
  <c r="AL87" i="11" s="1"/>
  <c r="AQ112" i="11"/>
  <c r="AO112" i="11"/>
  <c r="AQ198" i="11"/>
  <c r="AO198" i="11"/>
  <c r="AL195" i="11"/>
  <c r="AL179" i="11" s="1"/>
  <c r="AQ117" i="11"/>
  <c r="AO117" i="11"/>
  <c r="AS198" i="11"/>
  <c r="BH151" i="11"/>
  <c r="BJ151" i="11" s="1"/>
  <c r="AP153" i="11"/>
  <c r="AR153" i="11" s="1"/>
  <c r="AD142" i="11"/>
  <c r="AF142" i="11" s="1"/>
  <c r="AG143" i="11"/>
  <c r="AI143" i="11" s="1"/>
  <c r="AJ155" i="11" l="1"/>
  <c r="AL155" i="11" s="1"/>
  <c r="AL149" i="11" s="1"/>
  <c r="AA140" i="11"/>
  <c r="AC140" i="11" s="1"/>
  <c r="AC139" i="11" s="1"/>
  <c r="AF141" i="11"/>
  <c r="AG141" i="11" s="1"/>
  <c r="AI145" i="11"/>
  <c r="AJ145" i="11" s="1"/>
  <c r="AT198" i="11"/>
  <c r="AR198" i="11"/>
  <c r="AT112" i="11"/>
  <c r="AR112" i="11"/>
  <c r="AT117" i="11"/>
  <c r="AR117" i="11"/>
  <c r="AO195" i="11"/>
  <c r="AO179" i="11" s="1"/>
  <c r="AO111" i="11"/>
  <c r="AO87" i="11" s="1"/>
  <c r="BH111" i="11"/>
  <c r="BH198" i="11"/>
  <c r="AS153" i="11"/>
  <c r="AU153" i="11" s="1"/>
  <c r="AM155" i="11"/>
  <c r="AO155" i="11" s="1"/>
  <c r="AO149" i="11" s="1"/>
  <c r="AG142" i="11"/>
  <c r="AI142" i="11" s="1"/>
  <c r="AJ143" i="11"/>
  <c r="AL143" i="11" s="1"/>
  <c r="AR195" i="11" l="1"/>
  <c r="AR179" i="11" s="1"/>
  <c r="AL145" i="11"/>
  <c r="AM145" i="11" s="1"/>
  <c r="AI141" i="11"/>
  <c r="AJ141" i="11" s="1"/>
  <c r="AD140" i="11"/>
  <c r="AR111" i="11"/>
  <c r="AR87" i="11" s="1"/>
  <c r="BI198" i="11"/>
  <c r="AU198" i="11"/>
  <c r="BI117" i="11"/>
  <c r="AU117" i="11"/>
  <c r="BI112" i="11"/>
  <c r="AU112" i="11"/>
  <c r="AP155" i="11"/>
  <c r="AR155" i="11" s="1"/>
  <c r="AR149" i="11" s="1"/>
  <c r="BH153" i="11"/>
  <c r="BJ153" i="11" s="1"/>
  <c r="AM143" i="11"/>
  <c r="AO143" i="11" s="1"/>
  <c r="AJ142" i="11"/>
  <c r="AL142" i="11" s="1"/>
  <c r="AU111" i="11" l="1"/>
  <c r="AU87" i="11" s="1"/>
  <c r="AL141" i="11"/>
  <c r="AM141" i="11" s="1"/>
  <c r="AO145" i="11"/>
  <c r="AP145" i="11" s="1"/>
  <c r="AV111" i="11"/>
  <c r="BJ112" i="11"/>
  <c r="BJ198" i="11"/>
  <c r="BJ195" i="11" s="1"/>
  <c r="BJ179" i="11" s="1"/>
  <c r="BJ12" i="11" s="1"/>
  <c r="AU195" i="11"/>
  <c r="AU179" i="11" s="1"/>
  <c r="AU12" i="11" s="1"/>
  <c r="BJ117" i="11"/>
  <c r="AF140" i="11"/>
  <c r="AF139" i="11" s="1"/>
  <c r="AS155" i="11"/>
  <c r="AU155" i="11" s="1"/>
  <c r="AU149" i="11" s="1"/>
  <c r="AM142" i="11"/>
  <c r="AO142" i="11" s="1"/>
  <c r="AP143" i="11"/>
  <c r="AR143" i="11" s="1"/>
  <c r="AR145" i="11" l="1"/>
  <c r="AS145" i="11" s="1"/>
  <c r="AO141" i="11"/>
  <c r="AP141" i="11" s="1"/>
  <c r="AV195" i="11"/>
  <c r="BJ111" i="11"/>
  <c r="BK111" i="11"/>
  <c r="AV87" i="11"/>
  <c r="AG140" i="11"/>
  <c r="BH155" i="11"/>
  <c r="BJ155" i="11" s="1"/>
  <c r="AS143" i="11"/>
  <c r="AU143" i="11" s="1"/>
  <c r="AP142" i="11"/>
  <c r="AR142" i="11" s="1"/>
  <c r="AR141" i="11" l="1"/>
  <c r="AS141" i="11" s="1"/>
  <c r="AU145" i="11"/>
  <c r="I145" i="11" s="1"/>
  <c r="J145" i="11" s="1"/>
  <c r="BH145" i="11"/>
  <c r="BJ145" i="11" s="1"/>
  <c r="AI140" i="11"/>
  <c r="AI139" i="11" s="1"/>
  <c r="BJ87" i="11"/>
  <c r="BK195" i="11"/>
  <c r="AV179" i="11"/>
  <c r="BK87" i="11"/>
  <c r="AV86" i="11"/>
  <c r="BH143" i="11"/>
  <c r="BJ143" i="11" s="1"/>
  <c r="AS142" i="11"/>
  <c r="AU142" i="11" s="1"/>
  <c r="AU141" i="11" l="1"/>
  <c r="I141" i="11" s="1"/>
  <c r="J141" i="11" s="1"/>
  <c r="BH141" i="11"/>
  <c r="BJ141" i="11" s="1"/>
  <c r="BK86" i="11"/>
  <c r="AV11" i="11"/>
  <c r="AV12" i="11"/>
  <c r="BK179" i="11"/>
  <c r="AV16" i="11"/>
  <c r="BK16" i="11" s="1"/>
  <c r="AJ140" i="11"/>
  <c r="BH142" i="11"/>
  <c r="BJ142" i="11" s="1"/>
  <c r="AL140" i="11" l="1"/>
  <c r="AL139" i="11" s="1"/>
  <c r="J148" i="11"/>
  <c r="BI158" i="11"/>
  <c r="BH158" i="11"/>
  <c r="BI157" i="11"/>
  <c r="BC157" i="11"/>
  <c r="BE157" i="11" s="1"/>
  <c r="BE149" i="11" s="1"/>
  <c r="BE16" i="11" s="1"/>
  <c r="AX157" i="11"/>
  <c r="BJ158" i="11" l="1"/>
  <c r="BH157" i="11"/>
  <c r="BJ157" i="11" s="1"/>
  <c r="AZ157" i="11"/>
  <c r="AZ149" i="11" s="1"/>
  <c r="AZ16" i="11" s="1"/>
  <c r="AM140" i="11"/>
  <c r="BK12" i="11"/>
  <c r="BK11" i="11"/>
  <c r="BJ149" i="11" l="1"/>
  <c r="AO140" i="11"/>
  <c r="AO139" i="11" s="1"/>
  <c r="I202" i="11"/>
  <c r="H202" i="11"/>
  <c r="I138" i="11"/>
  <c r="I137" i="11" s="1"/>
  <c r="I136" i="11"/>
  <c r="H138" i="11"/>
  <c r="H137" i="11" s="1"/>
  <c r="H136" i="11"/>
  <c r="I82" i="11"/>
  <c r="H82" i="11"/>
  <c r="AP140" i="11" l="1"/>
  <c r="AR140" i="11" l="1"/>
  <c r="AR139" i="11" s="1"/>
  <c r="J202" i="11"/>
  <c r="J151" i="11"/>
  <c r="J152" i="11"/>
  <c r="J153" i="11"/>
  <c r="J154" i="11"/>
  <c r="J155" i="11"/>
  <c r="J156" i="11"/>
  <c r="J157" i="11"/>
  <c r="J158" i="11"/>
  <c r="J150" i="11"/>
  <c r="J138" i="11"/>
  <c r="J137" i="11" s="1"/>
  <c r="J136" i="11"/>
  <c r="J122" i="11"/>
  <c r="J82" i="11"/>
  <c r="J77" i="11"/>
  <c r="J72" i="11"/>
  <c r="J68" i="11"/>
  <c r="J27" i="11"/>
  <c r="J31" i="11"/>
  <c r="J35" i="11"/>
  <c r="J38" i="11"/>
  <c r="I149" i="11"/>
  <c r="H149" i="11"/>
  <c r="I135" i="11"/>
  <c r="I201" i="11"/>
  <c r="I195" i="11"/>
  <c r="I188" i="11"/>
  <c r="I180" i="11"/>
  <c r="I172" i="11"/>
  <c r="I168" i="11"/>
  <c r="I162" i="11"/>
  <c r="I139" i="11"/>
  <c r="I124" i="11"/>
  <c r="I88" i="11"/>
  <c r="I83" i="11"/>
  <c r="I80" i="11"/>
  <c r="I76" i="11"/>
  <c r="I67" i="11"/>
  <c r="I61" i="11"/>
  <c r="I45" i="11"/>
  <c r="I21" i="11"/>
  <c r="J182" i="11"/>
  <c r="J183" i="11"/>
  <c r="J184" i="11"/>
  <c r="J185" i="11"/>
  <c r="J186" i="11"/>
  <c r="J187" i="11"/>
  <c r="J181" i="11"/>
  <c r="J174" i="11"/>
  <c r="J175" i="11"/>
  <c r="J176" i="11"/>
  <c r="J177" i="11"/>
  <c r="J178" i="11"/>
  <c r="J173" i="11"/>
  <c r="J171" i="11"/>
  <c r="J169" i="11"/>
  <c r="J164" i="11"/>
  <c r="J166" i="11"/>
  <c r="J167" i="11"/>
  <c r="J163" i="11"/>
  <c r="J146" i="11"/>
  <c r="J147" i="11"/>
  <c r="J121" i="11"/>
  <c r="J123" i="11"/>
  <c r="J120" i="11"/>
  <c r="J85" i="11"/>
  <c r="J84" i="11"/>
  <c r="J81" i="11"/>
  <c r="J78" i="11"/>
  <c r="J79" i="11"/>
  <c r="J69" i="11"/>
  <c r="J70" i="11"/>
  <c r="J71" i="11"/>
  <c r="J73" i="11"/>
  <c r="J74" i="11"/>
  <c r="J75" i="11"/>
  <c r="J24" i="11"/>
  <c r="J25" i="11"/>
  <c r="J26" i="11"/>
  <c r="J28" i="11"/>
  <c r="J29" i="11"/>
  <c r="J30" i="11"/>
  <c r="J32" i="11"/>
  <c r="J33" i="11"/>
  <c r="J34" i="11"/>
  <c r="J36" i="11"/>
  <c r="J37" i="11"/>
  <c r="J39" i="11"/>
  <c r="J40" i="11"/>
  <c r="J41" i="11"/>
  <c r="J42" i="11"/>
  <c r="J43" i="11"/>
  <c r="J44" i="11"/>
  <c r="AA280" i="15"/>
  <c r="Z280" i="15"/>
  <c r="Z287" i="15" s="1"/>
  <c r="Y280" i="15"/>
  <c r="Y287" i="15" s="1"/>
  <c r="U280" i="15"/>
  <c r="U287" i="15" s="1"/>
  <c r="Q280" i="15"/>
  <c r="Q287" i="15" s="1"/>
  <c r="P280" i="15"/>
  <c r="P287" i="15" s="1"/>
  <c r="O280" i="15"/>
  <c r="O287" i="15" s="1"/>
  <c r="N280" i="15"/>
  <c r="M280" i="15"/>
  <c r="M287" i="15" s="1"/>
  <c r="L280" i="15"/>
  <c r="L287" i="15" s="1"/>
  <c r="K280" i="15"/>
  <c r="J280" i="15"/>
  <c r="AA279" i="15"/>
  <c r="Z279" i="15"/>
  <c r="Y279" i="15"/>
  <c r="U279" i="15"/>
  <c r="U278" i="15" s="1"/>
  <c r="Q279" i="15"/>
  <c r="P279" i="15"/>
  <c r="P278" i="15" s="1"/>
  <c r="O279" i="15"/>
  <c r="O278" i="15" s="1"/>
  <c r="N279" i="15"/>
  <c r="M279" i="15"/>
  <c r="M278" i="15" s="1"/>
  <c r="L279" i="15"/>
  <c r="L278" i="15" s="1"/>
  <c r="K279" i="15"/>
  <c r="K278" i="15" s="1"/>
  <c r="J279" i="15"/>
  <c r="Q278" i="15"/>
  <c r="AA268" i="15"/>
  <c r="Z268" i="15"/>
  <c r="Y268" i="15"/>
  <c r="Q268" i="15"/>
  <c r="P268" i="15"/>
  <c r="O268" i="15"/>
  <c r="N268" i="15"/>
  <c r="M268" i="15"/>
  <c r="L268" i="15"/>
  <c r="K268" i="15"/>
  <c r="J268" i="15"/>
  <c r="AA263" i="15"/>
  <c r="Z263" i="15"/>
  <c r="Y263" i="15"/>
  <c r="U263" i="15"/>
  <c r="Q263" i="15"/>
  <c r="P263" i="15"/>
  <c r="O263" i="15"/>
  <c r="N263" i="15"/>
  <c r="M263" i="15"/>
  <c r="L263" i="15"/>
  <c r="K263" i="15"/>
  <c r="AC263" i="15" s="1"/>
  <c r="J263" i="15"/>
  <c r="AI254" i="15"/>
  <c r="AJ254" i="15" s="1"/>
  <c r="AF254" i="15"/>
  <c r="AC254" i="15"/>
  <c r="AB254" i="15"/>
  <c r="AD254" i="15" s="1"/>
  <c r="W254" i="15"/>
  <c r="V254" i="15"/>
  <c r="V280" i="15" s="1"/>
  <c r="V287" i="15" s="1"/>
  <c r="R254" i="15"/>
  <c r="T254" i="15" s="1"/>
  <c r="T280" i="15" s="1"/>
  <c r="T287" i="15" s="1"/>
  <c r="AI253" i="15"/>
  <c r="AJ253" i="15" s="1"/>
  <c r="AF253" i="15"/>
  <c r="AC253" i="15"/>
  <c r="AB253" i="15"/>
  <c r="AD253" i="15" s="1"/>
  <c r="W253" i="15"/>
  <c r="V253" i="15"/>
  <c r="R253" i="15"/>
  <c r="T253" i="15" s="1"/>
  <c r="AA252" i="15"/>
  <c r="Z252" i="15"/>
  <c r="Y252" i="15"/>
  <c r="U252" i="15"/>
  <c r="Q252" i="15"/>
  <c r="P252" i="15"/>
  <c r="O252" i="15"/>
  <c r="N252" i="15"/>
  <c r="M252" i="15"/>
  <c r="L252" i="15"/>
  <c r="K252" i="15"/>
  <c r="J252" i="15"/>
  <c r="I252" i="15"/>
  <c r="H252" i="15"/>
  <c r="G252" i="15"/>
  <c r="AJ251" i="15"/>
  <c r="AF251" i="15"/>
  <c r="AC251" i="15"/>
  <c r="AB251" i="15"/>
  <c r="AD251" i="15" s="1"/>
  <c r="W251" i="15"/>
  <c r="V251" i="15"/>
  <c r="R251" i="15"/>
  <c r="T251" i="15" s="1"/>
  <c r="AJ250" i="15"/>
  <c r="AF250" i="15"/>
  <c r="AC250" i="15"/>
  <c r="AB250" i="15"/>
  <c r="AD250" i="15" s="1"/>
  <c r="W250" i="15"/>
  <c r="V250" i="15"/>
  <c r="R250" i="15"/>
  <c r="I250" i="15"/>
  <c r="I249" i="15" s="1"/>
  <c r="AI249" i="15"/>
  <c r="AA249" i="15"/>
  <c r="Z249" i="15"/>
  <c r="Y249" i="15"/>
  <c r="U249" i="15"/>
  <c r="Q249" i="15"/>
  <c r="P249" i="15"/>
  <c r="O249" i="15"/>
  <c r="N249" i="15"/>
  <c r="M249" i="15"/>
  <c r="L249" i="15"/>
  <c r="K249" i="15"/>
  <c r="AC249" i="15" s="1"/>
  <c r="J249" i="15"/>
  <c r="H249" i="15"/>
  <c r="G249" i="15"/>
  <c r="AJ247" i="15"/>
  <c r="AF247" i="15"/>
  <c r="AC247" i="15"/>
  <c r="AB247" i="15"/>
  <c r="AD247" i="15" s="1"/>
  <c r="W247" i="15"/>
  <c r="V247" i="15"/>
  <c r="R247" i="15"/>
  <c r="T247" i="15" s="1"/>
  <c r="AJ246" i="15"/>
  <c r="AF246" i="15"/>
  <c r="AC246" i="15"/>
  <c r="AB246" i="15"/>
  <c r="AD246" i="15" s="1"/>
  <c r="W246" i="15"/>
  <c r="V246" i="15"/>
  <c r="R246" i="15"/>
  <c r="T246" i="15" s="1"/>
  <c r="AJ245" i="15"/>
  <c r="AF245" i="15"/>
  <c r="AC245" i="15"/>
  <c r="AB245" i="15"/>
  <c r="AD245" i="15" s="1"/>
  <c r="W245" i="15"/>
  <c r="V245" i="15"/>
  <c r="R245" i="15"/>
  <c r="T245" i="15" s="1"/>
  <c r="AJ244" i="15"/>
  <c r="AF244" i="15"/>
  <c r="AC244" i="15"/>
  <c r="AB244" i="15"/>
  <c r="AD244" i="15" s="1"/>
  <c r="W244" i="15"/>
  <c r="V244" i="15"/>
  <c r="R244" i="15"/>
  <c r="T244" i="15" s="1"/>
  <c r="AJ243" i="15"/>
  <c r="AF243" i="15"/>
  <c r="AC243" i="15"/>
  <c r="AB243" i="15"/>
  <c r="AD243" i="15" s="1"/>
  <c r="W243" i="15"/>
  <c r="V243" i="15"/>
  <c r="R243" i="15"/>
  <c r="T243" i="15" s="1"/>
  <c r="AI242" i="15"/>
  <c r="AA242" i="15"/>
  <c r="AA241" i="15" s="1"/>
  <c r="AA269" i="15" s="1"/>
  <c r="Z242" i="15"/>
  <c r="Z241" i="15" s="1"/>
  <c r="Y242" i="15"/>
  <c r="Y241" i="15" s="1"/>
  <c r="U242" i="15"/>
  <c r="U241" i="15" s="1"/>
  <c r="U269" i="15" s="1"/>
  <c r="Q242" i="15"/>
  <c r="Q241" i="15" s="1"/>
  <c r="P242" i="15"/>
  <c r="P241" i="15" s="1"/>
  <c r="P269" i="15" s="1"/>
  <c r="O242" i="15"/>
  <c r="O241" i="15" s="1"/>
  <c r="O269" i="15" s="1"/>
  <c r="N242" i="15"/>
  <c r="N241" i="15" s="1"/>
  <c r="M242" i="15"/>
  <c r="M241" i="15" s="1"/>
  <c r="M269" i="15" s="1"/>
  <c r="L242" i="15"/>
  <c r="L241" i="15" s="1"/>
  <c r="L269" i="15" s="1"/>
  <c r="K242" i="15"/>
  <c r="K241" i="15" s="1"/>
  <c r="J242" i="15"/>
  <c r="J241" i="15" s="1"/>
  <c r="I242" i="15"/>
  <c r="I241" i="15" s="1"/>
  <c r="H242" i="15"/>
  <c r="H241" i="15" s="1"/>
  <c r="G242" i="15"/>
  <c r="G241" i="15" s="1"/>
  <c r="AI240" i="15"/>
  <c r="AJ240" i="15" s="1"/>
  <c r="AF240" i="15"/>
  <c r="AC240" i="15"/>
  <c r="AB240" i="15"/>
  <c r="AD240" i="15" s="1"/>
  <c r="W240" i="15"/>
  <c r="V240" i="15"/>
  <c r="R240" i="15"/>
  <c r="T240" i="15" s="1"/>
  <c r="AI239" i="15"/>
  <c r="AJ239" i="15" s="1"/>
  <c r="AF239" i="15"/>
  <c r="AC239" i="15"/>
  <c r="AB239" i="15"/>
  <c r="AD239" i="15" s="1"/>
  <c r="W239" i="15"/>
  <c r="V239" i="15"/>
  <c r="R239" i="15"/>
  <c r="T239" i="15" s="1"/>
  <c r="AI238" i="15"/>
  <c r="AJ238" i="15" s="1"/>
  <c r="AF238" i="15"/>
  <c r="AC238" i="15"/>
  <c r="AB238" i="15"/>
  <c r="AD238" i="15" s="1"/>
  <c r="W238" i="15"/>
  <c r="V238" i="15"/>
  <c r="R238" i="15"/>
  <c r="T238" i="15" s="1"/>
  <c r="AI237" i="15"/>
  <c r="AJ237" i="15" s="1"/>
  <c r="AF237" i="15"/>
  <c r="AC237" i="15"/>
  <c r="AB237" i="15"/>
  <c r="AD237" i="15" s="1"/>
  <c r="W237" i="15"/>
  <c r="V237" i="15"/>
  <c r="R237" i="15"/>
  <c r="T237" i="15" s="1"/>
  <c r="AI236" i="15"/>
  <c r="AJ236" i="15" s="1"/>
  <c r="AF236" i="15"/>
  <c r="AC236" i="15"/>
  <c r="AB236" i="15"/>
  <c r="AD236" i="15" s="1"/>
  <c r="W236" i="15"/>
  <c r="V236" i="15"/>
  <c r="R236" i="15"/>
  <c r="T236" i="15" s="1"/>
  <c r="AA235" i="15"/>
  <c r="AA233" i="15" s="1"/>
  <c r="Z235" i="15"/>
  <c r="Z233" i="15" s="1"/>
  <c r="Z259" i="15" s="1"/>
  <c r="Y235" i="15"/>
  <c r="U235" i="15"/>
  <c r="Q235" i="15"/>
  <c r="Q233" i="15" s="1"/>
  <c r="Q259" i="15" s="1"/>
  <c r="P235" i="15"/>
  <c r="P233" i="15" s="1"/>
  <c r="P259" i="15" s="1"/>
  <c r="O235" i="15"/>
  <c r="O233" i="15" s="1"/>
  <c r="N235" i="15"/>
  <c r="N233" i="15" s="1"/>
  <c r="N259" i="15" s="1"/>
  <c r="M235" i="15"/>
  <c r="L235" i="15"/>
  <c r="L233" i="15" s="1"/>
  <c r="K235" i="15"/>
  <c r="J235" i="15"/>
  <c r="J233" i="15" s="1"/>
  <c r="I235" i="15"/>
  <c r="H235" i="15"/>
  <c r="H233" i="15" s="1"/>
  <c r="G235" i="15"/>
  <c r="G233" i="15" s="1"/>
  <c r="AI234" i="15"/>
  <c r="AF234" i="15"/>
  <c r="AC234" i="15"/>
  <c r="AB234" i="15"/>
  <c r="AD234" i="15" s="1"/>
  <c r="W234" i="15"/>
  <c r="V234" i="15"/>
  <c r="R234" i="15"/>
  <c r="T234" i="15" s="1"/>
  <c r="U233" i="15"/>
  <c r="M233" i="15"/>
  <c r="M259" i="15" s="1"/>
  <c r="I233" i="15"/>
  <c r="AJ231" i="15"/>
  <c r="AF231" i="15"/>
  <c r="AC231" i="15"/>
  <c r="AB231" i="15"/>
  <c r="AD231" i="15" s="1"/>
  <c r="W231" i="15"/>
  <c r="V231" i="15"/>
  <c r="R231" i="15"/>
  <c r="T231" i="15" s="1"/>
  <c r="AJ230" i="15"/>
  <c r="AF230" i="15"/>
  <c r="AC230" i="15"/>
  <c r="AB230" i="15"/>
  <c r="AD230" i="15" s="1"/>
  <c r="W230" i="15"/>
  <c r="V230" i="15"/>
  <c r="R230" i="15"/>
  <c r="T230" i="15" s="1"/>
  <c r="AI229" i="15"/>
  <c r="AA229" i="15"/>
  <c r="Z229" i="15"/>
  <c r="Y229" i="15"/>
  <c r="U229" i="15"/>
  <c r="Q229" i="15"/>
  <c r="P229" i="15"/>
  <c r="O229" i="15"/>
  <c r="N229" i="15"/>
  <c r="M229" i="15"/>
  <c r="L229" i="15"/>
  <c r="K229" i="15"/>
  <c r="J229" i="15"/>
  <c r="I229" i="15"/>
  <c r="H229" i="15"/>
  <c r="G229" i="15"/>
  <c r="AJ228" i="15"/>
  <c r="AF228" i="15"/>
  <c r="AC228" i="15"/>
  <c r="AB228" i="15"/>
  <c r="AD228" i="15" s="1"/>
  <c r="W228" i="15"/>
  <c r="V228" i="15"/>
  <c r="R228" i="15"/>
  <c r="T228" i="15" s="1"/>
  <c r="AJ227" i="15"/>
  <c r="AF227" i="15"/>
  <c r="AC227" i="15"/>
  <c r="AB227" i="15"/>
  <c r="AD227" i="15" s="1"/>
  <c r="W227" i="15"/>
  <c r="V227" i="15"/>
  <c r="R227" i="15"/>
  <c r="T227" i="15" s="1"/>
  <c r="AJ226" i="15"/>
  <c r="AF226" i="15"/>
  <c r="AC226" i="15"/>
  <c r="AB226" i="15"/>
  <c r="AD226" i="15" s="1"/>
  <c r="W226" i="15"/>
  <c r="V226" i="15"/>
  <c r="R226" i="15"/>
  <c r="T226" i="15" s="1"/>
  <c r="AI225" i="15"/>
  <c r="AA225" i="15"/>
  <c r="Z225" i="15"/>
  <c r="Z274" i="15" s="1"/>
  <c r="Y225" i="15"/>
  <c r="Y274" i="15" s="1"/>
  <c r="U225" i="15"/>
  <c r="Q225" i="15"/>
  <c r="Q274" i="15" s="1"/>
  <c r="P225" i="15"/>
  <c r="P274" i="15" s="1"/>
  <c r="O225" i="15"/>
  <c r="O274" i="15" s="1"/>
  <c r="N225" i="15"/>
  <c r="N274" i="15" s="1"/>
  <c r="M225" i="15"/>
  <c r="M274" i="15" s="1"/>
  <c r="L225" i="15"/>
  <c r="L274" i="15" s="1"/>
  <c r="K225" i="15"/>
  <c r="J225" i="15"/>
  <c r="J274" i="15" s="1"/>
  <c r="I225" i="15"/>
  <c r="H225" i="15"/>
  <c r="G225" i="15"/>
  <c r="AJ224" i="15"/>
  <c r="AF224" i="15"/>
  <c r="AC224" i="15"/>
  <c r="AB224" i="15"/>
  <c r="AD224" i="15" s="1"/>
  <c r="W224" i="15"/>
  <c r="V224" i="15"/>
  <c r="R224" i="15"/>
  <c r="T224" i="15" s="1"/>
  <c r="AJ223" i="15"/>
  <c r="AF223" i="15"/>
  <c r="AC223" i="15"/>
  <c r="AB223" i="15"/>
  <c r="AD223" i="15" s="1"/>
  <c r="W223" i="15"/>
  <c r="V223" i="15"/>
  <c r="R223" i="15"/>
  <c r="T223" i="15" s="1"/>
  <c r="AJ222" i="15"/>
  <c r="AF222" i="15"/>
  <c r="AC222" i="15"/>
  <c r="AB222" i="15"/>
  <c r="AD222" i="15" s="1"/>
  <c r="W222" i="15"/>
  <c r="V222" i="15"/>
  <c r="R222" i="15"/>
  <c r="T222" i="15" s="1"/>
  <c r="AJ221" i="15"/>
  <c r="AF221" i="15"/>
  <c r="AC221" i="15"/>
  <c r="AB221" i="15"/>
  <c r="AD221" i="15" s="1"/>
  <c r="W221" i="15"/>
  <c r="V221" i="15"/>
  <c r="R221" i="15"/>
  <c r="T221" i="15" s="1"/>
  <c r="AI220" i="15"/>
  <c r="AA220" i="15"/>
  <c r="AA219" i="15" s="1"/>
  <c r="Z220" i="15"/>
  <c r="Y220" i="15"/>
  <c r="Y219" i="15" s="1"/>
  <c r="U220" i="15"/>
  <c r="U219" i="15" s="1"/>
  <c r="Q220" i="15"/>
  <c r="Q219" i="15" s="1"/>
  <c r="P220" i="15"/>
  <c r="P219" i="15" s="1"/>
  <c r="O220" i="15"/>
  <c r="N220" i="15"/>
  <c r="N219" i="15" s="1"/>
  <c r="M220" i="15"/>
  <c r="M219" i="15" s="1"/>
  <c r="L220" i="15"/>
  <c r="L219" i="15" s="1"/>
  <c r="K220" i="15"/>
  <c r="J220" i="15"/>
  <c r="J219" i="15" s="1"/>
  <c r="I220" i="15"/>
  <c r="I219" i="15" s="1"/>
  <c r="H220" i="15"/>
  <c r="H219" i="15" s="1"/>
  <c r="G220" i="15"/>
  <c r="G219" i="15" s="1"/>
  <c r="O219" i="15"/>
  <c r="AJ218" i="15"/>
  <c r="AF218" i="15"/>
  <c r="AC218" i="15"/>
  <c r="AB218" i="15"/>
  <c r="AD218" i="15" s="1"/>
  <c r="W218" i="15"/>
  <c r="V218" i="15"/>
  <c r="R218" i="15"/>
  <c r="T218" i="15" s="1"/>
  <c r="AJ217" i="15"/>
  <c r="AF217" i="15"/>
  <c r="AC217" i="15"/>
  <c r="AB217" i="15"/>
  <c r="AD217" i="15" s="1"/>
  <c r="W217" i="15"/>
  <c r="V217" i="15"/>
  <c r="R217" i="15"/>
  <c r="T217" i="15" s="1"/>
  <c r="AI216" i="15"/>
  <c r="AF216" i="15"/>
  <c r="AC216" i="15"/>
  <c r="AB216" i="15"/>
  <c r="AD216" i="15" s="1"/>
  <c r="W216" i="15"/>
  <c r="V216" i="15"/>
  <c r="R216" i="15"/>
  <c r="T216" i="15" s="1"/>
  <c r="AA215" i="15"/>
  <c r="Z215" i="15"/>
  <c r="Z210" i="15" s="1"/>
  <c r="Y215" i="15"/>
  <c r="Y210" i="15" s="1"/>
  <c r="U215" i="15"/>
  <c r="Q215" i="15"/>
  <c r="Q210" i="15" s="1"/>
  <c r="P215" i="15"/>
  <c r="O215" i="15"/>
  <c r="O210" i="15" s="1"/>
  <c r="O209" i="15" s="1"/>
  <c r="N215" i="15"/>
  <c r="N210" i="15" s="1"/>
  <c r="M215" i="15"/>
  <c r="M210" i="15" s="1"/>
  <c r="L215" i="15"/>
  <c r="K215" i="15"/>
  <c r="K210" i="15" s="1"/>
  <c r="J215" i="15"/>
  <c r="I215" i="15"/>
  <c r="I210" i="15" s="1"/>
  <c r="H215" i="15"/>
  <c r="H210" i="15" s="1"/>
  <c r="G215" i="15"/>
  <c r="G210" i="15" s="1"/>
  <c r="G209" i="15" s="1"/>
  <c r="AI214" i="15"/>
  <c r="AJ214" i="15" s="1"/>
  <c r="AF214" i="15"/>
  <c r="AC214" i="15"/>
  <c r="AB214" i="15"/>
  <c r="AD214" i="15" s="1"/>
  <c r="W214" i="15"/>
  <c r="V214" i="15"/>
  <c r="R214" i="15"/>
  <c r="T214" i="15" s="1"/>
  <c r="AI213" i="15"/>
  <c r="AJ213" i="15" s="1"/>
  <c r="AF213" i="15"/>
  <c r="AC213" i="15"/>
  <c r="AB213" i="15"/>
  <c r="AD213" i="15" s="1"/>
  <c r="W213" i="15"/>
  <c r="V213" i="15"/>
  <c r="R213" i="15"/>
  <c r="T213" i="15" s="1"/>
  <c r="AJ212" i="15"/>
  <c r="AF212" i="15"/>
  <c r="AC212" i="15"/>
  <c r="AB212" i="15"/>
  <c r="AD212" i="15" s="1"/>
  <c r="W212" i="15"/>
  <c r="V212" i="15"/>
  <c r="R212" i="15"/>
  <c r="T212" i="15" s="1"/>
  <c r="AI211" i="15"/>
  <c r="AJ211" i="15" s="1"/>
  <c r="AF211" i="15"/>
  <c r="AC211" i="15"/>
  <c r="AB211" i="15"/>
  <c r="AD211" i="15" s="1"/>
  <c r="W211" i="15"/>
  <c r="V211" i="15"/>
  <c r="R211" i="15"/>
  <c r="T211" i="15" s="1"/>
  <c r="P210" i="15"/>
  <c r="L210" i="15"/>
  <c r="AJ208" i="15"/>
  <c r="AF208" i="15"/>
  <c r="AC208" i="15"/>
  <c r="AB208" i="15"/>
  <c r="AD208" i="15" s="1"/>
  <c r="W208" i="15"/>
  <c r="V208" i="15"/>
  <c r="R208" i="15"/>
  <c r="T208" i="15" s="1"/>
  <c r="AI207" i="15"/>
  <c r="AA207" i="15"/>
  <c r="Z207" i="15"/>
  <c r="Y207" i="15"/>
  <c r="U207" i="15"/>
  <c r="Q207" i="15"/>
  <c r="P207" i="15"/>
  <c r="O207" i="15"/>
  <c r="N207" i="15"/>
  <c r="M207" i="15"/>
  <c r="L207" i="15"/>
  <c r="K207" i="15"/>
  <c r="J207" i="15"/>
  <c r="I207" i="15"/>
  <c r="H207" i="15"/>
  <c r="G207" i="15"/>
  <c r="AI206" i="15"/>
  <c r="AI200" i="15" s="1"/>
  <c r="AF206" i="15"/>
  <c r="AC206" i="15"/>
  <c r="AB206" i="15"/>
  <c r="AD206" i="15" s="1"/>
  <c r="W206" i="15"/>
  <c r="V206" i="15"/>
  <c r="R206" i="15"/>
  <c r="T206" i="15" s="1"/>
  <c r="AJ205" i="15"/>
  <c r="AF205" i="15"/>
  <c r="AC205" i="15"/>
  <c r="AB205" i="15"/>
  <c r="AD205" i="15" s="1"/>
  <c r="W205" i="15"/>
  <c r="V205" i="15"/>
  <c r="R205" i="15"/>
  <c r="T205" i="15" s="1"/>
  <c r="AJ204" i="15"/>
  <c r="AF204" i="15"/>
  <c r="AC204" i="15"/>
  <c r="AB204" i="15"/>
  <c r="AD204" i="15" s="1"/>
  <c r="W204" i="15"/>
  <c r="V204" i="15"/>
  <c r="R204" i="15"/>
  <c r="T204" i="15" s="1"/>
  <c r="AJ203" i="15"/>
  <c r="AF203" i="15"/>
  <c r="AC203" i="15"/>
  <c r="AB203" i="15"/>
  <c r="AD203" i="15" s="1"/>
  <c r="W203" i="15"/>
  <c r="V203" i="15"/>
  <c r="R203" i="15"/>
  <c r="T203" i="15" s="1"/>
  <c r="AJ202" i="15"/>
  <c r="AF202" i="15"/>
  <c r="AC202" i="15"/>
  <c r="AB202" i="15"/>
  <c r="AD202" i="15" s="1"/>
  <c r="W202" i="15"/>
  <c r="V202" i="15"/>
  <c r="R202" i="15"/>
  <c r="T202" i="15" s="1"/>
  <c r="AJ201" i="15"/>
  <c r="AF201" i="15"/>
  <c r="AC201" i="15"/>
  <c r="AB201" i="15"/>
  <c r="AD201" i="15" s="1"/>
  <c r="W201" i="15"/>
  <c r="V201" i="15"/>
  <c r="R201" i="15"/>
  <c r="I201" i="15"/>
  <c r="I200" i="15" s="1"/>
  <c r="AA200" i="15"/>
  <c r="Z200" i="15"/>
  <c r="Z199" i="15" s="1"/>
  <c r="Y200" i="15"/>
  <c r="U200" i="15"/>
  <c r="Q200" i="15"/>
  <c r="P200" i="15"/>
  <c r="P199" i="15" s="1"/>
  <c r="O200" i="15"/>
  <c r="N200" i="15"/>
  <c r="M200" i="15"/>
  <c r="L200" i="15"/>
  <c r="L199" i="15" s="1"/>
  <c r="K200" i="15"/>
  <c r="J200" i="15"/>
  <c r="H200" i="15"/>
  <c r="H199" i="15" s="1"/>
  <c r="G200" i="15"/>
  <c r="AJ198" i="15"/>
  <c r="AF198" i="15"/>
  <c r="AC198" i="15"/>
  <c r="AB198" i="15"/>
  <c r="AD198" i="15" s="1"/>
  <c r="W198" i="15"/>
  <c r="V198" i="15"/>
  <c r="R198" i="15"/>
  <c r="T198" i="15" s="1"/>
  <c r="AJ197" i="15"/>
  <c r="AF197" i="15"/>
  <c r="AC197" i="15"/>
  <c r="AB197" i="15"/>
  <c r="AD197" i="15" s="1"/>
  <c r="W197" i="15"/>
  <c r="V197" i="15"/>
  <c r="R197" i="15"/>
  <c r="T197" i="15" s="1"/>
  <c r="AI196" i="15"/>
  <c r="AA196" i="15"/>
  <c r="Z196" i="15"/>
  <c r="Y196" i="15"/>
  <c r="U196" i="15"/>
  <c r="U190" i="15" s="1"/>
  <c r="Q196" i="15"/>
  <c r="P196" i="15"/>
  <c r="O196" i="15"/>
  <c r="N196" i="15"/>
  <c r="M196" i="15"/>
  <c r="L196" i="15"/>
  <c r="K196" i="15"/>
  <c r="J196" i="15"/>
  <c r="I196" i="15"/>
  <c r="H196" i="15"/>
  <c r="G196" i="15"/>
  <c r="AJ195" i="15"/>
  <c r="AF195" i="15"/>
  <c r="AC195" i="15"/>
  <c r="AB195" i="15"/>
  <c r="AD195" i="15" s="1"/>
  <c r="W195" i="15"/>
  <c r="V195" i="15"/>
  <c r="R195" i="15"/>
  <c r="T195" i="15" s="1"/>
  <c r="AJ194" i="15"/>
  <c r="AF194" i="15"/>
  <c r="AC194" i="15"/>
  <c r="AB194" i="15"/>
  <c r="AD194" i="15" s="1"/>
  <c r="W194" i="15"/>
  <c r="V194" i="15"/>
  <c r="R194" i="15"/>
  <c r="T194" i="15" s="1"/>
  <c r="AI193" i="15"/>
  <c r="AF193" i="15"/>
  <c r="AC193" i="15"/>
  <c r="AB193" i="15"/>
  <c r="AD193" i="15" s="1"/>
  <c r="W193" i="15"/>
  <c r="V193" i="15"/>
  <c r="R193" i="15"/>
  <c r="T193" i="15" s="1"/>
  <c r="AI192" i="15"/>
  <c r="AJ192" i="15" s="1"/>
  <c r="AF192" i="15"/>
  <c r="AC192" i="15"/>
  <c r="AB192" i="15"/>
  <c r="AD192" i="15" s="1"/>
  <c r="W192" i="15"/>
  <c r="V192" i="15"/>
  <c r="R192" i="15"/>
  <c r="T192" i="15" s="1"/>
  <c r="AA191" i="15"/>
  <c r="Z191" i="15"/>
  <c r="Y191" i="15"/>
  <c r="U191" i="15"/>
  <c r="Q191" i="15"/>
  <c r="P191" i="15"/>
  <c r="O191" i="15"/>
  <c r="N191" i="15"/>
  <c r="M191" i="15"/>
  <c r="L191" i="15"/>
  <c r="K191" i="15"/>
  <c r="J191" i="15"/>
  <c r="I191" i="15"/>
  <c r="H191" i="15"/>
  <c r="G191" i="15"/>
  <c r="AJ189" i="15"/>
  <c r="AF189" i="15"/>
  <c r="AC189" i="15"/>
  <c r="AB189" i="15"/>
  <c r="AD189" i="15" s="1"/>
  <c r="W189" i="15"/>
  <c r="V189" i="15"/>
  <c r="R189" i="15"/>
  <c r="T189" i="15" s="1"/>
  <c r="AJ188" i="15"/>
  <c r="AF188" i="15"/>
  <c r="AC188" i="15"/>
  <c r="AB188" i="15"/>
  <c r="AD188" i="15" s="1"/>
  <c r="W188" i="15"/>
  <c r="V188" i="15"/>
  <c r="R188" i="15"/>
  <c r="T188" i="15" s="1"/>
  <c r="AJ187" i="15"/>
  <c r="AF187" i="15"/>
  <c r="AC187" i="15"/>
  <c r="AB187" i="15"/>
  <c r="AD187" i="15" s="1"/>
  <c r="W187" i="15"/>
  <c r="V187" i="15"/>
  <c r="R187" i="15"/>
  <c r="T187" i="15" s="1"/>
  <c r="AJ186" i="15"/>
  <c r="AF186" i="15"/>
  <c r="AC186" i="15"/>
  <c r="AB186" i="15"/>
  <c r="AD186" i="15" s="1"/>
  <c r="W186" i="15"/>
  <c r="V186" i="15"/>
  <c r="R186" i="15"/>
  <c r="T186" i="15" s="1"/>
  <c r="AI185" i="15"/>
  <c r="AA185" i="15"/>
  <c r="Z185" i="15"/>
  <c r="Z182" i="15" s="1"/>
  <c r="Y185" i="15"/>
  <c r="U185" i="15"/>
  <c r="U182" i="15" s="1"/>
  <c r="Q185" i="15"/>
  <c r="Q182" i="15" s="1"/>
  <c r="P185" i="15"/>
  <c r="P182" i="15" s="1"/>
  <c r="O185" i="15"/>
  <c r="O182" i="15" s="1"/>
  <c r="N185" i="15"/>
  <c r="N182" i="15" s="1"/>
  <c r="M185" i="15"/>
  <c r="M182" i="15" s="1"/>
  <c r="L185" i="15"/>
  <c r="L182" i="15" s="1"/>
  <c r="K185" i="15"/>
  <c r="K182" i="15" s="1"/>
  <c r="J185" i="15"/>
  <c r="I185" i="15"/>
  <c r="H185" i="15"/>
  <c r="H182" i="15" s="1"/>
  <c r="G185" i="15"/>
  <c r="AJ184" i="15"/>
  <c r="AF184" i="15"/>
  <c r="AC184" i="15"/>
  <c r="AB184" i="15"/>
  <c r="AD184" i="15" s="1"/>
  <c r="W184" i="15"/>
  <c r="V184" i="15"/>
  <c r="R184" i="15"/>
  <c r="I184" i="15"/>
  <c r="AJ183" i="15"/>
  <c r="AF183" i="15"/>
  <c r="AC183" i="15"/>
  <c r="AB183" i="15"/>
  <c r="AD183" i="15" s="1"/>
  <c r="W183" i="15"/>
  <c r="V183" i="15"/>
  <c r="R183" i="15"/>
  <c r="T183" i="15" s="1"/>
  <c r="G182" i="15"/>
  <c r="AJ180" i="15"/>
  <c r="AF180" i="15"/>
  <c r="AC180" i="15"/>
  <c r="AB180" i="15"/>
  <c r="AD180" i="15" s="1"/>
  <c r="W180" i="15"/>
  <c r="V180" i="15"/>
  <c r="R180" i="15"/>
  <c r="T180" i="15" s="1"/>
  <c r="AJ179" i="15"/>
  <c r="AF179" i="15"/>
  <c r="AC179" i="15"/>
  <c r="AB179" i="15"/>
  <c r="AD179" i="15" s="1"/>
  <c r="W179" i="15"/>
  <c r="V179" i="15"/>
  <c r="R179" i="15"/>
  <c r="AI178" i="15"/>
  <c r="AA178" i="15"/>
  <c r="Z178" i="15"/>
  <c r="Y178" i="15"/>
  <c r="U178" i="15"/>
  <c r="Q178" i="15"/>
  <c r="P178" i="15"/>
  <c r="O178" i="15"/>
  <c r="N178" i="15"/>
  <c r="M178" i="15"/>
  <c r="L178" i="15"/>
  <c r="K178" i="15"/>
  <c r="J178" i="15"/>
  <c r="I178" i="15"/>
  <c r="H178" i="15"/>
  <c r="G178" i="15"/>
  <c r="AJ177" i="15"/>
  <c r="AF177" i="15"/>
  <c r="AC177" i="15"/>
  <c r="AB177" i="15"/>
  <c r="AD177" i="15" s="1"/>
  <c r="W177" i="15"/>
  <c r="V177" i="15"/>
  <c r="R177" i="15"/>
  <c r="T177" i="15" s="1"/>
  <c r="AJ176" i="15"/>
  <c r="AF176" i="15"/>
  <c r="AC176" i="15"/>
  <c r="AB176" i="15"/>
  <c r="AD176" i="15" s="1"/>
  <c r="W176" i="15"/>
  <c r="V176" i="15"/>
  <c r="R176" i="15"/>
  <c r="T176" i="15" s="1"/>
  <c r="AJ175" i="15"/>
  <c r="AF175" i="15"/>
  <c r="AC175" i="15"/>
  <c r="AB175" i="15"/>
  <c r="AD175" i="15" s="1"/>
  <c r="W175" i="15"/>
  <c r="V175" i="15"/>
  <c r="R175" i="15"/>
  <c r="T175" i="15" s="1"/>
  <c r="AI174" i="15"/>
  <c r="AA174" i="15"/>
  <c r="Z174" i="15"/>
  <c r="Z173" i="15" s="1"/>
  <c r="Z273" i="15" s="1"/>
  <c r="Y174" i="15"/>
  <c r="U174" i="15"/>
  <c r="Q174" i="15"/>
  <c r="P174" i="15"/>
  <c r="P173" i="15" s="1"/>
  <c r="P273" i="15" s="1"/>
  <c r="O174" i="15"/>
  <c r="N174" i="15"/>
  <c r="M174" i="15"/>
  <c r="L174" i="15"/>
  <c r="L173" i="15" s="1"/>
  <c r="L273" i="15" s="1"/>
  <c r="K174" i="15"/>
  <c r="J174" i="15"/>
  <c r="I174" i="15"/>
  <c r="H174" i="15"/>
  <c r="H173" i="15" s="1"/>
  <c r="G174" i="15"/>
  <c r="AJ172" i="15"/>
  <c r="AF172" i="15"/>
  <c r="AC172" i="15"/>
  <c r="AB172" i="15"/>
  <c r="AD172" i="15" s="1"/>
  <c r="W172" i="15"/>
  <c r="V172" i="15"/>
  <c r="R172" i="15"/>
  <c r="T172" i="15" s="1"/>
  <c r="AI171" i="15"/>
  <c r="AJ171" i="15" s="1"/>
  <c r="AF171" i="15"/>
  <c r="AC171" i="15"/>
  <c r="AB171" i="15"/>
  <c r="AD171" i="15" s="1"/>
  <c r="W171" i="15"/>
  <c r="V171" i="15"/>
  <c r="R171" i="15"/>
  <c r="T171" i="15" s="1"/>
  <c r="AJ170" i="15"/>
  <c r="AF170" i="15"/>
  <c r="AC170" i="15"/>
  <c r="AB170" i="15"/>
  <c r="AD170" i="15" s="1"/>
  <c r="W170" i="15"/>
  <c r="V170" i="15"/>
  <c r="R170" i="15"/>
  <c r="T170" i="15" s="1"/>
  <c r="AJ169" i="15"/>
  <c r="AF169" i="15"/>
  <c r="AC169" i="15"/>
  <c r="AB169" i="15"/>
  <c r="AD169" i="15" s="1"/>
  <c r="W169" i="15"/>
  <c r="V169" i="15"/>
  <c r="R169" i="15"/>
  <c r="T169" i="15" s="1"/>
  <c r="AJ168" i="15"/>
  <c r="AF168" i="15"/>
  <c r="AC168" i="15"/>
  <c r="AB168" i="15"/>
  <c r="AD168" i="15" s="1"/>
  <c r="W168" i="15"/>
  <c r="V168" i="15"/>
  <c r="R168" i="15"/>
  <c r="T168" i="15" s="1"/>
  <c r="AJ167" i="15"/>
  <c r="AF167" i="15"/>
  <c r="AC167" i="15"/>
  <c r="AB167" i="15"/>
  <c r="AD167" i="15" s="1"/>
  <c r="W167" i="15"/>
  <c r="V167" i="15"/>
  <c r="R167" i="15"/>
  <c r="T167" i="15" s="1"/>
  <c r="AJ166" i="15"/>
  <c r="AF166" i="15"/>
  <c r="AC166" i="15"/>
  <c r="AB166" i="15"/>
  <c r="AD166" i="15" s="1"/>
  <c r="W166" i="15"/>
  <c r="V166" i="15"/>
  <c r="R166" i="15"/>
  <c r="T166" i="15" s="1"/>
  <c r="AJ165" i="15"/>
  <c r="AF165" i="15"/>
  <c r="AC165" i="15"/>
  <c r="AB165" i="15"/>
  <c r="AD165" i="15" s="1"/>
  <c r="W165" i="15"/>
  <c r="V165" i="15"/>
  <c r="R165" i="15"/>
  <c r="T165" i="15" s="1"/>
  <c r="AI164" i="15"/>
  <c r="AA164" i="15"/>
  <c r="AA277" i="15" s="1"/>
  <c r="Z164" i="15"/>
  <c r="Z277" i="15" s="1"/>
  <c r="Y164" i="15"/>
  <c r="Y163" i="15" s="1"/>
  <c r="U164" i="15"/>
  <c r="U277" i="15" s="1"/>
  <c r="Q164" i="15"/>
  <c r="Q277" i="15" s="1"/>
  <c r="P164" i="15"/>
  <c r="P277" i="15" s="1"/>
  <c r="O164" i="15"/>
  <c r="N164" i="15"/>
  <c r="M164" i="15"/>
  <c r="M277" i="15" s="1"/>
  <c r="L164" i="15"/>
  <c r="L277" i="15" s="1"/>
  <c r="K164" i="15"/>
  <c r="J164" i="15"/>
  <c r="I164" i="15"/>
  <c r="I163" i="15" s="1"/>
  <c r="H164" i="15"/>
  <c r="H163" i="15" s="1"/>
  <c r="G164" i="15"/>
  <c r="G163" i="15" s="1"/>
  <c r="AA163" i="15"/>
  <c r="AJ162" i="15"/>
  <c r="AF162" i="15"/>
  <c r="AC162" i="15"/>
  <c r="AB162" i="15"/>
  <c r="AD162" i="15" s="1"/>
  <c r="W162" i="15"/>
  <c r="V162" i="15"/>
  <c r="R162" i="15"/>
  <c r="T162" i="15" s="1"/>
  <c r="AI161" i="15"/>
  <c r="AF161" i="15"/>
  <c r="AC161" i="15"/>
  <c r="AB161" i="15"/>
  <c r="AD161" i="15" s="1"/>
  <c r="W161" i="15"/>
  <c r="V161" i="15"/>
  <c r="R161" i="15"/>
  <c r="T161" i="15" s="1"/>
  <c r="AA160" i="15"/>
  <c r="Z160" i="15"/>
  <c r="Z157" i="15" s="1"/>
  <c r="Y160" i="15"/>
  <c r="Y157" i="15" s="1"/>
  <c r="U160" i="15"/>
  <c r="Q160" i="15"/>
  <c r="Q157" i="15" s="1"/>
  <c r="P160" i="15"/>
  <c r="P157" i="15" s="1"/>
  <c r="O160" i="15"/>
  <c r="O157" i="15" s="1"/>
  <c r="N160" i="15"/>
  <c r="N157" i="15" s="1"/>
  <c r="M160" i="15"/>
  <c r="M157" i="15" s="1"/>
  <c r="L160" i="15"/>
  <c r="L157" i="15" s="1"/>
  <c r="K160" i="15"/>
  <c r="K157" i="15" s="1"/>
  <c r="J160" i="15"/>
  <c r="J157" i="15" s="1"/>
  <c r="I160" i="15"/>
  <c r="I157" i="15" s="1"/>
  <c r="H160" i="15"/>
  <c r="H157" i="15" s="1"/>
  <c r="G160" i="15"/>
  <c r="G157" i="15" s="1"/>
  <c r="AJ159" i="15"/>
  <c r="AF159" i="15"/>
  <c r="AC159" i="15"/>
  <c r="AB159" i="15"/>
  <c r="AD159" i="15" s="1"/>
  <c r="W159" i="15"/>
  <c r="V159" i="15"/>
  <c r="R159" i="15"/>
  <c r="T159" i="15" s="1"/>
  <c r="AJ158" i="15"/>
  <c r="AF158" i="15"/>
  <c r="AC158" i="15"/>
  <c r="AB158" i="15"/>
  <c r="AD158" i="15" s="1"/>
  <c r="W158" i="15"/>
  <c r="V158" i="15"/>
  <c r="R158" i="15"/>
  <c r="T158" i="15" s="1"/>
  <c r="AJ156" i="15"/>
  <c r="AF156" i="15"/>
  <c r="AC156" i="15"/>
  <c r="AB156" i="15"/>
  <c r="AD156" i="15" s="1"/>
  <c r="W156" i="15"/>
  <c r="V156" i="15"/>
  <c r="R156" i="15"/>
  <c r="T156" i="15" s="1"/>
  <c r="AI155" i="15"/>
  <c r="AJ155" i="15" s="1"/>
  <c r="AF155" i="15"/>
  <c r="AD155" i="15"/>
  <c r="AC155" i="15"/>
  <c r="AB155" i="15"/>
  <c r="W155" i="15"/>
  <c r="V155" i="15"/>
  <c r="R155" i="15"/>
  <c r="T155" i="15" s="1"/>
  <c r="AA154" i="15"/>
  <c r="Z154" i="15"/>
  <c r="Y154" i="15"/>
  <c r="U154" i="15"/>
  <c r="Q154" i="15"/>
  <c r="P154" i="15"/>
  <c r="O154" i="15"/>
  <c r="N154" i="15"/>
  <c r="M154" i="15"/>
  <c r="L154" i="15"/>
  <c r="K154" i="15"/>
  <c r="AC154" i="15" s="1"/>
  <c r="J154" i="15"/>
  <c r="I154" i="15"/>
  <c r="H154" i="15"/>
  <c r="G154" i="15"/>
  <c r="AJ153" i="15"/>
  <c r="AF153" i="15"/>
  <c r="AC153" i="15"/>
  <c r="AB153" i="15"/>
  <c r="AD153" i="15" s="1"/>
  <c r="W153" i="15"/>
  <c r="V153" i="15"/>
  <c r="R153" i="15"/>
  <c r="T153" i="15" s="1"/>
  <c r="AI152" i="15"/>
  <c r="AJ152" i="15" s="1"/>
  <c r="AF152" i="15"/>
  <c r="AC152" i="15"/>
  <c r="AB152" i="15"/>
  <c r="AD152" i="15" s="1"/>
  <c r="W152" i="15"/>
  <c r="V152" i="15"/>
  <c r="R152" i="15"/>
  <c r="T152" i="15" s="1"/>
  <c r="AA151" i="15"/>
  <c r="Z151" i="15"/>
  <c r="Y151" i="15"/>
  <c r="U151" i="15"/>
  <c r="Q151" i="15"/>
  <c r="P151" i="15"/>
  <c r="O151" i="15"/>
  <c r="N151" i="15"/>
  <c r="M151" i="15"/>
  <c r="L151" i="15"/>
  <c r="K151" i="15"/>
  <c r="J151" i="15"/>
  <c r="I151" i="15"/>
  <c r="H151" i="15"/>
  <c r="G151" i="15"/>
  <c r="AJ146" i="15"/>
  <c r="AF146" i="15"/>
  <c r="AC146" i="15"/>
  <c r="AB146" i="15"/>
  <c r="AD146" i="15" s="1"/>
  <c r="W146" i="15"/>
  <c r="V146" i="15"/>
  <c r="R146" i="15"/>
  <c r="T146" i="15" s="1"/>
  <c r="AJ145" i="15"/>
  <c r="AF145" i="15"/>
  <c r="AC145" i="15"/>
  <c r="AB145" i="15"/>
  <c r="AD145" i="15" s="1"/>
  <c r="W145" i="15"/>
  <c r="V145" i="15"/>
  <c r="R145" i="15"/>
  <c r="T145" i="15" s="1"/>
  <c r="AJ144" i="15"/>
  <c r="AF144" i="15"/>
  <c r="AC144" i="15"/>
  <c r="AB144" i="15"/>
  <c r="AD144" i="15" s="1"/>
  <c r="W144" i="15"/>
  <c r="V144" i="15"/>
  <c r="R144" i="15"/>
  <c r="T144" i="15" s="1"/>
  <c r="AI143" i="15"/>
  <c r="AA143" i="15"/>
  <c r="Z143" i="15"/>
  <c r="Y143" i="15"/>
  <c r="U143" i="15"/>
  <c r="Q143" i="15"/>
  <c r="P143" i="15"/>
  <c r="O143" i="15"/>
  <c r="N143" i="15"/>
  <c r="M143" i="15"/>
  <c r="L143" i="15"/>
  <c r="K143" i="15"/>
  <c r="J143" i="15"/>
  <c r="I143" i="15"/>
  <c r="H143" i="15"/>
  <c r="G143" i="15"/>
  <c r="AJ142" i="15"/>
  <c r="AF142" i="15"/>
  <c r="AC142" i="15"/>
  <c r="AB142" i="15"/>
  <c r="AD142" i="15" s="1"/>
  <c r="W142" i="15"/>
  <c r="V142" i="15"/>
  <c r="R142" i="15"/>
  <c r="T142" i="15" s="1"/>
  <c r="AJ141" i="15"/>
  <c r="AF141" i="15"/>
  <c r="AC141" i="15"/>
  <c r="AB141" i="15"/>
  <c r="AD141" i="15" s="1"/>
  <c r="W141" i="15"/>
  <c r="V141" i="15"/>
  <c r="T141" i="15"/>
  <c r="R141" i="15"/>
  <c r="AJ140" i="15"/>
  <c r="AF140" i="15"/>
  <c r="AD140" i="15"/>
  <c r="AC140" i="15"/>
  <c r="AB140" i="15"/>
  <c r="W140" i="15"/>
  <c r="V140" i="15"/>
  <c r="R140" i="15"/>
  <c r="T140" i="15" s="1"/>
  <c r="AI139" i="15"/>
  <c r="AA139" i="15"/>
  <c r="AA138" i="15" s="1"/>
  <c r="Z139" i="15"/>
  <c r="Z138" i="15" s="1"/>
  <c r="Z137" i="15" s="1"/>
  <c r="Y139" i="15"/>
  <c r="U139" i="15"/>
  <c r="U138" i="15" s="1"/>
  <c r="U137" i="15" s="1"/>
  <c r="Q139" i="15"/>
  <c r="Q138" i="15" s="1"/>
  <c r="P139" i="15"/>
  <c r="P138" i="15" s="1"/>
  <c r="P137" i="15" s="1"/>
  <c r="O139" i="15"/>
  <c r="O138" i="15" s="1"/>
  <c r="N139" i="15"/>
  <c r="N138" i="15" s="1"/>
  <c r="N137" i="15" s="1"/>
  <c r="M139" i="15"/>
  <c r="M138" i="15" s="1"/>
  <c r="L139" i="15"/>
  <c r="L138" i="15" s="1"/>
  <c r="K139" i="15"/>
  <c r="J139" i="15"/>
  <c r="J138" i="15" s="1"/>
  <c r="I139" i="15"/>
  <c r="I138" i="15" s="1"/>
  <c r="H139" i="15"/>
  <c r="H138" i="15" s="1"/>
  <c r="H137" i="15" s="1"/>
  <c r="G139" i="15"/>
  <c r="G138" i="15" s="1"/>
  <c r="AJ136" i="15"/>
  <c r="AF136" i="15"/>
  <c r="AC136" i="15"/>
  <c r="AB136" i="15"/>
  <c r="AD136" i="15" s="1"/>
  <c r="W136" i="15"/>
  <c r="V136" i="15"/>
  <c r="R136" i="15"/>
  <c r="T136" i="15" s="1"/>
  <c r="AJ135" i="15"/>
  <c r="AF135" i="15"/>
  <c r="AC135" i="15"/>
  <c r="AB135" i="15"/>
  <c r="AD135" i="15" s="1"/>
  <c r="W135" i="15"/>
  <c r="V135" i="15"/>
  <c r="R135" i="15"/>
  <c r="T135" i="15" s="1"/>
  <c r="AI134" i="15"/>
  <c r="AA134" i="15"/>
  <c r="Z134" i="15"/>
  <c r="Y134" i="15"/>
  <c r="U134" i="15"/>
  <c r="Q134" i="15"/>
  <c r="P134" i="15"/>
  <c r="O134" i="15"/>
  <c r="N134" i="15"/>
  <c r="M134" i="15"/>
  <c r="L134" i="15"/>
  <c r="K134" i="15"/>
  <c r="J134" i="15"/>
  <c r="I134" i="15"/>
  <c r="H134" i="15"/>
  <c r="G134" i="15"/>
  <c r="AJ133" i="15"/>
  <c r="AF133" i="15"/>
  <c r="AC133" i="15"/>
  <c r="AB133" i="15"/>
  <c r="AD133" i="15" s="1"/>
  <c r="W133" i="15"/>
  <c r="V133" i="15"/>
  <c r="R133" i="15"/>
  <c r="T133" i="15" s="1"/>
  <c r="AJ132" i="15"/>
  <c r="AF132" i="15"/>
  <c r="AC132" i="15"/>
  <c r="AB132" i="15"/>
  <c r="AD132" i="15" s="1"/>
  <c r="W132" i="15"/>
  <c r="V132" i="15"/>
  <c r="R132" i="15"/>
  <c r="T132" i="15" s="1"/>
  <c r="AJ131" i="15"/>
  <c r="AF131" i="15"/>
  <c r="AC131" i="15"/>
  <c r="AB131" i="15"/>
  <c r="AD131" i="15" s="1"/>
  <c r="W131" i="15"/>
  <c r="V131" i="15"/>
  <c r="R131" i="15"/>
  <c r="T131" i="15" s="1"/>
  <c r="AI130" i="15"/>
  <c r="AA130" i="15"/>
  <c r="Z130" i="15"/>
  <c r="Y130" i="15"/>
  <c r="U130" i="15"/>
  <c r="Q130" i="15"/>
  <c r="P130" i="15"/>
  <c r="O130" i="15"/>
  <c r="N130" i="15"/>
  <c r="M130" i="15"/>
  <c r="M128" i="15" s="1"/>
  <c r="M127" i="15" s="1"/>
  <c r="L130" i="15"/>
  <c r="K130" i="15"/>
  <c r="J130" i="15"/>
  <c r="I130" i="15"/>
  <c r="H130" i="15"/>
  <c r="G130" i="15"/>
  <c r="AJ129" i="15"/>
  <c r="AF129" i="15"/>
  <c r="AC129" i="15"/>
  <c r="AB129" i="15"/>
  <c r="AD129" i="15" s="1"/>
  <c r="W129" i="15"/>
  <c r="V129" i="15"/>
  <c r="R129" i="15"/>
  <c r="T129" i="15" s="1"/>
  <c r="AJ126" i="15"/>
  <c r="AF126" i="15"/>
  <c r="AC126" i="15"/>
  <c r="AB126" i="15"/>
  <c r="AD126" i="15" s="1"/>
  <c r="W126" i="15"/>
  <c r="V126" i="15"/>
  <c r="R126" i="15"/>
  <c r="T126" i="15" s="1"/>
  <c r="AJ125" i="15"/>
  <c r="AF125" i="15"/>
  <c r="AC125" i="15"/>
  <c r="AB125" i="15"/>
  <c r="AD125" i="15" s="1"/>
  <c r="W125" i="15"/>
  <c r="V125" i="15"/>
  <c r="R125" i="15"/>
  <c r="T125" i="15" s="1"/>
  <c r="AJ124" i="15"/>
  <c r="AF124" i="15"/>
  <c r="AC124" i="15"/>
  <c r="AB124" i="15"/>
  <c r="AD124" i="15" s="1"/>
  <c r="W124" i="15"/>
  <c r="V124" i="15"/>
  <c r="R124" i="15"/>
  <c r="T124" i="15" s="1"/>
  <c r="AJ123" i="15"/>
  <c r="AF123" i="15"/>
  <c r="AC123" i="15"/>
  <c r="AB123" i="15"/>
  <c r="AD123" i="15" s="1"/>
  <c r="W123" i="15"/>
  <c r="V123" i="15"/>
  <c r="R123" i="15"/>
  <c r="T123" i="15" s="1"/>
  <c r="AJ122" i="15"/>
  <c r="AF122" i="15"/>
  <c r="AC122" i="15"/>
  <c r="AB122" i="15"/>
  <c r="AD122" i="15" s="1"/>
  <c r="W122" i="15"/>
  <c r="V122" i="15"/>
  <c r="R122" i="15"/>
  <c r="T122" i="15" s="1"/>
  <c r="AJ121" i="15"/>
  <c r="AF121" i="15"/>
  <c r="AC121" i="15"/>
  <c r="AB121" i="15"/>
  <c r="AD121" i="15" s="1"/>
  <c r="W121" i="15"/>
  <c r="V121" i="15"/>
  <c r="R121" i="15"/>
  <c r="T121" i="15" s="1"/>
  <c r="AI120" i="15"/>
  <c r="AA120" i="15"/>
  <c r="Z120" i="15"/>
  <c r="Y120" i="15"/>
  <c r="U120" i="15"/>
  <c r="Q120" i="15"/>
  <c r="P120" i="15"/>
  <c r="O120" i="15"/>
  <c r="N120" i="15"/>
  <c r="M120" i="15"/>
  <c r="L120" i="15"/>
  <c r="K120" i="15"/>
  <c r="J120" i="15"/>
  <c r="I120" i="15"/>
  <c r="H120" i="15"/>
  <c r="G120" i="15"/>
  <c r="AJ119" i="15"/>
  <c r="AF119" i="15"/>
  <c r="AC119" i="15"/>
  <c r="AB119" i="15"/>
  <c r="AD119" i="15" s="1"/>
  <c r="W119" i="15"/>
  <c r="V119" i="15"/>
  <c r="R119" i="15"/>
  <c r="T119" i="15" s="1"/>
  <c r="AJ118" i="15"/>
  <c r="AF118" i="15"/>
  <c r="AC118" i="15"/>
  <c r="AB118" i="15"/>
  <c r="AD118" i="15" s="1"/>
  <c r="U118" i="15"/>
  <c r="R118" i="15"/>
  <c r="T118" i="15" s="1"/>
  <c r="AJ117" i="15"/>
  <c r="AF117" i="15"/>
  <c r="AC117" i="15"/>
  <c r="AB117" i="15"/>
  <c r="AD117" i="15" s="1"/>
  <c r="W117" i="15"/>
  <c r="V117" i="15"/>
  <c r="R117" i="15"/>
  <c r="T117" i="15" s="1"/>
  <c r="AI116" i="15"/>
  <c r="AA116" i="15"/>
  <c r="AA115" i="15" s="1"/>
  <c r="Z116" i="15"/>
  <c r="Z115" i="15" s="1"/>
  <c r="Y116" i="15"/>
  <c r="Q116" i="15"/>
  <c r="P116" i="15"/>
  <c r="O116" i="15"/>
  <c r="N116" i="15"/>
  <c r="M116" i="15"/>
  <c r="L116" i="15"/>
  <c r="K116" i="15"/>
  <c r="J116" i="15"/>
  <c r="I116" i="15"/>
  <c r="H116" i="15"/>
  <c r="G116" i="15"/>
  <c r="AJ114" i="15"/>
  <c r="AF114" i="15"/>
  <c r="AC114" i="15"/>
  <c r="AB114" i="15"/>
  <c r="AD114" i="15" s="1"/>
  <c r="W114" i="15"/>
  <c r="V114" i="15"/>
  <c r="R114" i="15"/>
  <c r="T114" i="15" s="1"/>
  <c r="AI113" i="15"/>
  <c r="AF113" i="15"/>
  <c r="AC113" i="15"/>
  <c r="AB113" i="15"/>
  <c r="AD113" i="15" s="1"/>
  <c r="W113" i="15"/>
  <c r="V113" i="15"/>
  <c r="R113" i="15"/>
  <c r="T113" i="15" s="1"/>
  <c r="AA112" i="15"/>
  <c r="AA109" i="15" s="1"/>
  <c r="Z112" i="15"/>
  <c r="Z109" i="15" s="1"/>
  <c r="Z108" i="15" s="1"/>
  <c r="Y112" i="15"/>
  <c r="Y109" i="15" s="1"/>
  <c r="U112" i="15"/>
  <c r="U109" i="15" s="1"/>
  <c r="Q112" i="15"/>
  <c r="Q109" i="15" s="1"/>
  <c r="P112" i="15"/>
  <c r="P109" i="15" s="1"/>
  <c r="O112" i="15"/>
  <c r="O109" i="15" s="1"/>
  <c r="N112" i="15"/>
  <c r="N109" i="15" s="1"/>
  <c r="M112" i="15"/>
  <c r="M109" i="15" s="1"/>
  <c r="L112" i="15"/>
  <c r="L109" i="15" s="1"/>
  <c r="K112" i="15"/>
  <c r="AC112" i="15" s="1"/>
  <c r="J112" i="15"/>
  <c r="J109" i="15" s="1"/>
  <c r="I112" i="15"/>
  <c r="I109" i="15" s="1"/>
  <c r="H112" i="15"/>
  <c r="H109" i="15" s="1"/>
  <c r="G112" i="15"/>
  <c r="G109" i="15" s="1"/>
  <c r="AJ111" i="15"/>
  <c r="AF111" i="15"/>
  <c r="AC111" i="15"/>
  <c r="AB111" i="15"/>
  <c r="AD111" i="15" s="1"/>
  <c r="W111" i="15"/>
  <c r="V111" i="15"/>
  <c r="R111" i="15"/>
  <c r="T111" i="15" s="1"/>
  <c r="AI110" i="15"/>
  <c r="AJ110" i="15" s="1"/>
  <c r="AF110" i="15"/>
  <c r="AC110" i="15"/>
  <c r="AB110" i="15"/>
  <c r="AD110" i="15" s="1"/>
  <c r="W110" i="15"/>
  <c r="V110" i="15"/>
  <c r="R110" i="15"/>
  <c r="T110" i="15" s="1"/>
  <c r="AI106" i="15"/>
  <c r="AF106" i="15"/>
  <c r="AC106" i="15"/>
  <c r="AB106" i="15"/>
  <c r="AD106" i="15" s="1"/>
  <c r="W106" i="15"/>
  <c r="V106" i="15"/>
  <c r="R106" i="15"/>
  <c r="T106" i="15" s="1"/>
  <c r="AI105" i="15"/>
  <c r="AJ105" i="15" s="1"/>
  <c r="AF105" i="15"/>
  <c r="AC105" i="15"/>
  <c r="AB105" i="15"/>
  <c r="AD105" i="15" s="1"/>
  <c r="W105" i="15"/>
  <c r="V105" i="15"/>
  <c r="R105" i="15"/>
  <c r="T105" i="15" s="1"/>
  <c r="AA104" i="15"/>
  <c r="AA258" i="15" s="1"/>
  <c r="Z104" i="15"/>
  <c r="Z258" i="15" s="1"/>
  <c r="Y104" i="15"/>
  <c r="Y258" i="15" s="1"/>
  <c r="U104" i="15"/>
  <c r="U258" i="15" s="1"/>
  <c r="Q104" i="15"/>
  <c r="Q258" i="15" s="1"/>
  <c r="P104" i="15"/>
  <c r="P258" i="15" s="1"/>
  <c r="O104" i="15"/>
  <c r="O258" i="15" s="1"/>
  <c r="N104" i="15"/>
  <c r="N258" i="15" s="1"/>
  <c r="M104" i="15"/>
  <c r="M258" i="15" s="1"/>
  <c r="L104" i="15"/>
  <c r="L258" i="15" s="1"/>
  <c r="K104" i="15"/>
  <c r="K258" i="15" s="1"/>
  <c r="J104" i="15"/>
  <c r="J258" i="15" s="1"/>
  <c r="I104" i="15"/>
  <c r="H104" i="15"/>
  <c r="G104" i="15"/>
  <c r="AI103" i="15"/>
  <c r="AJ103" i="15" s="1"/>
  <c r="AF103" i="15"/>
  <c r="AC103" i="15"/>
  <c r="AB103" i="15"/>
  <c r="AD103" i="15" s="1"/>
  <c r="W103" i="15"/>
  <c r="V103" i="15"/>
  <c r="R103" i="15"/>
  <c r="T103" i="15" s="1"/>
  <c r="AJ102" i="15"/>
  <c r="AF102" i="15"/>
  <c r="AC102" i="15"/>
  <c r="AB102" i="15"/>
  <c r="AD102" i="15" s="1"/>
  <c r="W102" i="15"/>
  <c r="V102" i="15"/>
  <c r="R102" i="15"/>
  <c r="T102" i="15" s="1"/>
  <c r="AI101" i="15"/>
  <c r="AF101" i="15"/>
  <c r="AC101" i="15"/>
  <c r="AB101" i="15"/>
  <c r="AD101" i="15" s="1"/>
  <c r="W101" i="15"/>
  <c r="V101" i="15"/>
  <c r="R101" i="15"/>
  <c r="T101" i="15" s="1"/>
  <c r="AA100" i="15"/>
  <c r="Z100" i="15"/>
  <c r="Z98" i="15" s="1"/>
  <c r="Y100" i="15"/>
  <c r="Y98" i="15" s="1"/>
  <c r="U100" i="15"/>
  <c r="Q100" i="15"/>
  <c r="Q98" i="15" s="1"/>
  <c r="P100" i="15"/>
  <c r="P98" i="15" s="1"/>
  <c r="O100" i="15"/>
  <c r="O98" i="15" s="1"/>
  <c r="N100" i="15"/>
  <c r="N98" i="15" s="1"/>
  <c r="M100" i="15"/>
  <c r="M98" i="15" s="1"/>
  <c r="L100" i="15"/>
  <c r="L98" i="15" s="1"/>
  <c r="K100" i="15"/>
  <c r="AC100" i="15" s="1"/>
  <c r="J100" i="15"/>
  <c r="J98" i="15" s="1"/>
  <c r="I100" i="15"/>
  <c r="H100" i="15"/>
  <c r="H98" i="15" s="1"/>
  <c r="G100" i="15"/>
  <c r="G98" i="15" s="1"/>
  <c r="AJ99" i="15"/>
  <c r="AF99" i="15"/>
  <c r="AC99" i="15"/>
  <c r="AB99" i="15"/>
  <c r="AD99" i="15" s="1"/>
  <c r="U99" i="15"/>
  <c r="V99" i="15" s="1"/>
  <c r="R99" i="15"/>
  <c r="T99" i="15" s="1"/>
  <c r="AJ97" i="15"/>
  <c r="AF97" i="15"/>
  <c r="AC97" i="15"/>
  <c r="AB97" i="15"/>
  <c r="AD97" i="15" s="1"/>
  <c r="W97" i="15"/>
  <c r="V97" i="15"/>
  <c r="R97" i="15"/>
  <c r="T97" i="15" s="1"/>
  <c r="AJ96" i="15"/>
  <c r="AF96" i="15"/>
  <c r="AC96" i="15"/>
  <c r="AB96" i="15"/>
  <c r="AD96" i="15" s="1"/>
  <c r="W96" i="15"/>
  <c r="V96" i="15"/>
  <c r="R96" i="15"/>
  <c r="T96" i="15" s="1"/>
  <c r="AI95" i="15"/>
  <c r="AA95" i="15"/>
  <c r="Z95" i="15"/>
  <c r="Y95" i="15"/>
  <c r="U95" i="15"/>
  <c r="Q95" i="15"/>
  <c r="P95" i="15"/>
  <c r="O95" i="15"/>
  <c r="N95" i="15"/>
  <c r="M95" i="15"/>
  <c r="L95" i="15"/>
  <c r="K95" i="15"/>
  <c r="J95" i="15"/>
  <c r="I95" i="15"/>
  <c r="H95" i="15"/>
  <c r="G95" i="15"/>
  <c r="AI94" i="15"/>
  <c r="AJ94" i="15" s="1"/>
  <c r="AF94" i="15"/>
  <c r="AC94" i="15"/>
  <c r="AB94" i="15"/>
  <c r="AD94" i="15" s="1"/>
  <c r="W94" i="15"/>
  <c r="V94" i="15"/>
  <c r="R94" i="15"/>
  <c r="T94" i="15" s="1"/>
  <c r="AJ93" i="15"/>
  <c r="AF93" i="15"/>
  <c r="AC93" i="15"/>
  <c r="AB93" i="15"/>
  <c r="AD93" i="15" s="1"/>
  <c r="W93" i="15"/>
  <c r="V93" i="15"/>
  <c r="R93" i="15"/>
  <c r="T93" i="15" s="1"/>
  <c r="AJ92" i="15"/>
  <c r="AF92" i="15"/>
  <c r="AC92" i="15"/>
  <c r="AB92" i="15"/>
  <c r="AD92" i="15" s="1"/>
  <c r="W92" i="15"/>
  <c r="V92" i="15"/>
  <c r="V279" i="15" s="1"/>
  <c r="R92" i="15"/>
  <c r="R279" i="15" s="1"/>
  <c r="AI91" i="15"/>
  <c r="AA91" i="15"/>
  <c r="Z91" i="15"/>
  <c r="Y91" i="15"/>
  <c r="U91" i="15"/>
  <c r="Q91" i="15"/>
  <c r="P91" i="15"/>
  <c r="O91" i="15"/>
  <c r="N91" i="15"/>
  <c r="M91" i="15"/>
  <c r="M90" i="15" s="1"/>
  <c r="L91" i="15"/>
  <c r="K91" i="15"/>
  <c r="J91" i="15"/>
  <c r="I91" i="15"/>
  <c r="H91" i="15"/>
  <c r="G91" i="15"/>
  <c r="AJ88" i="15"/>
  <c r="AF88" i="15"/>
  <c r="AC88" i="15"/>
  <c r="AB88" i="15"/>
  <c r="AD88" i="15" s="1"/>
  <c r="W88" i="15"/>
  <c r="V88" i="15"/>
  <c r="R88" i="15"/>
  <c r="T88" i="15" s="1"/>
  <c r="AJ87" i="15"/>
  <c r="AF87" i="15"/>
  <c r="AC87" i="15"/>
  <c r="AB87" i="15"/>
  <c r="AD87" i="15" s="1"/>
  <c r="W87" i="15"/>
  <c r="V87" i="15"/>
  <c r="R87" i="15"/>
  <c r="AJ86" i="15"/>
  <c r="AF86" i="15"/>
  <c r="AC86" i="15"/>
  <c r="AB86" i="15"/>
  <c r="AD86" i="15" s="1"/>
  <c r="W86" i="15"/>
  <c r="V86" i="15"/>
  <c r="R86" i="15"/>
  <c r="T86" i="15" s="1"/>
  <c r="AI85" i="15"/>
  <c r="AA85" i="15"/>
  <c r="Z85" i="15"/>
  <c r="Y85" i="15"/>
  <c r="U85" i="15"/>
  <c r="Q85" i="15"/>
  <c r="P85" i="15"/>
  <c r="O85" i="15"/>
  <c r="N85" i="15"/>
  <c r="M85" i="15"/>
  <c r="L85" i="15"/>
  <c r="K85" i="15"/>
  <c r="J85" i="15"/>
  <c r="I85" i="15"/>
  <c r="H85" i="15"/>
  <c r="G85" i="15"/>
  <c r="AJ84" i="15"/>
  <c r="AF84" i="15"/>
  <c r="AC84" i="15"/>
  <c r="AB84" i="15"/>
  <c r="AD84" i="15" s="1"/>
  <c r="W84" i="15"/>
  <c r="V84" i="15"/>
  <c r="R84" i="15"/>
  <c r="T84" i="15" s="1"/>
  <c r="AJ83" i="15"/>
  <c r="AF83" i="15"/>
  <c r="AC83" i="15"/>
  <c r="AB83" i="15"/>
  <c r="AD83" i="15" s="1"/>
  <c r="W83" i="15"/>
  <c r="V83" i="15"/>
  <c r="R83" i="15"/>
  <c r="T83" i="15" s="1"/>
  <c r="AI82" i="15"/>
  <c r="AA82" i="15"/>
  <c r="Z82" i="15"/>
  <c r="Y82" i="15"/>
  <c r="U82" i="15"/>
  <c r="Q82" i="15"/>
  <c r="P82" i="15"/>
  <c r="O82" i="15"/>
  <c r="O81" i="15" s="1"/>
  <c r="O80" i="15" s="1"/>
  <c r="N82" i="15"/>
  <c r="M82" i="15"/>
  <c r="L82" i="15"/>
  <c r="K82" i="15"/>
  <c r="J82" i="15"/>
  <c r="I82" i="15"/>
  <c r="H82" i="15"/>
  <c r="G82" i="15"/>
  <c r="G81" i="15" s="1"/>
  <c r="G80" i="15" s="1"/>
  <c r="AJ79" i="15"/>
  <c r="AF79" i="15"/>
  <c r="AC79" i="15"/>
  <c r="AB79" i="15"/>
  <c r="AD79" i="15" s="1"/>
  <c r="W79" i="15"/>
  <c r="V79" i="15"/>
  <c r="R79" i="15"/>
  <c r="T79" i="15" s="1"/>
  <c r="AJ78" i="15"/>
  <c r="AF78" i="15"/>
  <c r="AC78" i="15"/>
  <c r="AB78" i="15"/>
  <c r="AD78" i="15" s="1"/>
  <c r="W78" i="15"/>
  <c r="V78" i="15"/>
  <c r="R78" i="15"/>
  <c r="T78" i="15" s="1"/>
  <c r="AJ77" i="15"/>
  <c r="AF77" i="15"/>
  <c r="AC77" i="15"/>
  <c r="AB77" i="15"/>
  <c r="AD77" i="15" s="1"/>
  <c r="W77" i="15"/>
  <c r="V77" i="15"/>
  <c r="R77" i="15"/>
  <c r="T77" i="15" s="1"/>
  <c r="AI76" i="15"/>
  <c r="AA76" i="15"/>
  <c r="AA272" i="15" s="1"/>
  <c r="Z76" i="15"/>
  <c r="Z272" i="15" s="1"/>
  <c r="Y76" i="15"/>
  <c r="Y272" i="15" s="1"/>
  <c r="U76" i="15"/>
  <c r="U272" i="15" s="1"/>
  <c r="Q76" i="15"/>
  <c r="Q272" i="15" s="1"/>
  <c r="P76" i="15"/>
  <c r="P272" i="15" s="1"/>
  <c r="O76" i="15"/>
  <c r="O272" i="15" s="1"/>
  <c r="N76" i="15"/>
  <c r="N272" i="15" s="1"/>
  <c r="M76" i="15"/>
  <c r="M272" i="15" s="1"/>
  <c r="L76" i="15"/>
  <c r="L272" i="15" s="1"/>
  <c r="K76" i="15"/>
  <c r="K272" i="15" s="1"/>
  <c r="AC272" i="15" s="1"/>
  <c r="J76" i="15"/>
  <c r="J272" i="15" s="1"/>
  <c r="I76" i="15"/>
  <c r="H76" i="15"/>
  <c r="G76" i="15"/>
  <c r="AJ75" i="15"/>
  <c r="AF75" i="15"/>
  <c r="AC75" i="15"/>
  <c r="AB75" i="15"/>
  <c r="AD75" i="15" s="1"/>
  <c r="W75" i="15"/>
  <c r="V75" i="15"/>
  <c r="R75" i="15"/>
  <c r="T75" i="15" s="1"/>
  <c r="AJ74" i="15"/>
  <c r="AF74" i="15"/>
  <c r="AC74" i="15"/>
  <c r="AB74" i="15"/>
  <c r="AD74" i="15" s="1"/>
  <c r="W74" i="15"/>
  <c r="V74" i="15"/>
  <c r="R74" i="15"/>
  <c r="T74" i="15" s="1"/>
  <c r="AJ73" i="15"/>
  <c r="AF73" i="15"/>
  <c r="AC73" i="15"/>
  <c r="AB73" i="15"/>
  <c r="AD73" i="15" s="1"/>
  <c r="W73" i="15"/>
  <c r="V73" i="15"/>
  <c r="R73" i="15"/>
  <c r="T73" i="15" s="1"/>
  <c r="AJ72" i="15"/>
  <c r="AF72" i="15"/>
  <c r="AC72" i="15"/>
  <c r="AB72" i="15"/>
  <c r="AD72" i="15" s="1"/>
  <c r="W72" i="15"/>
  <c r="V72" i="15"/>
  <c r="R72" i="15"/>
  <c r="T72" i="15" s="1"/>
  <c r="AJ71" i="15"/>
  <c r="AF71" i="15"/>
  <c r="AC71" i="15"/>
  <c r="AB71" i="15"/>
  <c r="AD71" i="15" s="1"/>
  <c r="W71" i="15"/>
  <c r="V71" i="15"/>
  <c r="R71" i="15"/>
  <c r="T71" i="15" s="1"/>
  <c r="AJ70" i="15"/>
  <c r="AF70" i="15"/>
  <c r="AC70" i="15"/>
  <c r="AB70" i="15"/>
  <c r="AD70" i="15" s="1"/>
  <c r="U70" i="15"/>
  <c r="R70" i="15"/>
  <c r="T70" i="15" s="1"/>
  <c r="AJ69" i="15"/>
  <c r="AF69" i="15"/>
  <c r="AC69" i="15"/>
  <c r="AB69" i="15"/>
  <c r="AD69" i="15" s="1"/>
  <c r="W69" i="15"/>
  <c r="U69" i="15"/>
  <c r="V69" i="15" s="1"/>
  <c r="R69" i="15"/>
  <c r="T69" i="15" s="1"/>
  <c r="AJ68" i="15"/>
  <c r="AF68" i="15"/>
  <c r="AC68" i="15"/>
  <c r="AB68" i="15"/>
  <c r="AD68" i="15" s="1"/>
  <c r="W68" i="15"/>
  <c r="V68" i="15"/>
  <c r="R68" i="15"/>
  <c r="T68" i="15" s="1"/>
  <c r="AI67" i="15"/>
  <c r="AJ67" i="15" s="1"/>
  <c r="AA67" i="15"/>
  <c r="Z67" i="15"/>
  <c r="Y67" i="15"/>
  <c r="U67" i="15"/>
  <c r="V67" i="15" s="1"/>
  <c r="Q67" i="15"/>
  <c r="P67" i="15"/>
  <c r="O67" i="15"/>
  <c r="N67" i="15"/>
  <c r="N59" i="15" s="1"/>
  <c r="N58" i="15" s="1"/>
  <c r="M67" i="15"/>
  <c r="L67" i="15"/>
  <c r="K67" i="15"/>
  <c r="J67" i="15"/>
  <c r="J59" i="15" s="1"/>
  <c r="I67" i="15"/>
  <c r="H67" i="15"/>
  <c r="G67" i="15"/>
  <c r="AJ66" i="15"/>
  <c r="AF66" i="15"/>
  <c r="AC66" i="15"/>
  <c r="AB66" i="15"/>
  <c r="AD66" i="15" s="1"/>
  <c r="W66" i="15"/>
  <c r="V66" i="15"/>
  <c r="R66" i="15"/>
  <c r="T66" i="15" s="1"/>
  <c r="AJ65" i="15"/>
  <c r="AF65" i="15"/>
  <c r="AC65" i="15"/>
  <c r="AB65" i="15"/>
  <c r="AD65" i="15" s="1"/>
  <c r="W65" i="15"/>
  <c r="V65" i="15"/>
  <c r="R65" i="15"/>
  <c r="T65" i="15" s="1"/>
  <c r="AJ64" i="15"/>
  <c r="AF64" i="15"/>
  <c r="AC64" i="15"/>
  <c r="AB64" i="15"/>
  <c r="AD64" i="15" s="1"/>
  <c r="W64" i="15"/>
  <c r="V64" i="15"/>
  <c r="R64" i="15"/>
  <c r="T64" i="15" s="1"/>
  <c r="AJ63" i="15"/>
  <c r="AF63" i="15"/>
  <c r="AD63" i="15"/>
  <c r="AC63" i="15"/>
  <c r="AB63" i="15"/>
  <c r="W63" i="15"/>
  <c r="V63" i="15"/>
  <c r="R63" i="15"/>
  <c r="T63" i="15" s="1"/>
  <c r="AJ62" i="15"/>
  <c r="AF62" i="15"/>
  <c r="AC62" i="15"/>
  <c r="AB62" i="15"/>
  <c r="AD62" i="15" s="1"/>
  <c r="W62" i="15"/>
  <c r="V62" i="15"/>
  <c r="R62" i="15"/>
  <c r="T62" i="15" s="1"/>
  <c r="AJ61" i="15"/>
  <c r="AF61" i="15"/>
  <c r="AC61" i="15"/>
  <c r="AB61" i="15"/>
  <c r="AD61" i="15" s="1"/>
  <c r="U61" i="15"/>
  <c r="U268" i="15" s="1"/>
  <c r="W268" i="15" s="1"/>
  <c r="R61" i="15"/>
  <c r="T61" i="15" s="1"/>
  <c r="AI60" i="15"/>
  <c r="AA60" i="15"/>
  <c r="Z60" i="15"/>
  <c r="Z59" i="15" s="1"/>
  <c r="Z58" i="15" s="1"/>
  <c r="Y60" i="15"/>
  <c r="Q60" i="15"/>
  <c r="P60" i="15"/>
  <c r="O60" i="15"/>
  <c r="O59" i="15" s="1"/>
  <c r="O58" i="15" s="1"/>
  <c r="N60" i="15"/>
  <c r="M60" i="15"/>
  <c r="L60" i="15"/>
  <c r="K60" i="15"/>
  <c r="AC60" i="15" s="1"/>
  <c r="J60" i="15"/>
  <c r="I60" i="15"/>
  <c r="H60" i="15"/>
  <c r="G60" i="15"/>
  <c r="G59" i="15" s="1"/>
  <c r="G58" i="15" s="1"/>
  <c r="AJ57" i="15"/>
  <c r="AF57" i="15"/>
  <c r="AC57" i="15"/>
  <c r="AB57" i="15"/>
  <c r="AD57" i="15" s="1"/>
  <c r="W57" i="15"/>
  <c r="V57" i="15"/>
  <c r="R57" i="15"/>
  <c r="T57" i="15" s="1"/>
  <c r="AJ56" i="15"/>
  <c r="AF56" i="15"/>
  <c r="AC56" i="15"/>
  <c r="AB56" i="15"/>
  <c r="AD56" i="15" s="1"/>
  <c r="W56" i="15"/>
  <c r="V56" i="15"/>
  <c r="R56" i="15"/>
  <c r="T56" i="15" s="1"/>
  <c r="AI55" i="15"/>
  <c r="AA55" i="15"/>
  <c r="Z55" i="15"/>
  <c r="Y55" i="15"/>
  <c r="U55" i="15"/>
  <c r="Q55" i="15"/>
  <c r="P55" i="15"/>
  <c r="O55" i="15"/>
  <c r="N55" i="15"/>
  <c r="M55" i="15"/>
  <c r="L55" i="15"/>
  <c r="K55" i="15"/>
  <c r="J55" i="15"/>
  <c r="I55" i="15"/>
  <c r="H55" i="15"/>
  <c r="G55" i="15"/>
  <c r="AJ54" i="15"/>
  <c r="AF54" i="15"/>
  <c r="AC54" i="15"/>
  <c r="AB54" i="15"/>
  <c r="AD54" i="15" s="1"/>
  <c r="W54" i="15"/>
  <c r="V54" i="15"/>
  <c r="R54" i="15"/>
  <c r="T54" i="15" s="1"/>
  <c r="AJ53" i="15"/>
  <c r="AF53" i="15"/>
  <c r="AC53" i="15"/>
  <c r="AB53" i="15"/>
  <c r="AD53" i="15" s="1"/>
  <c r="W53" i="15"/>
  <c r="V53" i="15"/>
  <c r="R53" i="15"/>
  <c r="T53" i="15" s="1"/>
  <c r="AI52" i="15"/>
  <c r="AA52" i="15"/>
  <c r="Z52" i="15"/>
  <c r="Y52" i="15"/>
  <c r="U52" i="15"/>
  <c r="Q52" i="15"/>
  <c r="P52" i="15"/>
  <c r="O52" i="15"/>
  <c r="N52" i="15"/>
  <c r="M52" i="15"/>
  <c r="L52" i="15"/>
  <c r="K52" i="15"/>
  <c r="J52" i="15"/>
  <c r="I52" i="15"/>
  <c r="H52" i="15"/>
  <c r="G52" i="15"/>
  <c r="AJ51" i="15"/>
  <c r="AF51" i="15"/>
  <c r="AC51" i="15"/>
  <c r="AB51" i="15"/>
  <c r="AD51" i="15" s="1"/>
  <c r="W51" i="15"/>
  <c r="V51" i="15"/>
  <c r="R51" i="15"/>
  <c r="T51" i="15" s="1"/>
  <c r="AJ50" i="15"/>
  <c r="AF50" i="15"/>
  <c r="AC50" i="15"/>
  <c r="AB50" i="15"/>
  <c r="AD50" i="15" s="1"/>
  <c r="W50" i="15"/>
  <c r="V50" i="15"/>
  <c r="R50" i="15"/>
  <c r="T50" i="15" s="1"/>
  <c r="AI49" i="15"/>
  <c r="AA49" i="15"/>
  <c r="Z49" i="15"/>
  <c r="Y49" i="15"/>
  <c r="U49" i="15"/>
  <c r="Q49" i="15"/>
  <c r="P49" i="15"/>
  <c r="O49" i="15"/>
  <c r="N49" i="15"/>
  <c r="M49" i="15"/>
  <c r="L49" i="15"/>
  <c r="K49" i="15"/>
  <c r="AJ49" i="15" s="1"/>
  <c r="J49" i="15"/>
  <c r="I49" i="15"/>
  <c r="H49" i="15"/>
  <c r="G49" i="15"/>
  <c r="AJ48" i="15"/>
  <c r="AF48" i="15"/>
  <c r="AC48" i="15"/>
  <c r="AB48" i="15"/>
  <c r="AD48" i="15" s="1"/>
  <c r="W48" i="15"/>
  <c r="V48" i="15"/>
  <c r="R48" i="15"/>
  <c r="T48" i="15" s="1"/>
  <c r="AJ47" i="15"/>
  <c r="AF47" i="15"/>
  <c r="AC47" i="15"/>
  <c r="AB47" i="15"/>
  <c r="AD47" i="15" s="1"/>
  <c r="W47" i="15"/>
  <c r="V47" i="15"/>
  <c r="R47" i="15"/>
  <c r="T47" i="15" s="1"/>
  <c r="AJ46" i="15"/>
  <c r="AF46" i="15"/>
  <c r="AC46" i="15"/>
  <c r="AB46" i="15"/>
  <c r="AD46" i="15" s="1"/>
  <c r="W46" i="15"/>
  <c r="V46" i="15"/>
  <c r="R46" i="15"/>
  <c r="T46" i="15" s="1"/>
  <c r="AJ45" i="15"/>
  <c r="AF45" i="15"/>
  <c r="AC45" i="15"/>
  <c r="AB45" i="15"/>
  <c r="AD45" i="15" s="1"/>
  <c r="W45" i="15"/>
  <c r="V45" i="15"/>
  <c r="R45" i="15"/>
  <c r="T45" i="15" s="1"/>
  <c r="AI44" i="15"/>
  <c r="AA44" i="15"/>
  <c r="AB44" i="15" s="1"/>
  <c r="Z44" i="15"/>
  <c r="Y44" i="15"/>
  <c r="U44" i="15"/>
  <c r="Q44" i="15"/>
  <c r="P44" i="15"/>
  <c r="O44" i="15"/>
  <c r="N44" i="15"/>
  <c r="M44" i="15"/>
  <c r="L44" i="15"/>
  <c r="K44" i="15"/>
  <c r="AC44" i="15" s="1"/>
  <c r="J44" i="15"/>
  <c r="I44" i="15"/>
  <c r="H44" i="15"/>
  <c r="G44" i="15"/>
  <c r="AJ42" i="15"/>
  <c r="AF42" i="15"/>
  <c r="AC42" i="15"/>
  <c r="AB42" i="15"/>
  <c r="AD42" i="15" s="1"/>
  <c r="W42" i="15"/>
  <c r="V42" i="15"/>
  <c r="R42" i="15"/>
  <c r="T42" i="15" s="1"/>
  <c r="AJ41" i="15"/>
  <c r="AF41" i="15"/>
  <c r="AD41" i="15"/>
  <c r="AC41" i="15"/>
  <c r="AB41" i="15"/>
  <c r="W41" i="15"/>
  <c r="V41" i="15"/>
  <c r="R41" i="15"/>
  <c r="T41" i="15" s="1"/>
  <c r="AJ40" i="15"/>
  <c r="AF40" i="15"/>
  <c r="AC40" i="15"/>
  <c r="AB40" i="15"/>
  <c r="AD40" i="15" s="1"/>
  <c r="W40" i="15"/>
  <c r="V40" i="15"/>
  <c r="R40" i="15"/>
  <c r="T40" i="15" s="1"/>
  <c r="AI39" i="15"/>
  <c r="AA39" i="15"/>
  <c r="Z39" i="15"/>
  <c r="Y39" i="15"/>
  <c r="U39" i="15"/>
  <c r="Q39" i="15"/>
  <c r="P39" i="15"/>
  <c r="O39" i="15"/>
  <c r="N39" i="15"/>
  <c r="M39" i="15"/>
  <c r="L39" i="15"/>
  <c r="K39" i="15"/>
  <c r="J39" i="15"/>
  <c r="I39" i="15"/>
  <c r="H39" i="15"/>
  <c r="G39" i="15"/>
  <c r="AI38" i="15"/>
  <c r="AJ38" i="15" s="1"/>
  <c r="AF38" i="15"/>
  <c r="AC38" i="15"/>
  <c r="AB38" i="15"/>
  <c r="AD38" i="15" s="1"/>
  <c r="W38" i="15"/>
  <c r="V38" i="15"/>
  <c r="R38" i="15"/>
  <c r="T38" i="15" s="1"/>
  <c r="AJ37" i="15"/>
  <c r="AF37" i="15"/>
  <c r="AC37" i="15"/>
  <c r="AB37" i="15"/>
  <c r="AD37" i="15" s="1"/>
  <c r="W37" i="15"/>
  <c r="V37" i="15"/>
  <c r="R37" i="15"/>
  <c r="T37" i="15" s="1"/>
  <c r="AI36" i="15"/>
  <c r="AF36" i="15"/>
  <c r="AC36" i="15"/>
  <c r="AB36" i="15"/>
  <c r="AD36" i="15" s="1"/>
  <c r="W36" i="15"/>
  <c r="V36" i="15"/>
  <c r="R36" i="15"/>
  <c r="T36" i="15" s="1"/>
  <c r="AJ35" i="15"/>
  <c r="AF35" i="15"/>
  <c r="AC35" i="15"/>
  <c r="AB35" i="15"/>
  <c r="AD35" i="15" s="1"/>
  <c r="W35" i="15"/>
  <c r="V35" i="15"/>
  <c r="R35" i="15"/>
  <c r="T35" i="15" s="1"/>
  <c r="AA34" i="15"/>
  <c r="Z34" i="15"/>
  <c r="Y34" i="15"/>
  <c r="U34" i="15"/>
  <c r="Q34" i="15"/>
  <c r="P34" i="15"/>
  <c r="O34" i="15"/>
  <c r="N34" i="15"/>
  <c r="M34" i="15"/>
  <c r="L34" i="15"/>
  <c r="K34" i="15"/>
  <c r="J34" i="15"/>
  <c r="I34" i="15"/>
  <c r="H34" i="15"/>
  <c r="G34" i="15"/>
  <c r="AJ31" i="15"/>
  <c r="AF31" i="15"/>
  <c r="AC31" i="15"/>
  <c r="AB31" i="15"/>
  <c r="AD31" i="15" s="1"/>
  <c r="W31" i="15"/>
  <c r="V31" i="15"/>
  <c r="R31" i="15"/>
  <c r="T31" i="15" s="1"/>
  <c r="AJ30" i="15"/>
  <c r="AF30" i="15"/>
  <c r="AC30" i="15"/>
  <c r="AB30" i="15"/>
  <c r="AD30" i="15" s="1"/>
  <c r="W30" i="15"/>
  <c r="V30" i="15"/>
  <c r="R30" i="15"/>
  <c r="T30" i="15" s="1"/>
  <c r="AI29" i="15"/>
  <c r="AA29" i="15"/>
  <c r="Z29" i="15"/>
  <c r="Y29" i="15"/>
  <c r="U29" i="15"/>
  <c r="Q29" i="15"/>
  <c r="P29" i="15"/>
  <c r="O29" i="15"/>
  <c r="N29" i="15"/>
  <c r="M29" i="15"/>
  <c r="L29" i="15"/>
  <c r="K29" i="15"/>
  <c r="AC29" i="15" s="1"/>
  <c r="J29" i="15"/>
  <c r="I29" i="15"/>
  <c r="H29" i="15"/>
  <c r="G29" i="15"/>
  <c r="AJ28" i="15"/>
  <c r="AF28" i="15"/>
  <c r="AC28" i="15"/>
  <c r="AB28" i="15"/>
  <c r="AD28" i="15" s="1"/>
  <c r="W28" i="15"/>
  <c r="V28" i="15"/>
  <c r="R28" i="15"/>
  <c r="T28" i="15" s="1"/>
  <c r="AJ27" i="15"/>
  <c r="AF27" i="15"/>
  <c r="AC27" i="15"/>
  <c r="AB27" i="15"/>
  <c r="AD27" i="15" s="1"/>
  <c r="W27" i="15"/>
  <c r="V27" i="15"/>
  <c r="R27" i="15"/>
  <c r="T27" i="15" s="1"/>
  <c r="AI26" i="15"/>
  <c r="AA26" i="15"/>
  <c r="Z26" i="15"/>
  <c r="Y26" i="15"/>
  <c r="U26" i="15"/>
  <c r="Q26" i="15"/>
  <c r="P26" i="15"/>
  <c r="O26" i="15"/>
  <c r="N26" i="15"/>
  <c r="M26" i="15"/>
  <c r="L26" i="15"/>
  <c r="K26" i="15"/>
  <c r="J26" i="15"/>
  <c r="I26" i="15"/>
  <c r="H26" i="15"/>
  <c r="G26" i="15"/>
  <c r="AJ24" i="15"/>
  <c r="AF24" i="15"/>
  <c r="AC24" i="15"/>
  <c r="AB24" i="15"/>
  <c r="AD24" i="15" s="1"/>
  <c r="W24" i="15"/>
  <c r="V24" i="15"/>
  <c r="R24" i="15"/>
  <c r="T24" i="15" s="1"/>
  <c r="AJ23" i="15"/>
  <c r="AF23" i="15"/>
  <c r="AC23" i="15"/>
  <c r="AB23" i="15"/>
  <c r="AD23" i="15" s="1"/>
  <c r="W23" i="15"/>
  <c r="V23" i="15"/>
  <c r="R23" i="15"/>
  <c r="T23" i="15" s="1"/>
  <c r="AJ22" i="15"/>
  <c r="AF22" i="15"/>
  <c r="AC22" i="15"/>
  <c r="AB22" i="15"/>
  <c r="AD22" i="15" s="1"/>
  <c r="W22" i="15"/>
  <c r="V22" i="15"/>
  <c r="R22" i="15"/>
  <c r="T22" i="15" s="1"/>
  <c r="AI21" i="15"/>
  <c r="AA21" i="15"/>
  <c r="Z21" i="15"/>
  <c r="Y21" i="15"/>
  <c r="U21" i="15"/>
  <c r="Q21" i="15"/>
  <c r="P21" i="15"/>
  <c r="O21" i="15"/>
  <c r="N21" i="15"/>
  <c r="M21" i="15"/>
  <c r="L21" i="15"/>
  <c r="K21" i="15"/>
  <c r="J21" i="15"/>
  <c r="I21" i="15"/>
  <c r="H21" i="15"/>
  <c r="G21" i="15"/>
  <c r="AF18" i="15"/>
  <c r="AA17" i="15"/>
  <c r="Z17" i="15"/>
  <c r="Y17" i="15"/>
  <c r="Q17" i="15"/>
  <c r="P17" i="15"/>
  <c r="O17" i="15"/>
  <c r="N17" i="15"/>
  <c r="M17" i="15"/>
  <c r="L17" i="15"/>
  <c r="K17" i="15"/>
  <c r="J17" i="15"/>
  <c r="I17" i="15"/>
  <c r="H17" i="15"/>
  <c r="G17" i="15"/>
  <c r="AF13" i="15"/>
  <c r="AF12" i="15"/>
  <c r="AA11" i="15"/>
  <c r="Z11" i="15"/>
  <c r="Y11" i="15"/>
  <c r="U11" i="15"/>
  <c r="Q11" i="15"/>
  <c r="P11" i="15"/>
  <c r="O11" i="15"/>
  <c r="N11" i="15"/>
  <c r="M11" i="15"/>
  <c r="L11" i="15"/>
  <c r="K11" i="15"/>
  <c r="J11" i="15"/>
  <c r="I11" i="15"/>
  <c r="H11" i="15"/>
  <c r="G11" i="15"/>
  <c r="AF7" i="15"/>
  <c r="R7" i="15"/>
  <c r="M25" i="15" l="1"/>
  <c r="Q25" i="15"/>
  <c r="G25" i="15"/>
  <c r="O25" i="15"/>
  <c r="N128" i="15"/>
  <c r="N127" i="15" s="1"/>
  <c r="AI128" i="15"/>
  <c r="Y199" i="15"/>
  <c r="J33" i="15"/>
  <c r="U33" i="15"/>
  <c r="V39" i="15"/>
  <c r="M81" i="15"/>
  <c r="M80" i="15" s="1"/>
  <c r="I90" i="15"/>
  <c r="Q90" i="15"/>
  <c r="AA90" i="15"/>
  <c r="Q266" i="15"/>
  <c r="W235" i="15"/>
  <c r="O248" i="15"/>
  <c r="AB263" i="15"/>
  <c r="V95" i="15"/>
  <c r="P163" i="15"/>
  <c r="P150" i="15" s="1"/>
  <c r="I173" i="15"/>
  <c r="M173" i="15"/>
  <c r="M273" i="15" s="1"/>
  <c r="Q173" i="15"/>
  <c r="Q273" i="15" s="1"/>
  <c r="Q271" i="15" s="1"/>
  <c r="AA173" i="15"/>
  <c r="AI252" i="15"/>
  <c r="AI17" i="15"/>
  <c r="AB21" i="15"/>
  <c r="T268" i="15"/>
  <c r="N90" i="15"/>
  <c r="U90" i="15"/>
  <c r="H90" i="15"/>
  <c r="H89" i="15" s="1"/>
  <c r="L90" i="15"/>
  <c r="L89" i="15" s="1"/>
  <c r="P90" i="15"/>
  <c r="P89" i="15" s="1"/>
  <c r="K98" i="15"/>
  <c r="K109" i="15"/>
  <c r="V109" i="15" s="1"/>
  <c r="G115" i="15"/>
  <c r="G108" i="15" s="1"/>
  <c r="O115" i="15"/>
  <c r="I128" i="15"/>
  <c r="Q128" i="15"/>
  <c r="Q127" i="15" s="1"/>
  <c r="AA128" i="15"/>
  <c r="AA127" i="15" s="1"/>
  <c r="AA270" i="15" s="1"/>
  <c r="AA267" i="15" s="1"/>
  <c r="W134" i="15"/>
  <c r="M163" i="15"/>
  <c r="J173" i="15"/>
  <c r="J273" i="15" s="1"/>
  <c r="U173" i="15"/>
  <c r="U273" i="15" s="1"/>
  <c r="U271" i="15" s="1"/>
  <c r="AI173" i="15"/>
  <c r="O190" i="15"/>
  <c r="AB219" i="15"/>
  <c r="W34" i="15"/>
  <c r="AD44" i="15"/>
  <c r="H59" i="15"/>
  <c r="H58" i="15" s="1"/>
  <c r="L59" i="15"/>
  <c r="L58" i="15" s="1"/>
  <c r="P59" i="15"/>
  <c r="P58" i="15" s="1"/>
  <c r="AJ120" i="15"/>
  <c r="M137" i="15"/>
  <c r="Q137" i="15"/>
  <c r="Z163" i="15"/>
  <c r="Z150" i="15" s="1"/>
  <c r="V196" i="15"/>
  <c r="AJ206" i="15"/>
  <c r="R207" i="15"/>
  <c r="T207" i="15" s="1"/>
  <c r="H232" i="15"/>
  <c r="H149" i="15" s="1"/>
  <c r="P285" i="15"/>
  <c r="L248" i="15"/>
  <c r="P248" i="15"/>
  <c r="Z248" i="15"/>
  <c r="Z260" i="15" s="1"/>
  <c r="T250" i="15"/>
  <c r="AC268" i="15"/>
  <c r="AB55" i="15"/>
  <c r="AD55" i="15" s="1"/>
  <c r="L163" i="15"/>
  <c r="J190" i="15"/>
  <c r="N190" i="15"/>
  <c r="Z190" i="15"/>
  <c r="H248" i="15"/>
  <c r="J248" i="15"/>
  <c r="G232" i="15"/>
  <c r="AF235" i="15"/>
  <c r="AD21" i="15"/>
  <c r="L33" i="15"/>
  <c r="J271" i="15"/>
  <c r="AJ82" i="15"/>
  <c r="W191" i="15"/>
  <c r="AF191" i="15"/>
  <c r="V11" i="15"/>
  <c r="AI11" i="15"/>
  <c r="AJ11" i="15" s="1"/>
  <c r="H25" i="15"/>
  <c r="H20" i="15" s="1"/>
  <c r="L25" i="15"/>
  <c r="L20" i="15" s="1"/>
  <c r="P25" i="15"/>
  <c r="P20" i="15" s="1"/>
  <c r="Z25" i="15"/>
  <c r="Z20" i="15" s="1"/>
  <c r="N25" i="15"/>
  <c r="N20" i="15" s="1"/>
  <c r="AB82" i="15"/>
  <c r="W99" i="15"/>
  <c r="AB100" i="15"/>
  <c r="AD100" i="15" s="1"/>
  <c r="L266" i="15"/>
  <c r="L115" i="15"/>
  <c r="L108" i="15" s="1"/>
  <c r="P115" i="15"/>
  <c r="N173" i="15"/>
  <c r="N273" i="15" s="1"/>
  <c r="N271" i="15" s="1"/>
  <c r="M190" i="15"/>
  <c r="Q190" i="15"/>
  <c r="Q181" i="15" s="1"/>
  <c r="AB196" i="15"/>
  <c r="AI235" i="15"/>
  <c r="AJ235" i="15" s="1"/>
  <c r="AF34" i="15"/>
  <c r="U199" i="15"/>
  <c r="H33" i="15"/>
  <c r="P33" i="15"/>
  <c r="AF82" i="15"/>
  <c r="W178" i="15"/>
  <c r="T201" i="15"/>
  <c r="T263" i="15" s="1"/>
  <c r="AB11" i="15"/>
  <c r="K25" i="15"/>
  <c r="K20" i="15" s="1"/>
  <c r="M33" i="15"/>
  <c r="Q33" i="15"/>
  <c r="O43" i="15"/>
  <c r="R55" i="15"/>
  <c r="T55" i="15" s="1"/>
  <c r="N43" i="15"/>
  <c r="H81" i="15"/>
  <c r="H80" i="15" s="1"/>
  <c r="L81" i="15"/>
  <c r="L80" i="15" s="1"/>
  <c r="L276" i="15" s="1"/>
  <c r="L275" i="15" s="1"/>
  <c r="P81" i="15"/>
  <c r="P80" i="15" s="1"/>
  <c r="P276" i="15" s="1"/>
  <c r="P275" i="15" s="1"/>
  <c r="Z81" i="15"/>
  <c r="Z80" i="15" s="1"/>
  <c r="N81" i="15"/>
  <c r="N80" i="15" s="1"/>
  <c r="N276" i="15" s="1"/>
  <c r="V85" i="15"/>
  <c r="AJ85" i="15"/>
  <c r="AB116" i="15"/>
  <c r="AD116" i="15" s="1"/>
  <c r="W120" i="15"/>
  <c r="AF120" i="15"/>
  <c r="AB154" i="15"/>
  <c r="AD154" i="15" s="1"/>
  <c r="K190" i="15"/>
  <c r="V190" i="15" s="1"/>
  <c r="H190" i="15"/>
  <c r="H181" i="15" s="1"/>
  <c r="L190" i="15"/>
  <c r="L181" i="15" s="1"/>
  <c r="P190" i="15"/>
  <c r="P181" i="15" s="1"/>
  <c r="W229" i="15"/>
  <c r="W278" i="15"/>
  <c r="R157" i="15"/>
  <c r="T157" i="15" s="1"/>
  <c r="AF157" i="15"/>
  <c r="K269" i="15"/>
  <c r="W269" i="15" s="1"/>
  <c r="V241" i="15"/>
  <c r="V269" i="15" s="1"/>
  <c r="AF49" i="15"/>
  <c r="AF241" i="15"/>
  <c r="AF11" i="15"/>
  <c r="V26" i="15"/>
  <c r="AJ26" i="15"/>
  <c r="W67" i="15"/>
  <c r="AF67" i="15"/>
  <c r="J81" i="15"/>
  <c r="J80" i="15" s="1"/>
  <c r="J276" i="15" s="1"/>
  <c r="AF85" i="15"/>
  <c r="Z90" i="15"/>
  <c r="Z89" i="15" s="1"/>
  <c r="V278" i="15"/>
  <c r="AB95" i="15"/>
  <c r="AD95" i="15" s="1"/>
  <c r="AF100" i="15"/>
  <c r="H115" i="15"/>
  <c r="H108" i="15" s="1"/>
  <c r="AJ130" i="15"/>
  <c r="I137" i="15"/>
  <c r="AB143" i="15"/>
  <c r="AD143" i="15" s="1"/>
  <c r="AB151" i="15"/>
  <c r="AD151" i="15" s="1"/>
  <c r="Q163" i="15"/>
  <c r="Q150" i="15" s="1"/>
  <c r="Y190" i="15"/>
  <c r="AC190" i="15" s="1"/>
  <c r="K199" i="15"/>
  <c r="M248" i="15"/>
  <c r="M260" i="15" s="1"/>
  <c r="M257" i="15" s="1"/>
  <c r="Q248" i="15"/>
  <c r="Q260" i="15" s="1"/>
  <c r="Q257" i="15" s="1"/>
  <c r="N248" i="15"/>
  <c r="U248" i="15"/>
  <c r="R280" i="15"/>
  <c r="R287" i="15" s="1"/>
  <c r="Q281" i="15"/>
  <c r="R17" i="15"/>
  <c r="T17" i="15" s="1"/>
  <c r="U17" i="15"/>
  <c r="AF26" i="15"/>
  <c r="G33" i="15"/>
  <c r="O33" i="15"/>
  <c r="O32" i="15" s="1"/>
  <c r="G43" i="15"/>
  <c r="AF44" i="15"/>
  <c r="V52" i="15"/>
  <c r="AJ52" i="15"/>
  <c r="V120" i="15"/>
  <c r="AB139" i="15"/>
  <c r="AD139" i="15" s="1"/>
  <c r="M150" i="15"/>
  <c r="G173" i="15"/>
  <c r="G150" i="15" s="1"/>
  <c r="AJ174" i="15"/>
  <c r="O173" i="15"/>
  <c r="O273" i="15" s="1"/>
  <c r="O271" i="15" s="1"/>
  <c r="AJ196" i="15"/>
  <c r="AJ225" i="15"/>
  <c r="AJ229" i="15"/>
  <c r="Y233" i="15"/>
  <c r="Y259" i="15" s="1"/>
  <c r="AB241" i="15"/>
  <c r="AD241" i="15" s="1"/>
  <c r="Q232" i="15"/>
  <c r="AB242" i="15"/>
  <c r="AD242" i="15" s="1"/>
  <c r="AF252" i="15"/>
  <c r="AB109" i="15"/>
  <c r="AD109" i="15" s="1"/>
  <c r="AJ242" i="15"/>
  <c r="R29" i="15"/>
  <c r="T29" i="15" s="1"/>
  <c r="AF52" i="15"/>
  <c r="M276" i="15"/>
  <c r="M275" i="15" s="1"/>
  <c r="M271" i="15"/>
  <c r="Q81" i="15"/>
  <c r="Q80" i="15" s="1"/>
  <c r="Q276" i="15" s="1"/>
  <c r="Q275" i="15" s="1"/>
  <c r="R91" i="15"/>
  <c r="T91" i="15" s="1"/>
  <c r="AJ91" i="15"/>
  <c r="L281" i="15"/>
  <c r="P281" i="15"/>
  <c r="Z281" i="15"/>
  <c r="K266" i="15"/>
  <c r="O266" i="15"/>
  <c r="L137" i="15"/>
  <c r="AD196" i="15"/>
  <c r="L260" i="15"/>
  <c r="AF229" i="15"/>
  <c r="AB235" i="15"/>
  <c r="AD235" i="15" s="1"/>
  <c r="AI241" i="15"/>
  <c r="AJ241" i="15" s="1"/>
  <c r="AF242" i="15"/>
  <c r="M262" i="15"/>
  <c r="M261" i="15" s="1"/>
  <c r="M181" i="15"/>
  <c r="AJ39" i="15"/>
  <c r="V49" i="15"/>
  <c r="W95" i="15"/>
  <c r="O281" i="15"/>
  <c r="AF178" i="15"/>
  <c r="AA199" i="15"/>
  <c r="AB207" i="15"/>
  <c r="AD207" i="15" s="1"/>
  <c r="Q269" i="15"/>
  <c r="Q285" i="15" s="1"/>
  <c r="R11" i="15"/>
  <c r="V21" i="15"/>
  <c r="W21" i="15"/>
  <c r="V29" i="15"/>
  <c r="AJ29" i="15"/>
  <c r="W44" i="15"/>
  <c r="AB76" i="15"/>
  <c r="AD76" i="15" s="1"/>
  <c r="AJ95" i="15"/>
  <c r="W104" i="15"/>
  <c r="AC116" i="15"/>
  <c r="AI151" i="15"/>
  <c r="AJ151" i="15" s="1"/>
  <c r="Q262" i="15"/>
  <c r="Q261" i="15" s="1"/>
  <c r="AB185" i="15"/>
  <c r="AD185" i="15" s="1"/>
  <c r="AA182" i="15"/>
  <c r="AA262" i="15" s="1"/>
  <c r="AA261" i="15" s="1"/>
  <c r="V207" i="15"/>
  <c r="W215" i="15"/>
  <c r="AC220" i="15"/>
  <c r="K219" i="15"/>
  <c r="AF219" i="15" s="1"/>
  <c r="V220" i="15"/>
  <c r="AC280" i="15"/>
  <c r="W280" i="15"/>
  <c r="AC11" i="15"/>
  <c r="AF21" i="15"/>
  <c r="AJ21" i="15"/>
  <c r="AC26" i="15"/>
  <c r="K33" i="15"/>
  <c r="Z33" i="15"/>
  <c r="Y43" i="15"/>
  <c r="AC52" i="15"/>
  <c r="AB52" i="15"/>
  <c r="AD52" i="15" s="1"/>
  <c r="AF55" i="15"/>
  <c r="AJ55" i="15"/>
  <c r="Y59" i="15"/>
  <c r="AF60" i="15"/>
  <c r="L271" i="15"/>
  <c r="AJ76" i="15"/>
  <c r="AI81" i="15"/>
  <c r="AI80" i="15" s="1"/>
  <c r="AC85" i="15"/>
  <c r="AC98" i="15"/>
  <c r="R100" i="15"/>
  <c r="T100" i="15" s="1"/>
  <c r="AA108" i="15"/>
  <c r="R120" i="15"/>
  <c r="G128" i="15"/>
  <c r="G127" i="15" s="1"/>
  <c r="O128" i="15"/>
  <c r="O127" i="15" s="1"/>
  <c r="AA137" i="15"/>
  <c r="Y138" i="15"/>
  <c r="Y137" i="15" s="1"/>
  <c r="AC157" i="15"/>
  <c r="L150" i="15"/>
  <c r="U163" i="15"/>
  <c r="K277" i="15"/>
  <c r="W277" i="15" s="1"/>
  <c r="AJ164" i="15"/>
  <c r="K163" i="15"/>
  <c r="W163" i="15" s="1"/>
  <c r="O277" i="15"/>
  <c r="O163" i="15"/>
  <c r="W164" i="15"/>
  <c r="AB164" i="15"/>
  <c r="AD164" i="15" s="1"/>
  <c r="R185" i="15"/>
  <c r="T185" i="15" s="1"/>
  <c r="J182" i="15"/>
  <c r="J181" i="15" s="1"/>
  <c r="AI182" i="15"/>
  <c r="AJ182" i="15" s="1"/>
  <c r="AJ185" i="15"/>
  <c r="AF207" i="15"/>
  <c r="H209" i="15"/>
  <c r="P260" i="15"/>
  <c r="P257" i="15" s="1"/>
  <c r="L209" i="15"/>
  <c r="P209" i="15"/>
  <c r="AJ220" i="15"/>
  <c r="AI219" i="15"/>
  <c r="AJ219" i="15" s="1"/>
  <c r="M232" i="15"/>
  <c r="G248" i="15"/>
  <c r="V249" i="15"/>
  <c r="V44" i="15"/>
  <c r="AJ134" i="15"/>
  <c r="W154" i="15"/>
  <c r="AJ178" i="15"/>
  <c r="R215" i="15"/>
  <c r="T215" i="15" s="1"/>
  <c r="J210" i="15"/>
  <c r="R210" i="15" s="1"/>
  <c r="V215" i="15"/>
  <c r="U210" i="15"/>
  <c r="AJ252" i="15"/>
  <c r="W263" i="15"/>
  <c r="AI25" i="15"/>
  <c r="U25" i="15"/>
  <c r="U20" i="15" s="1"/>
  <c r="G20" i="15"/>
  <c r="O20" i="15"/>
  <c r="V55" i="15"/>
  <c r="W55" i="15"/>
  <c r="W76" i="15"/>
  <c r="AD82" i="15"/>
  <c r="G90" i="15"/>
  <c r="O90" i="15"/>
  <c r="AF95" i="15"/>
  <c r="AB104" i="15"/>
  <c r="AD104" i="15" s="1"/>
  <c r="R130" i="15"/>
  <c r="T130" i="15" s="1"/>
  <c r="AC207" i="15"/>
  <c r="W207" i="15"/>
  <c r="AJ207" i="15"/>
  <c r="AF220" i="15"/>
  <c r="W279" i="15"/>
  <c r="W11" i="15"/>
  <c r="M20" i="15"/>
  <c r="Q20" i="15"/>
  <c r="W26" i="15"/>
  <c r="AC34" i="15"/>
  <c r="V34" i="15"/>
  <c r="R39" i="15"/>
  <c r="T39" i="15" s="1"/>
  <c r="N33" i="15"/>
  <c r="N32" i="15" s="1"/>
  <c r="AC39" i="15"/>
  <c r="K43" i="15"/>
  <c r="AI43" i="15"/>
  <c r="U43" i="15"/>
  <c r="Z43" i="15"/>
  <c r="AJ44" i="15"/>
  <c r="AB49" i="15"/>
  <c r="AD49" i="15" s="1"/>
  <c r="W52" i="15"/>
  <c r="K59" i="15"/>
  <c r="AI59" i="15"/>
  <c r="AJ60" i="15"/>
  <c r="Y81" i="15"/>
  <c r="Y80" i="15" s="1"/>
  <c r="Y276" i="15" s="1"/>
  <c r="W85" i="15"/>
  <c r="R95" i="15"/>
  <c r="T95" i="15" s="1"/>
  <c r="Y115" i="15"/>
  <c r="AB115" i="15" s="1"/>
  <c r="AD115" i="15" s="1"/>
  <c r="I115" i="15"/>
  <c r="I108" i="15" s="1"/>
  <c r="M115" i="15"/>
  <c r="M270" i="15" s="1"/>
  <c r="M267" i="15" s="1"/>
  <c r="Q115" i="15"/>
  <c r="Q108" i="15" s="1"/>
  <c r="AC120" i="15"/>
  <c r="AB120" i="15"/>
  <c r="AD120" i="15" s="1"/>
  <c r="J128" i="15"/>
  <c r="J127" i="15" s="1"/>
  <c r="Z128" i="15"/>
  <c r="Z127" i="15" s="1"/>
  <c r="Z107" i="15" s="1"/>
  <c r="Z15" i="15" s="1"/>
  <c r="R154" i="15"/>
  <c r="T154" i="15" s="1"/>
  <c r="V154" i="15"/>
  <c r="T184" i="15"/>
  <c r="I182" i="15"/>
  <c r="AB215" i="15"/>
  <c r="AD215" i="15" s="1"/>
  <c r="AA210" i="15"/>
  <c r="AB210" i="15" s="1"/>
  <c r="AD210" i="15" s="1"/>
  <c r="AJ216" i="15"/>
  <c r="AI215" i="15"/>
  <c r="AJ215" i="15" s="1"/>
  <c r="P232" i="15"/>
  <c r="P10" i="15" s="1"/>
  <c r="AC235" i="15"/>
  <c r="K233" i="15"/>
  <c r="V235" i="15"/>
  <c r="Z269" i="15"/>
  <c r="Z285" i="15" s="1"/>
  <c r="Z232" i="15"/>
  <c r="Z10" i="15" s="1"/>
  <c r="W249" i="15"/>
  <c r="AI248" i="15"/>
  <c r="AJ249" i="15"/>
  <c r="AB268" i="15"/>
  <c r="H150" i="15"/>
  <c r="AI154" i="15"/>
  <c r="AJ154" i="15" s="1"/>
  <c r="W160" i="15"/>
  <c r="AF160" i="15"/>
  <c r="AB174" i="15"/>
  <c r="AD174" i="15" s="1"/>
  <c r="W185" i="15"/>
  <c r="AF185" i="15"/>
  <c r="R191" i="15"/>
  <c r="T191" i="15" s="1"/>
  <c r="R196" i="15"/>
  <c r="T196" i="15" s="1"/>
  <c r="M209" i="15"/>
  <c r="Q209" i="15"/>
  <c r="R242" i="15"/>
  <c r="T242" i="15" s="1"/>
  <c r="AF249" i="15"/>
  <c r="Z278" i="15"/>
  <c r="AA278" i="15"/>
  <c r="AB138" i="15"/>
  <c r="AD138" i="15" s="1"/>
  <c r="R174" i="15"/>
  <c r="T174" i="15" s="1"/>
  <c r="AB178" i="15"/>
  <c r="AD178" i="15" s="1"/>
  <c r="P262" i="15"/>
  <c r="P261" i="15" s="1"/>
  <c r="N181" i="15"/>
  <c r="AC191" i="15"/>
  <c r="V191" i="15"/>
  <c r="G190" i="15"/>
  <c r="W196" i="15"/>
  <c r="G199" i="15"/>
  <c r="G149" i="15" s="1"/>
  <c r="O199" i="15"/>
  <c r="AB200" i="15"/>
  <c r="AD200" i="15" s="1"/>
  <c r="M199" i="15"/>
  <c r="Q199" i="15"/>
  <c r="AF215" i="15"/>
  <c r="AB220" i="15"/>
  <c r="AD220" i="15" s="1"/>
  <c r="V229" i="15"/>
  <c r="AC229" i="15"/>
  <c r="M285" i="15"/>
  <c r="AC242" i="15"/>
  <c r="W242" i="15"/>
  <c r="R249" i="15"/>
  <c r="T249" i="15" s="1"/>
  <c r="AS140" i="11"/>
  <c r="H88" i="11"/>
  <c r="I111" i="11"/>
  <c r="I87" i="11" s="1"/>
  <c r="J149" i="11"/>
  <c r="H80" i="11"/>
  <c r="I134" i="11"/>
  <c r="I119" i="11"/>
  <c r="I118" i="11" s="1"/>
  <c r="I179" i="11"/>
  <c r="I12" i="11" s="1"/>
  <c r="I20" i="11"/>
  <c r="I10" i="11" s="1"/>
  <c r="M281" i="15"/>
  <c r="M89" i="15"/>
  <c r="AA33" i="15"/>
  <c r="AB34" i="15"/>
  <c r="AD34" i="15" s="1"/>
  <c r="P266" i="15"/>
  <c r="P108" i="15"/>
  <c r="W17" i="15"/>
  <c r="AC17" i="15"/>
  <c r="V17" i="15"/>
  <c r="J25" i="15"/>
  <c r="M43" i="15"/>
  <c r="V70" i="15"/>
  <c r="W70" i="15"/>
  <c r="R76" i="15"/>
  <c r="AJ106" i="15"/>
  <c r="AI104" i="15"/>
  <c r="AJ104" i="15" s="1"/>
  <c r="V143" i="15"/>
  <c r="AC143" i="15"/>
  <c r="W143" i="15"/>
  <c r="AI160" i="15"/>
  <c r="AJ161" i="15"/>
  <c r="Q89" i="15"/>
  <c r="Y108" i="15"/>
  <c r="AI34" i="15"/>
  <c r="AJ36" i="15"/>
  <c r="I43" i="15"/>
  <c r="Q43" i="15"/>
  <c r="T11" i="15"/>
  <c r="AJ17" i="15"/>
  <c r="AA25" i="15"/>
  <c r="AA20" i="15" s="1"/>
  <c r="AB26" i="15"/>
  <c r="AD26" i="15" s="1"/>
  <c r="AF29" i="15"/>
  <c r="AB29" i="15"/>
  <c r="AD29" i="15" s="1"/>
  <c r="Y25" i="15"/>
  <c r="AF39" i="15"/>
  <c r="AB39" i="15"/>
  <c r="AD39" i="15" s="1"/>
  <c r="Y33" i="15"/>
  <c r="J43" i="15"/>
  <c r="AB85" i="15"/>
  <c r="AD85" i="15" s="1"/>
  <c r="AA81" i="15"/>
  <c r="R85" i="15"/>
  <c r="T85" i="15" s="1"/>
  <c r="T87" i="15"/>
  <c r="R104" i="15"/>
  <c r="I25" i="15"/>
  <c r="I20" i="15" s="1"/>
  <c r="R44" i="15"/>
  <c r="T44" i="15" s="1"/>
  <c r="R52" i="15"/>
  <c r="T52" i="15" s="1"/>
  <c r="M59" i="15"/>
  <c r="M58" i="15" s="1"/>
  <c r="W258" i="15"/>
  <c r="AC258" i="15"/>
  <c r="AB108" i="15"/>
  <c r="AD108" i="15" s="1"/>
  <c r="G137" i="15"/>
  <c r="V139" i="15"/>
  <c r="AC139" i="15"/>
  <c r="W139" i="15"/>
  <c r="K138" i="15"/>
  <c r="AJ143" i="15"/>
  <c r="AB17" i="15"/>
  <c r="AD17" i="15" s="1"/>
  <c r="AF17" i="15"/>
  <c r="R26" i="15"/>
  <c r="T26" i="15" s="1"/>
  <c r="R34" i="15"/>
  <c r="T34" i="15" s="1"/>
  <c r="J58" i="15"/>
  <c r="R60" i="15"/>
  <c r="T60" i="15" s="1"/>
  <c r="AB67" i="15"/>
  <c r="AD67" i="15" s="1"/>
  <c r="G89" i="15"/>
  <c r="W91" i="15"/>
  <c r="K90" i="15"/>
  <c r="V90" i="15" s="1"/>
  <c r="V91" i="15"/>
  <c r="V25" i="15"/>
  <c r="W29" i="15"/>
  <c r="W39" i="15"/>
  <c r="H43" i="15"/>
  <c r="L43" i="15"/>
  <c r="P43" i="15"/>
  <c r="AA43" i="15"/>
  <c r="R49" i="15"/>
  <c r="T49" i="15" s="1"/>
  <c r="I81" i="15"/>
  <c r="R82" i="15"/>
  <c r="U81" i="15"/>
  <c r="V82" i="15"/>
  <c r="AB91" i="15"/>
  <c r="AD91" i="15" s="1"/>
  <c r="Y90" i="15"/>
  <c r="AF91" i="15"/>
  <c r="AI90" i="15"/>
  <c r="AI127" i="15"/>
  <c r="AB134" i="15"/>
  <c r="AD134" i="15" s="1"/>
  <c r="AF134" i="15"/>
  <c r="R143" i="15"/>
  <c r="T143" i="15" s="1"/>
  <c r="Z262" i="15"/>
  <c r="Z261" i="15" s="1"/>
  <c r="Z181" i="15"/>
  <c r="V200" i="15"/>
  <c r="AC200" i="15"/>
  <c r="W200" i="15"/>
  <c r="R263" i="15"/>
  <c r="R21" i="15"/>
  <c r="T21" i="15" s="1"/>
  <c r="AC21" i="15"/>
  <c r="I33" i="15"/>
  <c r="I59" i="15"/>
  <c r="Q59" i="15"/>
  <c r="Q58" i="15" s="1"/>
  <c r="AA59" i="15"/>
  <c r="AB60" i="15"/>
  <c r="AD60" i="15" s="1"/>
  <c r="R67" i="15"/>
  <c r="T67" i="15" s="1"/>
  <c r="N89" i="15"/>
  <c r="V100" i="15"/>
  <c r="U98" i="15"/>
  <c r="AJ101" i="15"/>
  <c r="AI100" i="15"/>
  <c r="O137" i="15"/>
  <c r="U262" i="15"/>
  <c r="U261" i="15" s="1"/>
  <c r="V182" i="15"/>
  <c r="V262" i="15" s="1"/>
  <c r="U181" i="15"/>
  <c r="AJ193" i="15"/>
  <c r="AI191" i="15"/>
  <c r="AI20" i="15"/>
  <c r="AI58" i="15"/>
  <c r="T82" i="15"/>
  <c r="U89" i="15"/>
  <c r="O89" i="15"/>
  <c r="AC91" i="15"/>
  <c r="K281" i="15"/>
  <c r="W98" i="15"/>
  <c r="Y281" i="15"/>
  <c r="AF98" i="15"/>
  <c r="R112" i="15"/>
  <c r="T112" i="15" s="1"/>
  <c r="V112" i="15"/>
  <c r="W112" i="15"/>
  <c r="J115" i="15"/>
  <c r="J108" i="15" s="1"/>
  <c r="N115" i="15"/>
  <c r="N270" i="15" s="1"/>
  <c r="R116" i="15"/>
  <c r="T116" i="15" s="1"/>
  <c r="AI115" i="15"/>
  <c r="AJ116" i="15"/>
  <c r="AI138" i="15"/>
  <c r="AJ139" i="15"/>
  <c r="AI199" i="15"/>
  <c r="AJ200" i="15"/>
  <c r="AF210" i="15"/>
  <c r="Y209" i="15"/>
  <c r="I209" i="15"/>
  <c r="AB225" i="15"/>
  <c r="AD225" i="15" s="1"/>
  <c r="AA274" i="15"/>
  <c r="AB274" i="15" s="1"/>
  <c r="AC55" i="15"/>
  <c r="AC76" i="15"/>
  <c r="AC104" i="15"/>
  <c r="W118" i="15"/>
  <c r="V118" i="15"/>
  <c r="U116" i="15"/>
  <c r="I127" i="15"/>
  <c r="N260" i="15"/>
  <c r="N257" i="15" s="1"/>
  <c r="N209" i="15"/>
  <c r="AC215" i="15"/>
  <c r="J269" i="15"/>
  <c r="R241" i="15"/>
  <c r="J232" i="15"/>
  <c r="W49" i="15"/>
  <c r="V61" i="15"/>
  <c r="V268" i="15" s="1"/>
  <c r="O276" i="15"/>
  <c r="O275" i="15" s="1"/>
  <c r="AC67" i="15"/>
  <c r="P271" i="15"/>
  <c r="Z271" i="15"/>
  <c r="K81" i="15"/>
  <c r="W82" i="15"/>
  <c r="J90" i="15"/>
  <c r="T92" i="15"/>
  <c r="T279" i="15" s="1"/>
  <c r="T278" i="15" s="1"/>
  <c r="I98" i="15"/>
  <c r="AA98" i="15"/>
  <c r="W100" i="15"/>
  <c r="O108" i="15"/>
  <c r="J266" i="15"/>
  <c r="N266" i="15"/>
  <c r="Y266" i="15"/>
  <c r="AF109" i="15"/>
  <c r="AB112" i="15"/>
  <c r="AD112" i="15" s="1"/>
  <c r="AF112" i="15"/>
  <c r="AI112" i="15"/>
  <c r="AJ113" i="15"/>
  <c r="K115" i="15"/>
  <c r="W130" i="15"/>
  <c r="K128" i="15"/>
  <c r="U128" i="15"/>
  <c r="V130" i="15"/>
  <c r="AC130" i="15"/>
  <c r="R134" i="15"/>
  <c r="T134" i="15" s="1"/>
  <c r="K262" i="15"/>
  <c r="W182" i="15"/>
  <c r="K181" i="15"/>
  <c r="O260" i="15"/>
  <c r="Z219" i="15"/>
  <c r="Z209" i="15" s="1"/>
  <c r="AA248" i="15"/>
  <c r="AB249" i="15"/>
  <c r="AD249" i="15" s="1"/>
  <c r="W272" i="15"/>
  <c r="AC95" i="15"/>
  <c r="O181" i="15"/>
  <c r="O262" i="15"/>
  <c r="O261" i="15" s="1"/>
  <c r="AA190" i="15"/>
  <c r="AB191" i="15"/>
  <c r="AD191" i="15" s="1"/>
  <c r="V263" i="15"/>
  <c r="U274" i="15"/>
  <c r="V225" i="15"/>
  <c r="V274" i="15" s="1"/>
  <c r="L259" i="15"/>
  <c r="L285" i="15" s="1"/>
  <c r="L232" i="15"/>
  <c r="AC49" i="15"/>
  <c r="U60" i="15"/>
  <c r="R268" i="15"/>
  <c r="W61" i="15"/>
  <c r="Z276" i="15"/>
  <c r="Z275" i="15" s="1"/>
  <c r="V76" i="15"/>
  <c r="V272" i="15" s="1"/>
  <c r="AB272" i="15"/>
  <c r="AF76" i="15"/>
  <c r="AC82" i="15"/>
  <c r="J281" i="15"/>
  <c r="N281" i="15"/>
  <c r="R98" i="15"/>
  <c r="V104" i="15"/>
  <c r="V258" i="15" s="1"/>
  <c r="AB258" i="15"/>
  <c r="AF104" i="15"/>
  <c r="Z266" i="15"/>
  <c r="AF116" i="15"/>
  <c r="T120" i="15"/>
  <c r="H128" i="15"/>
  <c r="H127" i="15" s="1"/>
  <c r="L128" i="15"/>
  <c r="L127" i="15" s="1"/>
  <c r="L270" i="15" s="1"/>
  <c r="L267" i="15" s="1"/>
  <c r="P128" i="15"/>
  <c r="P127" i="15" s="1"/>
  <c r="AB130" i="15"/>
  <c r="AD130" i="15" s="1"/>
  <c r="AF130" i="15"/>
  <c r="Y128" i="15"/>
  <c r="V134" i="15"/>
  <c r="AC134" i="15"/>
  <c r="J137" i="15"/>
  <c r="R139" i="15"/>
  <c r="T139" i="15" s="1"/>
  <c r="AF139" i="15"/>
  <c r="AF143" i="15"/>
  <c r="AC151" i="15"/>
  <c r="W151" i="15"/>
  <c r="V151" i="15"/>
  <c r="I150" i="15"/>
  <c r="G181" i="15"/>
  <c r="L262" i="15"/>
  <c r="L261" i="15" s="1"/>
  <c r="I199" i="15"/>
  <c r="AC210" i="15"/>
  <c r="M266" i="15"/>
  <c r="AF154" i="15"/>
  <c r="R160" i="15"/>
  <c r="T160" i="15" s="1"/>
  <c r="AB160" i="15"/>
  <c r="AD160" i="15" s="1"/>
  <c r="J277" i="15"/>
  <c r="J163" i="15"/>
  <c r="N277" i="15"/>
  <c r="N163" i="15"/>
  <c r="R164" i="15"/>
  <c r="AF164" i="15"/>
  <c r="AC164" i="15"/>
  <c r="AA273" i="15"/>
  <c r="W174" i="15"/>
  <c r="K173" i="15"/>
  <c r="V174" i="15"/>
  <c r="AC174" i="15"/>
  <c r="V178" i="15"/>
  <c r="AC178" i="15"/>
  <c r="R178" i="15"/>
  <c r="T178" i="15" s="1"/>
  <c r="T179" i="15"/>
  <c r="Y182" i="15"/>
  <c r="AC182" i="15" s="1"/>
  <c r="V185" i="15"/>
  <c r="AC185" i="15"/>
  <c r="I190" i="15"/>
  <c r="AF196" i="15"/>
  <c r="AC196" i="15"/>
  <c r="R220" i="15"/>
  <c r="T220" i="15" s="1"/>
  <c r="K274" i="15"/>
  <c r="W225" i="15"/>
  <c r="AF225" i="15"/>
  <c r="AC225" i="15"/>
  <c r="O232" i="15"/>
  <c r="O10" i="15" s="1"/>
  <c r="O259" i="15"/>
  <c r="O285" i="15" s="1"/>
  <c r="Y277" i="15"/>
  <c r="AB277" i="15" s="1"/>
  <c r="J287" i="15"/>
  <c r="J278" i="15"/>
  <c r="N278" i="15"/>
  <c r="N287" i="15"/>
  <c r="R151" i="15"/>
  <c r="T151" i="15" s="1"/>
  <c r="AF151" i="15"/>
  <c r="V160" i="15"/>
  <c r="U157" i="15"/>
  <c r="AC160" i="15"/>
  <c r="AB163" i="15"/>
  <c r="AI163" i="15"/>
  <c r="Y173" i="15"/>
  <c r="AF174" i="15"/>
  <c r="J199" i="15"/>
  <c r="N199" i="15"/>
  <c r="R200" i="15"/>
  <c r="T200" i="15" s="1"/>
  <c r="AF200" i="15"/>
  <c r="AA232" i="15"/>
  <c r="AA259" i="15"/>
  <c r="Y278" i="15"/>
  <c r="AC279" i="15"/>
  <c r="W220" i="15"/>
  <c r="R229" i="15"/>
  <c r="T229" i="15" s="1"/>
  <c r="I232" i="15"/>
  <c r="I248" i="15"/>
  <c r="R252" i="15"/>
  <c r="T252" i="15" s="1"/>
  <c r="AB252" i="15"/>
  <c r="AD252" i="15" s="1"/>
  <c r="AA157" i="15"/>
  <c r="AA266" i="15" s="1"/>
  <c r="V164" i="15"/>
  <c r="V277" i="15" s="1"/>
  <c r="N262" i="15"/>
  <c r="N261" i="15" s="1"/>
  <c r="R182" i="15"/>
  <c r="V210" i="15"/>
  <c r="AB229" i="15"/>
  <c r="AD229" i="15" s="1"/>
  <c r="U259" i="15"/>
  <c r="U285" i="15" s="1"/>
  <c r="V233" i="15"/>
  <c r="V259" i="15" s="1"/>
  <c r="U232" i="15"/>
  <c r="AJ234" i="15"/>
  <c r="N269" i="15"/>
  <c r="N285" i="15" s="1"/>
  <c r="N232" i="15"/>
  <c r="W252" i="15"/>
  <c r="V252" i="15"/>
  <c r="K248" i="15"/>
  <c r="AC252" i="15"/>
  <c r="W233" i="15"/>
  <c r="K232" i="15"/>
  <c r="R233" i="15"/>
  <c r="R259" i="15" s="1"/>
  <c r="R235" i="15"/>
  <c r="T235" i="15" s="1"/>
  <c r="W241" i="15"/>
  <c r="AC241" i="15"/>
  <c r="J259" i="15"/>
  <c r="J285" i="15" s="1"/>
  <c r="Y269" i="15"/>
  <c r="AB269" i="15" s="1"/>
  <c r="V242" i="15"/>
  <c r="Y248" i="15"/>
  <c r="K259" i="15"/>
  <c r="AB280" i="15"/>
  <c r="AA287" i="15"/>
  <c r="AB287" i="15" s="1"/>
  <c r="R225" i="15"/>
  <c r="AB279" i="15"/>
  <c r="K287" i="15"/>
  <c r="W109" i="15" l="1"/>
  <c r="W190" i="15"/>
  <c r="AB199" i="15"/>
  <c r="AD199" i="15" s="1"/>
  <c r="J150" i="15"/>
  <c r="R109" i="15"/>
  <c r="AI233" i="15"/>
  <c r="AI232" i="15" s="1"/>
  <c r="AJ232" i="15" s="1"/>
  <c r="AA209" i="15"/>
  <c r="P270" i="15"/>
  <c r="P267" i="15" s="1"/>
  <c r="AC109" i="15"/>
  <c r="H32" i="15"/>
  <c r="H19" i="15" s="1"/>
  <c r="H14" i="15" s="1"/>
  <c r="J32" i="15"/>
  <c r="M32" i="15"/>
  <c r="M265" i="15" s="1"/>
  <c r="Q107" i="15"/>
  <c r="Q15" i="15" s="1"/>
  <c r="AC199" i="15"/>
  <c r="AD163" i="15"/>
  <c r="AC233" i="15"/>
  <c r="AB233" i="15"/>
  <c r="AD233" i="15" s="1"/>
  <c r="J209" i="15"/>
  <c r="J148" i="15" s="1"/>
  <c r="N108" i="15"/>
  <c r="N107" i="15" s="1"/>
  <c r="N15" i="15" s="1"/>
  <c r="O270" i="15"/>
  <c r="O267" i="15" s="1"/>
  <c r="AJ59" i="15"/>
  <c r="AJ25" i="15"/>
  <c r="V163" i="15"/>
  <c r="AA107" i="15"/>
  <c r="AA15" i="15" s="1"/>
  <c r="R33" i="15"/>
  <c r="M147" i="15"/>
  <c r="M16" i="15" s="1"/>
  <c r="G32" i="15"/>
  <c r="R173" i="15"/>
  <c r="R273" i="15" s="1"/>
  <c r="AJ81" i="15"/>
  <c r="R25" i="15"/>
  <c r="M10" i="15"/>
  <c r="H10" i="15"/>
  <c r="L148" i="15"/>
  <c r="AJ173" i="15"/>
  <c r="Y232" i="15"/>
  <c r="AF233" i="15"/>
  <c r="O150" i="15"/>
  <c r="O148" i="15" s="1"/>
  <c r="R278" i="15"/>
  <c r="R190" i="15"/>
  <c r="T190" i="15" s="1"/>
  <c r="AC163" i="15"/>
  <c r="G10" i="15"/>
  <c r="U260" i="15"/>
  <c r="AC266" i="15"/>
  <c r="K149" i="15"/>
  <c r="AF190" i="15"/>
  <c r="N150" i="15"/>
  <c r="Q270" i="15"/>
  <c r="Q286" i="15" s="1"/>
  <c r="U209" i="15"/>
  <c r="L32" i="15"/>
  <c r="L265" i="15" s="1"/>
  <c r="L264" i="15" s="1"/>
  <c r="W199" i="15"/>
  <c r="Q32" i="15"/>
  <c r="Q265" i="15" s="1"/>
  <c r="K32" i="15"/>
  <c r="K265" i="15" s="1"/>
  <c r="O265" i="15"/>
  <c r="O264" i="15" s="1"/>
  <c r="Q148" i="15"/>
  <c r="AB266" i="15"/>
  <c r="U150" i="15"/>
  <c r="U147" i="15" s="1"/>
  <c r="K209" i="15"/>
  <c r="R209" i="15" s="1"/>
  <c r="T209" i="15" s="1"/>
  <c r="O107" i="15"/>
  <c r="O15" i="15" s="1"/>
  <c r="M19" i="15"/>
  <c r="M14" i="15" s="1"/>
  <c r="M9" i="15" s="1"/>
  <c r="V248" i="15"/>
  <c r="V285" i="15"/>
  <c r="AF199" i="15"/>
  <c r="V199" i="15"/>
  <c r="R281" i="15"/>
  <c r="W210" i="15"/>
  <c r="P32" i="15"/>
  <c r="P19" i="15" s="1"/>
  <c r="P14" i="15" s="1"/>
  <c r="P9" i="15" s="1"/>
  <c r="V33" i="15"/>
  <c r="W33" i="15"/>
  <c r="R219" i="15"/>
  <c r="T219" i="15" s="1"/>
  <c r="H147" i="15"/>
  <c r="H16" i="15" s="1"/>
  <c r="G107" i="15"/>
  <c r="G15" i="15" s="1"/>
  <c r="N267" i="15"/>
  <c r="H107" i="15"/>
  <c r="H15" i="15" s="1"/>
  <c r="J260" i="15"/>
  <c r="T173" i="15"/>
  <c r="T273" i="15" s="1"/>
  <c r="AB43" i="15"/>
  <c r="AD43" i="15" s="1"/>
  <c r="G19" i="15"/>
  <c r="G14" i="15" s="1"/>
  <c r="G9" i="15" s="1"/>
  <c r="H148" i="15"/>
  <c r="AJ43" i="15"/>
  <c r="AB137" i="15"/>
  <c r="AD137" i="15" s="1"/>
  <c r="J262" i="15"/>
  <c r="J261" i="15" s="1"/>
  <c r="Q19" i="15"/>
  <c r="Q14" i="15" s="1"/>
  <c r="Q9" i="15" s="1"/>
  <c r="W25" i="15"/>
  <c r="M286" i="15"/>
  <c r="G148" i="15"/>
  <c r="O19" i="15"/>
  <c r="O14" i="15" s="1"/>
  <c r="O9" i="15" s="1"/>
  <c r="J20" i="15"/>
  <c r="M148" i="15"/>
  <c r="P265" i="15"/>
  <c r="P284" i="15" s="1"/>
  <c r="O147" i="15"/>
  <c r="O16" i="15" s="1"/>
  <c r="O149" i="15"/>
  <c r="AF81" i="15"/>
  <c r="AU140" i="11"/>
  <c r="AU139" i="11" s="1"/>
  <c r="AU16" i="11" s="1"/>
  <c r="BH140" i="11"/>
  <c r="BJ140" i="11" s="1"/>
  <c r="BJ139" i="11" s="1"/>
  <c r="BJ16" i="11" s="1"/>
  <c r="Z32" i="15"/>
  <c r="AB182" i="15"/>
  <c r="AD182" i="15" s="1"/>
  <c r="AJ163" i="15"/>
  <c r="M149" i="15"/>
  <c r="AF163" i="15"/>
  <c r="Z148" i="15"/>
  <c r="O257" i="15"/>
  <c r="AC43" i="15"/>
  <c r="W43" i="15"/>
  <c r="AC219" i="15"/>
  <c r="W219" i="15"/>
  <c r="V219" i="15"/>
  <c r="V261" i="15"/>
  <c r="R81" i="15"/>
  <c r="T81" i="15" s="1"/>
  <c r="AC59" i="15"/>
  <c r="K58" i="15"/>
  <c r="Q147" i="15"/>
  <c r="Q16" i="15" s="1"/>
  <c r="Z149" i="15"/>
  <c r="AF59" i="15"/>
  <c r="Y58" i="15"/>
  <c r="AF58" i="15" s="1"/>
  <c r="M108" i="15"/>
  <c r="M107" i="15" s="1"/>
  <c r="M15" i="15" s="1"/>
  <c r="L147" i="15"/>
  <c r="L16" i="15" s="1"/>
  <c r="AB248" i="15"/>
  <c r="AD248" i="15" s="1"/>
  <c r="AJ58" i="15"/>
  <c r="K10" i="15"/>
  <c r="L107" i="15"/>
  <c r="L15" i="15" s="1"/>
  <c r="Q149" i="15"/>
  <c r="Q10" i="15"/>
  <c r="V43" i="15"/>
  <c r="U32" i="15"/>
  <c r="AI210" i="15"/>
  <c r="P149" i="15"/>
  <c r="AF43" i="15"/>
  <c r="I16" i="11"/>
  <c r="I86" i="11"/>
  <c r="I11" i="11" s="1"/>
  <c r="I18" i="11" s="1"/>
  <c r="I15" i="11"/>
  <c r="I14" i="11"/>
  <c r="L284" i="15"/>
  <c r="N147" i="15"/>
  <c r="N16" i="15" s="1"/>
  <c r="N148" i="15"/>
  <c r="P264" i="15"/>
  <c r="AC269" i="15"/>
  <c r="AC278" i="15"/>
  <c r="AB278" i="15"/>
  <c r="AB232" i="15"/>
  <c r="AD232" i="15" s="1"/>
  <c r="AA149" i="15"/>
  <c r="AA10" i="15"/>
  <c r="R199" i="15"/>
  <c r="T199" i="15" s="1"/>
  <c r="J149" i="15"/>
  <c r="J10" i="15"/>
  <c r="R277" i="15"/>
  <c r="T164" i="15"/>
  <c r="T277" i="15" s="1"/>
  <c r="AA181" i="15"/>
  <c r="AB190" i="15"/>
  <c r="AD190" i="15" s="1"/>
  <c r="W262" i="15"/>
  <c r="K261" i="15"/>
  <c r="AC128" i="15"/>
  <c r="K127" i="15"/>
  <c r="AJ127" i="15" s="1"/>
  <c r="W128" i="15"/>
  <c r="I107" i="15"/>
  <c r="AJ115" i="15"/>
  <c r="AC281" i="15"/>
  <c r="W138" i="15"/>
  <c r="K137" i="15"/>
  <c r="AC138" i="15"/>
  <c r="AC259" i="15"/>
  <c r="W259" i="15"/>
  <c r="K285" i="15"/>
  <c r="AC248" i="15"/>
  <c r="W248" i="15"/>
  <c r="K260" i="15"/>
  <c r="AJ248" i="15"/>
  <c r="Z147" i="15"/>
  <c r="Z16" i="15" s="1"/>
  <c r="Z8" i="15" s="1"/>
  <c r="AJ191" i="15"/>
  <c r="AI190" i="15"/>
  <c r="N265" i="15"/>
  <c r="N19" i="15"/>
  <c r="N14" i="15" s="1"/>
  <c r="N9" i="15" s="1"/>
  <c r="W20" i="15"/>
  <c r="V20" i="15"/>
  <c r="V232" i="15"/>
  <c r="U10" i="15"/>
  <c r="V10" i="15" s="1"/>
  <c r="U149" i="15"/>
  <c r="AA260" i="15"/>
  <c r="R262" i="15"/>
  <c r="R261" i="15" s="1"/>
  <c r="T182" i="15"/>
  <c r="T262" i="15" s="1"/>
  <c r="T261" i="15" s="1"/>
  <c r="AC277" i="15"/>
  <c r="V157" i="15"/>
  <c r="V266" i="15" s="1"/>
  <c r="W157" i="15"/>
  <c r="L286" i="15"/>
  <c r="AC173" i="15"/>
  <c r="K273" i="15"/>
  <c r="W173" i="15"/>
  <c r="V173" i="15"/>
  <c r="V273" i="15" s="1"/>
  <c r="V271" i="15" s="1"/>
  <c r="AF138" i="15"/>
  <c r="AF128" i="15"/>
  <c r="Y127" i="15"/>
  <c r="Y107" i="15" s="1"/>
  <c r="AD219" i="15"/>
  <c r="R181" i="15"/>
  <c r="J275" i="15"/>
  <c r="R248" i="15"/>
  <c r="R260" i="15" s="1"/>
  <c r="O286" i="15"/>
  <c r="W181" i="15"/>
  <c r="AB128" i="15"/>
  <c r="AD128" i="15" s="1"/>
  <c r="AJ112" i="15"/>
  <c r="AI109" i="15"/>
  <c r="AA281" i="15"/>
  <c r="AB281" i="15" s="1"/>
  <c r="AB98" i="15"/>
  <c r="AD98" i="15" s="1"/>
  <c r="AA89" i="15"/>
  <c r="R269" i="15"/>
  <c r="T241" i="15"/>
  <c r="T269" i="15" s="1"/>
  <c r="N286" i="15"/>
  <c r="AJ199" i="15"/>
  <c r="P148" i="15"/>
  <c r="P147" i="15"/>
  <c r="P16" i="15" s="1"/>
  <c r="I32" i="15"/>
  <c r="T33" i="15"/>
  <c r="AJ128" i="15"/>
  <c r="R59" i="15"/>
  <c r="T59" i="15" s="1"/>
  <c r="O284" i="15"/>
  <c r="J257" i="15"/>
  <c r="AA80" i="15"/>
  <c r="AB81" i="15"/>
  <c r="AD81" i="15" s="1"/>
  <c r="R43" i="15"/>
  <c r="T43" i="15" s="1"/>
  <c r="AJ160" i="15"/>
  <c r="AI157" i="15"/>
  <c r="G147" i="15"/>
  <c r="G16" i="15" s="1"/>
  <c r="G8" i="15" s="1"/>
  <c r="P107" i="15"/>
  <c r="P15" i="15" s="1"/>
  <c r="R274" i="15"/>
  <c r="T225" i="15"/>
  <c r="T274" i="15" s="1"/>
  <c r="Y285" i="15"/>
  <c r="Y273" i="15"/>
  <c r="Y271" i="15" s="1"/>
  <c r="AF173" i="15"/>
  <c r="Y150" i="15"/>
  <c r="AB173" i="15"/>
  <c r="AD173" i="15" s="1"/>
  <c r="K108" i="15"/>
  <c r="AF108" i="15" s="1"/>
  <c r="AC115" i="15"/>
  <c r="R266" i="15"/>
  <c r="T109" i="15"/>
  <c r="T266" i="15" s="1"/>
  <c r="U257" i="15"/>
  <c r="AA58" i="15"/>
  <c r="AB58" i="15" s="1"/>
  <c r="AD58" i="15" s="1"/>
  <c r="AB59" i="15"/>
  <c r="AD59" i="15" s="1"/>
  <c r="U80" i="15"/>
  <c r="V81" i="15"/>
  <c r="R20" i="15"/>
  <c r="J265" i="15"/>
  <c r="AJ34" i="15"/>
  <c r="AI33" i="15"/>
  <c r="R272" i="15"/>
  <c r="R271" i="15" s="1"/>
  <c r="T76" i="15"/>
  <c r="T272" i="15" s="1"/>
  <c r="AC232" i="15"/>
  <c r="AF232" i="15"/>
  <c r="W232" i="15"/>
  <c r="AJ233" i="15"/>
  <c r="AA285" i="15"/>
  <c r="AB259" i="15"/>
  <c r="I149" i="15"/>
  <c r="I10" i="15"/>
  <c r="R138" i="15"/>
  <c r="T138" i="15" s="1"/>
  <c r="AA271" i="15"/>
  <c r="L149" i="15"/>
  <c r="L10" i="15"/>
  <c r="R90" i="15"/>
  <c r="T90" i="15" s="1"/>
  <c r="J89" i="15"/>
  <c r="J19" i="15" s="1"/>
  <c r="R232" i="15"/>
  <c r="T232" i="15" s="1"/>
  <c r="V116" i="15"/>
  <c r="U115" i="15"/>
  <c r="W115" i="15" s="1"/>
  <c r="AI137" i="15"/>
  <c r="AJ138" i="15"/>
  <c r="AJ20" i="15"/>
  <c r="AJ100" i="15"/>
  <c r="AI98" i="15"/>
  <c r="AJ98" i="15" s="1"/>
  <c r="Y89" i="15"/>
  <c r="AF90" i="15"/>
  <c r="AC287" i="15"/>
  <c r="W287" i="15"/>
  <c r="AF248" i="15"/>
  <c r="V260" i="15"/>
  <c r="V257" i="15" s="1"/>
  <c r="AA150" i="15"/>
  <c r="AB157" i="15"/>
  <c r="AD157" i="15" s="1"/>
  <c r="T233" i="15"/>
  <c r="T259" i="15" s="1"/>
  <c r="AB209" i="15"/>
  <c r="AD209" i="15" s="1"/>
  <c r="N149" i="15"/>
  <c r="N10" i="15"/>
  <c r="J147" i="15"/>
  <c r="AC274" i="15"/>
  <c r="W274" i="15"/>
  <c r="I181" i="15"/>
  <c r="Y181" i="15"/>
  <c r="AF181" i="15" s="1"/>
  <c r="AF182" i="15"/>
  <c r="Y262" i="15"/>
  <c r="AC262" i="15" s="1"/>
  <c r="R163" i="15"/>
  <c r="T163" i="15" s="1"/>
  <c r="W60" i="15"/>
  <c r="U59" i="15"/>
  <c r="V60" i="15"/>
  <c r="T210" i="15"/>
  <c r="Z270" i="15"/>
  <c r="Z267" i="15" s="1"/>
  <c r="AC209" i="15"/>
  <c r="V138" i="15"/>
  <c r="U127" i="15"/>
  <c r="V127" i="15" s="1"/>
  <c r="V128" i="15"/>
  <c r="W116" i="15"/>
  <c r="J107" i="15"/>
  <c r="Z257" i="15"/>
  <c r="L257" i="15"/>
  <c r="T98" i="15"/>
  <c r="T281" i="15" s="1"/>
  <c r="I89" i="15"/>
  <c r="AC81" i="15"/>
  <c r="W81" i="15"/>
  <c r="K80" i="15"/>
  <c r="AF80" i="15" s="1"/>
  <c r="Y275" i="15"/>
  <c r="N275" i="15"/>
  <c r="Y260" i="15"/>
  <c r="J270" i="15"/>
  <c r="J267" i="15" s="1"/>
  <c r="R115" i="15"/>
  <c r="V181" i="15"/>
  <c r="R128" i="15"/>
  <c r="T128" i="15" s="1"/>
  <c r="U281" i="15"/>
  <c r="W281" i="15" s="1"/>
  <c r="V98" i="15"/>
  <c r="V281" i="15" s="1"/>
  <c r="I58" i="15"/>
  <c r="AJ90" i="15"/>
  <c r="I80" i="15"/>
  <c r="AC90" i="15"/>
  <c r="W90" i="15"/>
  <c r="K89" i="15"/>
  <c r="U266" i="15"/>
  <c r="T25" i="15"/>
  <c r="R258" i="15"/>
  <c r="T104" i="15"/>
  <c r="T258" i="15" s="1"/>
  <c r="AF33" i="15"/>
  <c r="Y32" i="15"/>
  <c r="AC33" i="15"/>
  <c r="AF25" i="15"/>
  <c r="Y20" i="15"/>
  <c r="AB20" i="15" s="1"/>
  <c r="AD20" i="15" s="1"/>
  <c r="AC25" i="15"/>
  <c r="AB25" i="15"/>
  <c r="AD25" i="15" s="1"/>
  <c r="AF115" i="15"/>
  <c r="K150" i="15"/>
  <c r="AB90" i="15"/>
  <c r="AD90" i="15" s="1"/>
  <c r="AA32" i="15"/>
  <c r="AB33" i="15"/>
  <c r="AD33" i="15" s="1"/>
  <c r="H9" i="15" l="1"/>
  <c r="H6" i="15"/>
  <c r="K270" i="15"/>
  <c r="L19" i="15"/>
  <c r="L14" i="15" s="1"/>
  <c r="L9" i="15" s="1"/>
  <c r="P286" i="15"/>
  <c r="P283" i="15" s="1"/>
  <c r="M8" i="15"/>
  <c r="M255" i="15" s="1"/>
  <c r="M12" i="15" s="1"/>
  <c r="M18" i="15" s="1"/>
  <c r="AF209" i="15"/>
  <c r="W209" i="15"/>
  <c r="AB32" i="15"/>
  <c r="T248" i="15"/>
  <c r="T260" i="15" s="1"/>
  <c r="T257" i="15" s="1"/>
  <c r="R32" i="15"/>
  <c r="Q6" i="15"/>
  <c r="V209" i="15"/>
  <c r="Y10" i="15"/>
  <c r="Y149" i="15"/>
  <c r="AB149" i="15" s="1"/>
  <c r="AD149" i="15" s="1"/>
  <c r="AF32" i="15"/>
  <c r="AJ137" i="15"/>
  <c r="AB271" i="15"/>
  <c r="AB273" i="15"/>
  <c r="T271" i="15"/>
  <c r="U148" i="15"/>
  <c r="V149" i="15"/>
  <c r="O283" i="15"/>
  <c r="V32" i="15"/>
  <c r="L8" i="15"/>
  <c r="L255" i="15" s="1"/>
  <c r="L12" i="15" s="1"/>
  <c r="O6" i="15"/>
  <c r="Q267" i="15"/>
  <c r="H8" i="15"/>
  <c r="T285" i="15"/>
  <c r="N8" i="15"/>
  <c r="N255" i="15" s="1"/>
  <c r="N12" i="15" s="1"/>
  <c r="N18" i="15" s="1"/>
  <c r="AD32" i="15"/>
  <c r="Q8" i="15"/>
  <c r="R137" i="15"/>
  <c r="T137" i="15" s="1"/>
  <c r="AF137" i="15"/>
  <c r="O8" i="15"/>
  <c r="V265" i="15"/>
  <c r="V264" i="15" s="1"/>
  <c r="W10" i="15"/>
  <c r="Z19" i="15"/>
  <c r="Z14" i="15" s="1"/>
  <c r="Z9" i="15" s="1"/>
  <c r="Z6" i="15" s="1"/>
  <c r="Z265" i="15"/>
  <c r="G6" i="15"/>
  <c r="AI209" i="15"/>
  <c r="AJ209" i="15" s="1"/>
  <c r="AJ210" i="15"/>
  <c r="AC58" i="15"/>
  <c r="R58" i="15"/>
  <c r="T58" i="15" s="1"/>
  <c r="AI89" i="15"/>
  <c r="AJ89" i="15" s="1"/>
  <c r="T181" i="15"/>
  <c r="R265" i="15"/>
  <c r="R264" i="15" s="1"/>
  <c r="W32" i="15"/>
  <c r="T32" i="15"/>
  <c r="J286" i="15"/>
  <c r="AB181" i="15"/>
  <c r="AD181" i="15" s="1"/>
  <c r="U265" i="15"/>
  <c r="U264" i="15" s="1"/>
  <c r="W89" i="15"/>
  <c r="AC89" i="15"/>
  <c r="J16" i="15"/>
  <c r="J14" i="15"/>
  <c r="AF150" i="15"/>
  <c r="Y148" i="15"/>
  <c r="Y147" i="15"/>
  <c r="AJ157" i="15"/>
  <c r="AI150" i="15"/>
  <c r="I147" i="15"/>
  <c r="AB260" i="15"/>
  <c r="AA286" i="15"/>
  <c r="AA257" i="15"/>
  <c r="K19" i="15"/>
  <c r="R19" i="15" s="1"/>
  <c r="W260" i="15"/>
  <c r="K286" i="15"/>
  <c r="AC260" i="15"/>
  <c r="K257" i="15"/>
  <c r="R149" i="15"/>
  <c r="T149" i="15" s="1"/>
  <c r="T115" i="15"/>
  <c r="J264" i="15"/>
  <c r="J284" i="15"/>
  <c r="AA265" i="15"/>
  <c r="AC32" i="15"/>
  <c r="I19" i="15"/>
  <c r="Q264" i="15"/>
  <c r="Q284" i="15"/>
  <c r="Q283" i="15" s="1"/>
  <c r="W149" i="15"/>
  <c r="L283" i="15"/>
  <c r="W150" i="15"/>
  <c r="K148" i="15"/>
  <c r="AC150" i="15"/>
  <c r="K147" i="15"/>
  <c r="Y265" i="15"/>
  <c r="AC265" i="15" s="1"/>
  <c r="Y19" i="15"/>
  <c r="AF20" i="15"/>
  <c r="W266" i="15"/>
  <c r="J15" i="15"/>
  <c r="V59" i="15"/>
  <c r="U58" i="15"/>
  <c r="W59" i="15"/>
  <c r="R150" i="15"/>
  <c r="T150" i="15" s="1"/>
  <c r="Z286" i="15"/>
  <c r="AB150" i="15"/>
  <c r="AD150" i="15" s="1"/>
  <c r="AA147" i="15"/>
  <c r="AA148" i="15"/>
  <c r="R89" i="15"/>
  <c r="T89" i="15" s="1"/>
  <c r="AB285" i="15"/>
  <c r="AI32" i="15"/>
  <c r="AJ33" i="15"/>
  <c r="V89" i="15"/>
  <c r="AB89" i="15"/>
  <c r="AD89" i="15" s="1"/>
  <c r="AI108" i="15"/>
  <c r="AJ109" i="15"/>
  <c r="AC181" i="15"/>
  <c r="AF127" i="15"/>
  <c r="AB127" i="15"/>
  <c r="AD127" i="15" s="1"/>
  <c r="Y270" i="15"/>
  <c r="AC270" i="15" s="1"/>
  <c r="I148" i="15"/>
  <c r="T20" i="15"/>
  <c r="T265" i="15" s="1"/>
  <c r="T264" i="15" s="1"/>
  <c r="K264" i="15"/>
  <c r="W127" i="15"/>
  <c r="AC127" i="15"/>
  <c r="R127" i="15"/>
  <c r="T127" i="15" s="1"/>
  <c r="V150" i="15"/>
  <c r="R257" i="15"/>
  <c r="AC108" i="15"/>
  <c r="K107" i="15"/>
  <c r="AF107" i="15" s="1"/>
  <c r="M264" i="15"/>
  <c r="M284" i="15"/>
  <c r="M283" i="15" s="1"/>
  <c r="AI149" i="15"/>
  <c r="AJ149" i="15" s="1"/>
  <c r="N264" i="15"/>
  <c r="N284" i="15"/>
  <c r="N283" i="15" s="1"/>
  <c r="W261" i="15"/>
  <c r="Y261" i="15"/>
  <c r="AB261" i="15" s="1"/>
  <c r="AB262" i="15"/>
  <c r="R285" i="15"/>
  <c r="K267" i="15"/>
  <c r="AI181" i="15"/>
  <c r="AJ181" i="15" s="1"/>
  <c r="AJ190" i="15"/>
  <c r="Y257" i="15"/>
  <c r="AC80" i="15"/>
  <c r="W80" i="15"/>
  <c r="K276" i="15"/>
  <c r="AJ80" i="15"/>
  <c r="R80" i="15"/>
  <c r="R276" i="15" s="1"/>
  <c r="R275" i="15" s="1"/>
  <c r="R108" i="15"/>
  <c r="T108" i="15" s="1"/>
  <c r="AF89" i="15"/>
  <c r="U270" i="15"/>
  <c r="U267" i="15" s="1"/>
  <c r="V115" i="15"/>
  <c r="U108" i="15"/>
  <c r="AA19" i="15"/>
  <c r="V80" i="15"/>
  <c r="V276" i="15" s="1"/>
  <c r="V275" i="15" s="1"/>
  <c r="U276" i="15"/>
  <c r="P8" i="15"/>
  <c r="Y15" i="15"/>
  <c r="AB15" i="15" s="1"/>
  <c r="AD15" i="15" s="1"/>
  <c r="AB80" i="15"/>
  <c r="AD80" i="15" s="1"/>
  <c r="AA276" i="15"/>
  <c r="AB107" i="15"/>
  <c r="AD107" i="15" s="1"/>
  <c r="AI10" i="15"/>
  <c r="AJ10" i="15" s="1"/>
  <c r="W273" i="15"/>
  <c r="AC273" i="15"/>
  <c r="K271" i="15"/>
  <c r="AC20" i="15"/>
  <c r="AC285" i="15"/>
  <c r="W285" i="15"/>
  <c r="P6" i="15"/>
  <c r="AC137" i="15"/>
  <c r="W137" i="15"/>
  <c r="V137" i="15"/>
  <c r="I15" i="15"/>
  <c r="V147" i="15"/>
  <c r="U16" i="15"/>
  <c r="R10" i="15"/>
  <c r="T10" i="15" s="1"/>
  <c r="M6" i="15" l="1"/>
  <c r="W265" i="15"/>
  <c r="AF149" i="15"/>
  <c r="AC149" i="15"/>
  <c r="AF10" i="15"/>
  <c r="AC10" i="15"/>
  <c r="AB10" i="15"/>
  <c r="N6" i="15"/>
  <c r="AC261" i="15"/>
  <c r="AB148" i="15"/>
  <c r="AD148" i="15" s="1"/>
  <c r="J283" i="15"/>
  <c r="W270" i="15"/>
  <c r="Z284" i="15"/>
  <c r="Z283" i="15" s="1"/>
  <c r="Z264" i="15"/>
  <c r="AA14" i="15"/>
  <c r="AB19" i="15"/>
  <c r="AD19" i="15" s="1"/>
  <c r="W267" i="15"/>
  <c r="W264" i="15"/>
  <c r="AF19" i="15"/>
  <c r="Y14" i="15"/>
  <c r="AC148" i="15"/>
  <c r="W148" i="15"/>
  <c r="AA264" i="15"/>
  <c r="AB265" i="15"/>
  <c r="AA284" i="15"/>
  <c r="J6" i="15"/>
  <c r="J9" i="15"/>
  <c r="AA275" i="15"/>
  <c r="AB275" i="15" s="1"/>
  <c r="AB276" i="15"/>
  <c r="V108" i="15"/>
  <c r="U107" i="15"/>
  <c r="AC107" i="15"/>
  <c r="K15" i="15"/>
  <c r="AF15" i="15" s="1"/>
  <c r="AF147" i="15"/>
  <c r="Y16" i="15"/>
  <c r="U275" i="15"/>
  <c r="U284" i="15"/>
  <c r="V270" i="15"/>
  <c r="AC276" i="15"/>
  <c r="W276" i="15"/>
  <c r="K275" i="15"/>
  <c r="Y286" i="15"/>
  <c r="AB286" i="15" s="1"/>
  <c r="R284" i="15"/>
  <c r="AI107" i="15"/>
  <c r="AJ108" i="15"/>
  <c r="AB147" i="15"/>
  <c r="AD147" i="15" s="1"/>
  <c r="AA16" i="15"/>
  <c r="V284" i="15"/>
  <c r="R15" i="15"/>
  <c r="T15" i="15" s="1"/>
  <c r="J8" i="15"/>
  <c r="U286" i="15"/>
  <c r="W286" i="15" s="1"/>
  <c r="W147" i="15"/>
  <c r="K16" i="15"/>
  <c r="R16" i="15" s="1"/>
  <c r="AC147" i="15"/>
  <c r="T19" i="15"/>
  <c r="I14" i="15"/>
  <c r="T270" i="15"/>
  <c r="T267" i="15" s="1"/>
  <c r="AC257" i="15"/>
  <c r="W257" i="15"/>
  <c r="AC19" i="15"/>
  <c r="K14" i="15"/>
  <c r="R14" i="15" s="1"/>
  <c r="I16" i="15"/>
  <c r="AF148" i="15"/>
  <c r="V58" i="15"/>
  <c r="U19" i="15"/>
  <c r="W58" i="15"/>
  <c r="L18" i="15"/>
  <c r="R18" i="15" s="1"/>
  <c r="R12" i="15"/>
  <c r="T80" i="15"/>
  <c r="T276" i="15" s="1"/>
  <c r="Y267" i="15"/>
  <c r="AB267" i="15" s="1"/>
  <c r="AB270" i="15"/>
  <c r="AJ32" i="15"/>
  <c r="AI19" i="15"/>
  <c r="Y264" i="15"/>
  <c r="AC264" i="15" s="1"/>
  <c r="Y284" i="15"/>
  <c r="R148" i="15"/>
  <c r="T148" i="15" s="1"/>
  <c r="W271" i="15"/>
  <c r="AC271" i="15"/>
  <c r="Y8" i="15"/>
  <c r="V148" i="15"/>
  <c r="W108" i="15"/>
  <c r="K284" i="15"/>
  <c r="R107" i="15"/>
  <c r="T107" i="15" s="1"/>
  <c r="L6" i="15"/>
  <c r="R270" i="15"/>
  <c r="AB257" i="15"/>
  <c r="AJ150" i="15"/>
  <c r="AI147" i="15"/>
  <c r="AI148" i="15"/>
  <c r="AJ148" i="15" s="1"/>
  <c r="R147" i="15"/>
  <c r="T147" i="15" s="1"/>
  <c r="Y283" i="15" l="1"/>
  <c r="T16" i="15"/>
  <c r="AC286" i="15"/>
  <c r="AF16" i="15"/>
  <c r="U283" i="15"/>
  <c r="AB264" i="15"/>
  <c r="W284" i="15"/>
  <c r="AC284" i="15"/>
  <c r="K283" i="15"/>
  <c r="AJ107" i="15"/>
  <c r="AI15" i="15"/>
  <c r="AJ19" i="15"/>
  <c r="AI14" i="15"/>
  <c r="T275" i="15"/>
  <c r="T284" i="15"/>
  <c r="K6" i="15"/>
  <c r="R6" i="15" s="1"/>
  <c r="K9" i="15"/>
  <c r="R9" i="15" s="1"/>
  <c r="AC14" i="15"/>
  <c r="T286" i="15"/>
  <c r="I8" i="15"/>
  <c r="AC15" i="15"/>
  <c r="K8" i="15"/>
  <c r="AB284" i="15"/>
  <c r="AA283" i="15"/>
  <c r="AB283" i="15" s="1"/>
  <c r="AB14" i="15"/>
  <c r="AD14" i="15" s="1"/>
  <c r="AA9" i="15"/>
  <c r="I6" i="15"/>
  <c r="T14" i="15"/>
  <c r="I9" i="15"/>
  <c r="R267" i="15"/>
  <c r="R286" i="15"/>
  <c r="R283" i="15" s="1"/>
  <c r="AB16" i="15"/>
  <c r="AD16" i="15" s="1"/>
  <c r="AA8" i="15"/>
  <c r="U15" i="15"/>
  <c r="V107" i="15"/>
  <c r="AI16" i="15"/>
  <c r="AJ16" i="15" s="1"/>
  <c r="AJ147" i="15"/>
  <c r="U14" i="15"/>
  <c r="V19" i="15"/>
  <c r="W19" i="15"/>
  <c r="AC16" i="15"/>
  <c r="W16" i="15"/>
  <c r="W275" i="15"/>
  <c r="AC275" i="15"/>
  <c r="V267" i="15"/>
  <c r="V286" i="15"/>
  <c r="V283" i="15" s="1"/>
  <c r="W107" i="15"/>
  <c r="AF14" i="15"/>
  <c r="Y9" i="15"/>
  <c r="AC267" i="15"/>
  <c r="V16" i="15"/>
  <c r="T283" i="15" l="1"/>
  <c r="AF9" i="15"/>
  <c r="T9" i="15"/>
  <c r="Y6" i="15"/>
  <c r="AF6" i="15" s="1"/>
  <c r="AC6" i="15"/>
  <c r="AC8" i="15"/>
  <c r="W283" i="15"/>
  <c r="AC283" i="15"/>
  <c r="AB9" i="15"/>
  <c r="AJ15" i="15"/>
  <c r="AI8" i="15"/>
  <c r="V14" i="15"/>
  <c r="U9" i="15"/>
  <c r="V9" i="15" s="1"/>
  <c r="U8" i="15"/>
  <c r="V15" i="15"/>
  <c r="R8" i="15"/>
  <c r="T8" i="15" s="1"/>
  <c r="AB6" i="15"/>
  <c r="AA6" i="15"/>
  <c r="AB8" i="15"/>
  <c r="AF8" i="15"/>
  <c r="W14" i="15"/>
  <c r="W15" i="15"/>
  <c r="AC9" i="15"/>
  <c r="AI9" i="15"/>
  <c r="AJ9" i="15" s="1"/>
  <c r="AJ14" i="15"/>
  <c r="T6" i="15" l="1"/>
  <c r="W6" i="15"/>
  <c r="W9" i="15"/>
  <c r="AD6" i="15"/>
  <c r="AI6" i="15"/>
  <c r="AJ6" i="15" s="1"/>
  <c r="AJ8" i="15"/>
  <c r="U255" i="15"/>
  <c r="U12" i="15" s="1"/>
  <c r="U18" i="15" s="1"/>
  <c r="V8" i="15"/>
  <c r="W8" i="15"/>
  <c r="W255" i="15" l="1"/>
  <c r="U6" i="15"/>
  <c r="V255" i="15"/>
  <c r="V6" i="15"/>
  <c r="AG38" i="13" l="1"/>
  <c r="AG23" i="13"/>
  <c r="C88" i="11" l="1"/>
  <c r="D88" i="11"/>
  <c r="E88" i="11"/>
  <c r="F88" i="11"/>
  <c r="G88" i="11"/>
  <c r="C201" i="11"/>
  <c r="D201" i="11"/>
  <c r="E201" i="11"/>
  <c r="F201" i="11"/>
  <c r="G201" i="11"/>
  <c r="H201" i="11"/>
  <c r="J201" i="11"/>
  <c r="C195" i="11"/>
  <c r="D195" i="11"/>
  <c r="E195" i="11"/>
  <c r="F195" i="11"/>
  <c r="G195" i="11"/>
  <c r="H195" i="11"/>
  <c r="J195" i="11"/>
  <c r="D188" i="11"/>
  <c r="E188" i="11"/>
  <c r="F188" i="11"/>
  <c r="G188" i="11"/>
  <c r="H188" i="11"/>
  <c r="J188" i="11"/>
  <c r="C180" i="11"/>
  <c r="D180" i="11"/>
  <c r="E180" i="11"/>
  <c r="F180" i="11"/>
  <c r="G180" i="11"/>
  <c r="H180" i="11"/>
  <c r="J180" i="11"/>
  <c r="C172" i="11"/>
  <c r="D172" i="11"/>
  <c r="E172" i="11"/>
  <c r="F172" i="11"/>
  <c r="G172" i="11"/>
  <c r="H172" i="11"/>
  <c r="J172" i="11"/>
  <c r="C168" i="11"/>
  <c r="D168" i="11"/>
  <c r="E168" i="11"/>
  <c r="F168" i="11"/>
  <c r="G168" i="11"/>
  <c r="H168" i="11"/>
  <c r="J168" i="11"/>
  <c r="C162" i="11"/>
  <c r="D162" i="11"/>
  <c r="E162" i="11"/>
  <c r="F162" i="11"/>
  <c r="G162" i="11"/>
  <c r="H162" i="11"/>
  <c r="J162" i="11"/>
  <c r="C149" i="11"/>
  <c r="D149" i="11"/>
  <c r="E149" i="11"/>
  <c r="F149" i="11"/>
  <c r="G149" i="11"/>
  <c r="C139" i="11"/>
  <c r="D139" i="11"/>
  <c r="E139" i="11"/>
  <c r="F139" i="11"/>
  <c r="G139" i="11"/>
  <c r="H139" i="11"/>
  <c r="J139" i="11"/>
  <c r="C135" i="11"/>
  <c r="D135" i="11"/>
  <c r="E135" i="11"/>
  <c r="F135" i="11"/>
  <c r="G135" i="11"/>
  <c r="H135" i="11"/>
  <c r="J135" i="11"/>
  <c r="C124" i="11"/>
  <c r="D124" i="11"/>
  <c r="E124" i="11"/>
  <c r="F124" i="11"/>
  <c r="G124" i="11"/>
  <c r="H124" i="11"/>
  <c r="J124" i="11"/>
  <c r="C119" i="11"/>
  <c r="D119" i="11"/>
  <c r="E119" i="11"/>
  <c r="F119" i="11"/>
  <c r="G119" i="11"/>
  <c r="H119" i="11"/>
  <c r="J119" i="11"/>
  <c r="C111" i="11"/>
  <c r="D111" i="11"/>
  <c r="E111" i="11"/>
  <c r="F111" i="11"/>
  <c r="G111" i="11"/>
  <c r="H111" i="11"/>
  <c r="H87" i="11" s="1"/>
  <c r="J111" i="11"/>
  <c r="C179" i="11" l="1"/>
  <c r="F134" i="11"/>
  <c r="G134" i="11"/>
  <c r="H179" i="11"/>
  <c r="H134" i="11"/>
  <c r="F179" i="11"/>
  <c r="E87" i="11"/>
  <c r="H118" i="11"/>
  <c r="G87" i="11"/>
  <c r="C87" i="11"/>
  <c r="D87" i="11"/>
  <c r="C134" i="11"/>
  <c r="F118" i="11"/>
  <c r="J118" i="11"/>
  <c r="D134" i="11"/>
  <c r="J134" i="11"/>
  <c r="E134" i="11"/>
  <c r="F87" i="11"/>
  <c r="J179" i="11"/>
  <c r="D179" i="11"/>
  <c r="E179" i="11"/>
  <c r="G179" i="11"/>
  <c r="G118" i="11"/>
  <c r="D118" i="11"/>
  <c r="E118" i="11"/>
  <c r="C118" i="11"/>
  <c r="J88" i="11"/>
  <c r="J87" i="11" s="1"/>
  <c r="C83" i="11"/>
  <c r="D83" i="11"/>
  <c r="E83" i="11"/>
  <c r="F83" i="11"/>
  <c r="G83" i="11"/>
  <c r="H83" i="11"/>
  <c r="J83" i="11"/>
  <c r="D80" i="11"/>
  <c r="E80" i="11"/>
  <c r="F80" i="11"/>
  <c r="G80" i="11"/>
  <c r="J80" i="11"/>
  <c r="C80" i="11"/>
  <c r="D76" i="11"/>
  <c r="E76" i="11"/>
  <c r="F76" i="11"/>
  <c r="G76" i="11"/>
  <c r="H76" i="11"/>
  <c r="J76" i="11"/>
  <c r="C76" i="11"/>
  <c r="D67" i="11"/>
  <c r="E67" i="11"/>
  <c r="F67" i="11"/>
  <c r="G67" i="11"/>
  <c r="H67" i="11"/>
  <c r="J67" i="11"/>
  <c r="C67" i="11"/>
  <c r="D61" i="11"/>
  <c r="E61" i="11"/>
  <c r="F61" i="11"/>
  <c r="G61" i="11"/>
  <c r="H61" i="11"/>
  <c r="J61" i="11"/>
  <c r="C61" i="11"/>
  <c r="D45" i="11"/>
  <c r="E45" i="11"/>
  <c r="F45" i="11"/>
  <c r="G45" i="11"/>
  <c r="H45" i="11"/>
  <c r="J45" i="11"/>
  <c r="C45" i="11"/>
  <c r="D21" i="11"/>
  <c r="E21" i="11"/>
  <c r="F21" i="11"/>
  <c r="G21" i="11"/>
  <c r="C21" i="11"/>
  <c r="C86" i="11" l="1"/>
  <c r="C11" i="11" s="1"/>
  <c r="F86" i="11"/>
  <c r="H86" i="11"/>
  <c r="J86" i="11"/>
  <c r="D86" i="11"/>
  <c r="G86" i="11"/>
  <c r="E86" i="11"/>
  <c r="AG261" i="13"/>
  <c r="AF261" i="13"/>
  <c r="O261" i="13"/>
  <c r="O260" i="13" s="1"/>
  <c r="J261" i="13"/>
  <c r="AQ261" i="13" s="1"/>
  <c r="AS261" i="13" s="1"/>
  <c r="H261" i="13"/>
  <c r="F261" i="13"/>
  <c r="AL260" i="13"/>
  <c r="AD260" i="13"/>
  <c r="AD259" i="13" s="1"/>
  <c r="AC260" i="13"/>
  <c r="AC259" i="13" s="1"/>
  <c r="AB260" i="13"/>
  <c r="AB259" i="13" s="1"/>
  <c r="AA260" i="13"/>
  <c r="Z260" i="13"/>
  <c r="Z259" i="13" s="1"/>
  <c r="U260" i="13"/>
  <c r="U259" i="13" s="1"/>
  <c r="P260" i="13"/>
  <c r="P259" i="13" s="1"/>
  <c r="M260" i="13"/>
  <c r="M259" i="13" s="1"/>
  <c r="L260" i="13"/>
  <c r="L259" i="13" s="1"/>
  <c r="H260" i="13"/>
  <c r="H259" i="13" s="1"/>
  <c r="F260" i="13"/>
  <c r="F259" i="13" s="1"/>
  <c r="O259" i="13"/>
  <c r="AG258" i="13"/>
  <c r="AF258" i="13"/>
  <c r="O258" i="13"/>
  <c r="O257" i="13" s="1"/>
  <c r="O256" i="13" s="1"/>
  <c r="J258" i="13"/>
  <c r="N258" i="13" s="1"/>
  <c r="H258" i="13"/>
  <c r="F258" i="13"/>
  <c r="F257" i="13" s="1"/>
  <c r="F256" i="13" s="1"/>
  <c r="AL257" i="13"/>
  <c r="AL256" i="13" s="1"/>
  <c r="AC257" i="13"/>
  <c r="AB257" i="13"/>
  <c r="AB256" i="13" s="1"/>
  <c r="AA257" i="13"/>
  <c r="AA256" i="13" s="1"/>
  <c r="Z257" i="13"/>
  <c r="Z256" i="13" s="1"/>
  <c r="U257" i="13"/>
  <c r="U256" i="13" s="1"/>
  <c r="P257" i="13"/>
  <c r="P256" i="13" s="1"/>
  <c r="M257" i="13"/>
  <c r="L257" i="13"/>
  <c r="J257" i="13"/>
  <c r="H257" i="13"/>
  <c r="H256" i="13" s="1"/>
  <c r="AD256" i="13"/>
  <c r="AC256" i="13"/>
  <c r="L256" i="13"/>
  <c r="J256" i="13"/>
  <c r="AG255" i="13"/>
  <c r="AF255" i="13"/>
  <c r="M255" i="13"/>
  <c r="M254" i="13" s="1"/>
  <c r="J255" i="13"/>
  <c r="H255" i="13"/>
  <c r="H254" i="13" s="1"/>
  <c r="F255" i="13"/>
  <c r="F254" i="13" s="1"/>
  <c r="AD254" i="13"/>
  <c r="AC254" i="13"/>
  <c r="AB254" i="13"/>
  <c r="AA254" i="13"/>
  <c r="Z254" i="13"/>
  <c r="U254" i="13"/>
  <c r="P254" i="13"/>
  <c r="O254" i="13"/>
  <c r="L254" i="13"/>
  <c r="AG253" i="13"/>
  <c r="AF253" i="13"/>
  <c r="J253" i="13"/>
  <c r="V253" i="13" s="1"/>
  <c r="X253" i="13" s="1"/>
  <c r="H253" i="13"/>
  <c r="F253" i="13"/>
  <c r="AG252" i="13"/>
  <c r="AF252" i="13"/>
  <c r="M252" i="13"/>
  <c r="J252" i="13"/>
  <c r="H252" i="13"/>
  <c r="F252" i="13"/>
  <c r="AD251" i="13"/>
  <c r="AD250" i="13" s="1"/>
  <c r="AC251" i="13"/>
  <c r="AB251" i="13"/>
  <c r="AA251" i="13"/>
  <c r="Z251" i="13"/>
  <c r="U251" i="13"/>
  <c r="P251" i="13"/>
  <c r="O251" i="13"/>
  <c r="M251" i="13"/>
  <c r="M250" i="13" s="1"/>
  <c r="L251" i="13"/>
  <c r="AB250" i="13"/>
  <c r="AG249" i="13"/>
  <c r="AF249" i="13"/>
  <c r="J249" i="13"/>
  <c r="N249" i="13" s="1"/>
  <c r="Y249" i="13" s="1"/>
  <c r="H249" i="13"/>
  <c r="F249" i="13"/>
  <c r="AG248" i="13"/>
  <c r="AE248" i="13" s="1"/>
  <c r="AF248" i="13"/>
  <c r="J248" i="13"/>
  <c r="N248" i="13" s="1"/>
  <c r="H248" i="13"/>
  <c r="F248" i="13"/>
  <c r="AG247" i="13"/>
  <c r="AE247" i="13" s="1"/>
  <c r="AF247" i="13"/>
  <c r="J247" i="13"/>
  <c r="H247" i="13"/>
  <c r="F247" i="13"/>
  <c r="AG246" i="13"/>
  <c r="AF246" i="13"/>
  <c r="J246" i="13"/>
  <c r="Q246" i="13" s="1"/>
  <c r="S246" i="13" s="1"/>
  <c r="H246" i="13"/>
  <c r="F246" i="13"/>
  <c r="AG245" i="13"/>
  <c r="AF245" i="13"/>
  <c r="AD245" i="13"/>
  <c r="AD243" i="13" s="1"/>
  <c r="J245" i="13"/>
  <c r="H245" i="13"/>
  <c r="F245" i="13"/>
  <c r="AC244" i="13"/>
  <c r="AB244" i="13"/>
  <c r="AA244" i="13"/>
  <c r="Z244" i="13"/>
  <c r="O244" i="13"/>
  <c r="M244" i="13"/>
  <c r="M243" i="13" s="1"/>
  <c r="L244" i="13"/>
  <c r="L243" i="13" s="1"/>
  <c r="AC243" i="13"/>
  <c r="AB243" i="13"/>
  <c r="AA243" i="13"/>
  <c r="Z243" i="13"/>
  <c r="U243" i="13"/>
  <c r="P243" i="13"/>
  <c r="O243" i="13"/>
  <c r="AG242" i="13"/>
  <c r="AF242" i="13"/>
  <c r="O242" i="13"/>
  <c r="M242" i="13"/>
  <c r="J242" i="13"/>
  <c r="H242" i="13"/>
  <c r="F242" i="13"/>
  <c r="AG241" i="13"/>
  <c r="AF241" i="13"/>
  <c r="V241" i="13"/>
  <c r="X241" i="13" s="1"/>
  <c r="J241" i="13"/>
  <c r="Q241" i="13" s="1"/>
  <c r="S241" i="13" s="1"/>
  <c r="H241" i="13"/>
  <c r="F241" i="13"/>
  <c r="AG240" i="13"/>
  <c r="AF240" i="13"/>
  <c r="J240" i="13"/>
  <c r="N240" i="13" s="1"/>
  <c r="H240" i="13"/>
  <c r="F240" i="13"/>
  <c r="AG239" i="13"/>
  <c r="AF239" i="13"/>
  <c r="J239" i="13"/>
  <c r="N239" i="13" s="1"/>
  <c r="H239" i="13"/>
  <c r="F239" i="13"/>
  <c r="AG238" i="13"/>
  <c r="AF238" i="13"/>
  <c r="M238" i="13"/>
  <c r="M237" i="13" s="1"/>
  <c r="J238" i="13"/>
  <c r="V238" i="13" s="1"/>
  <c r="X238" i="13" s="1"/>
  <c r="H238" i="13"/>
  <c r="F238" i="13"/>
  <c r="AD237" i="13"/>
  <c r="AD235" i="13" s="1"/>
  <c r="AC237" i="13"/>
  <c r="AB237" i="13"/>
  <c r="AA237" i="13"/>
  <c r="AA235" i="13" s="1"/>
  <c r="Z237" i="13"/>
  <c r="Z235" i="13" s="1"/>
  <c r="O237" i="13"/>
  <c r="L237" i="13"/>
  <c r="L235" i="13" s="1"/>
  <c r="AG236" i="13"/>
  <c r="AE236" i="13" s="1"/>
  <c r="AF236" i="13"/>
  <c r="M236" i="13"/>
  <c r="J236" i="13"/>
  <c r="H236" i="13"/>
  <c r="F236" i="13"/>
  <c r="AC235" i="13"/>
  <c r="AB235" i="13"/>
  <c r="U235" i="13"/>
  <c r="P235" i="13"/>
  <c r="O235" i="13"/>
  <c r="AG233" i="13"/>
  <c r="AE233" i="13" s="1"/>
  <c r="AF233" i="13"/>
  <c r="J233" i="13"/>
  <c r="H233" i="13"/>
  <c r="F233" i="13"/>
  <c r="AG232" i="13"/>
  <c r="AE232" i="13" s="1"/>
  <c r="AF232" i="13"/>
  <c r="M232" i="13"/>
  <c r="M231" i="13" s="1"/>
  <c r="J232" i="13"/>
  <c r="AH232" i="13" s="1"/>
  <c r="AJ232" i="13" s="1"/>
  <c r="H232" i="13"/>
  <c r="F232" i="13"/>
  <c r="AD231" i="13"/>
  <c r="AC231" i="13"/>
  <c r="AB231" i="13"/>
  <c r="AA231" i="13"/>
  <c r="Z231" i="13"/>
  <c r="U231" i="13"/>
  <c r="P231" i="13"/>
  <c r="O231" i="13"/>
  <c r="L231" i="13"/>
  <c r="AG230" i="13"/>
  <c r="AF230" i="13"/>
  <c r="J230" i="13"/>
  <c r="V230" i="13" s="1"/>
  <c r="X230" i="13" s="1"/>
  <c r="H230" i="13"/>
  <c r="F230" i="13"/>
  <c r="AG229" i="13"/>
  <c r="AF229" i="13"/>
  <c r="J229" i="13"/>
  <c r="V229" i="13" s="1"/>
  <c r="X229" i="13" s="1"/>
  <c r="H229" i="13"/>
  <c r="F229" i="13"/>
  <c r="AG228" i="13"/>
  <c r="AF228" i="13"/>
  <c r="J228" i="13"/>
  <c r="V228" i="13" s="1"/>
  <c r="X228" i="13" s="1"/>
  <c r="H228" i="13"/>
  <c r="F228" i="13"/>
  <c r="AD227" i="13"/>
  <c r="AC227" i="13"/>
  <c r="AB227" i="13"/>
  <c r="AA227" i="13"/>
  <c r="Z227" i="13"/>
  <c r="U227" i="13"/>
  <c r="P227" i="13"/>
  <c r="O227" i="13"/>
  <c r="M227" i="13"/>
  <c r="L227" i="13"/>
  <c r="AG226" i="13"/>
  <c r="AE226" i="13" s="1"/>
  <c r="AF226" i="13"/>
  <c r="J226" i="13"/>
  <c r="N226" i="13" s="1"/>
  <c r="T226" i="13" s="1"/>
  <c r="H226" i="13"/>
  <c r="F226" i="13"/>
  <c r="AG225" i="13"/>
  <c r="AE225" i="13" s="1"/>
  <c r="AF225" i="13"/>
  <c r="J225" i="13"/>
  <c r="N225" i="13" s="1"/>
  <c r="H225" i="13"/>
  <c r="F225" i="13"/>
  <c r="AG224" i="13"/>
  <c r="AE224" i="13" s="1"/>
  <c r="AF224" i="13"/>
  <c r="J224" i="13"/>
  <c r="H224" i="13"/>
  <c r="F224" i="13"/>
  <c r="AG223" i="13"/>
  <c r="AF223" i="13"/>
  <c r="J223" i="13"/>
  <c r="H223" i="13"/>
  <c r="F223" i="13"/>
  <c r="AD222" i="13"/>
  <c r="AD221" i="13" s="1"/>
  <c r="AC222" i="13"/>
  <c r="AC221" i="13" s="1"/>
  <c r="AB222" i="13"/>
  <c r="AB221" i="13" s="1"/>
  <c r="AA222" i="13"/>
  <c r="AA221" i="13" s="1"/>
  <c r="Z222" i="13"/>
  <c r="Z221" i="13" s="1"/>
  <c r="U222" i="13"/>
  <c r="P222" i="13"/>
  <c r="P221" i="13" s="1"/>
  <c r="O222" i="13"/>
  <c r="O221" i="13" s="1"/>
  <c r="M222" i="13"/>
  <c r="M221" i="13" s="1"/>
  <c r="L222" i="13"/>
  <c r="L221" i="13" s="1"/>
  <c r="U221" i="13"/>
  <c r="AG220" i="13"/>
  <c r="AE220" i="13" s="1"/>
  <c r="AF220" i="13"/>
  <c r="J220" i="13"/>
  <c r="H220" i="13"/>
  <c r="F220" i="13"/>
  <c r="AG219" i="13"/>
  <c r="AF219" i="13"/>
  <c r="J219" i="13"/>
  <c r="H219" i="13"/>
  <c r="F219" i="13"/>
  <c r="AD218" i="13"/>
  <c r="AC218" i="13"/>
  <c r="AC214" i="13" s="1"/>
  <c r="AB218" i="13"/>
  <c r="AB214" i="13" s="1"/>
  <c r="AA218" i="13"/>
  <c r="AA214" i="13" s="1"/>
  <c r="Z218" i="13"/>
  <c r="Z214" i="13" s="1"/>
  <c r="U218" i="13"/>
  <c r="U214" i="13" s="1"/>
  <c r="P218" i="13"/>
  <c r="P214" i="13" s="1"/>
  <c r="O218" i="13"/>
  <c r="O214" i="13" s="1"/>
  <c r="AG217" i="13"/>
  <c r="AF217" i="13"/>
  <c r="J217" i="13"/>
  <c r="H217" i="13"/>
  <c r="F217" i="13"/>
  <c r="AG216" i="13"/>
  <c r="AE216" i="13" s="1"/>
  <c r="AF216" i="13"/>
  <c r="J216" i="13"/>
  <c r="Q216" i="13" s="1"/>
  <c r="S216" i="13" s="1"/>
  <c r="H216" i="13"/>
  <c r="F216" i="13"/>
  <c r="AG215" i="13"/>
  <c r="AF215" i="13"/>
  <c r="J215" i="13"/>
  <c r="H215" i="13"/>
  <c r="F215" i="13"/>
  <c r="AD214" i="13"/>
  <c r="M214" i="13"/>
  <c r="L214" i="13"/>
  <c r="AG212" i="13"/>
  <c r="AF212" i="13"/>
  <c r="J212" i="13"/>
  <c r="J211" i="13" s="1"/>
  <c r="H212" i="13"/>
  <c r="H211" i="13" s="1"/>
  <c r="F212" i="13"/>
  <c r="F211" i="13" s="1"/>
  <c r="AD211" i="13"/>
  <c r="AC211" i="13"/>
  <c r="AB211" i="13"/>
  <c r="AA211" i="13"/>
  <c r="Z211" i="13"/>
  <c r="U211" i="13"/>
  <c r="P211" i="13"/>
  <c r="O211" i="13"/>
  <c r="M211" i="13"/>
  <c r="L211" i="13"/>
  <c r="AG210" i="13"/>
  <c r="AF210" i="13"/>
  <c r="J210" i="13"/>
  <c r="Q210" i="13" s="1"/>
  <c r="S210" i="13" s="1"/>
  <c r="H210" i="13"/>
  <c r="F210" i="13"/>
  <c r="AG209" i="13"/>
  <c r="AF209" i="13"/>
  <c r="AE209" i="13"/>
  <c r="J209" i="13"/>
  <c r="N209" i="13" s="1"/>
  <c r="Y209" i="13" s="1"/>
  <c r="H209" i="13"/>
  <c r="F209" i="13"/>
  <c r="AG208" i="13"/>
  <c r="AF208" i="13"/>
  <c r="J208" i="13"/>
  <c r="V208" i="13" s="1"/>
  <c r="X208" i="13" s="1"/>
  <c r="H208" i="13"/>
  <c r="F208" i="13"/>
  <c r="AG207" i="13"/>
  <c r="AF207" i="13"/>
  <c r="J207" i="13"/>
  <c r="Q207" i="13" s="1"/>
  <c r="S207" i="13" s="1"/>
  <c r="H207" i="13"/>
  <c r="F207" i="13"/>
  <c r="AG206" i="13"/>
  <c r="AE206" i="13" s="1"/>
  <c r="AF206" i="13"/>
  <c r="J206" i="13"/>
  <c r="V206" i="13" s="1"/>
  <c r="X206" i="13" s="1"/>
  <c r="H206" i="13"/>
  <c r="F206" i="13"/>
  <c r="AG205" i="13"/>
  <c r="AF205" i="13"/>
  <c r="M205" i="13"/>
  <c r="M204" i="13" s="1"/>
  <c r="J205" i="13"/>
  <c r="V205" i="13" s="1"/>
  <c r="X205" i="13" s="1"/>
  <c r="H205" i="13"/>
  <c r="F205" i="13"/>
  <c r="AD204" i="13"/>
  <c r="AC204" i="13"/>
  <c r="AB204" i="13"/>
  <c r="AA204" i="13"/>
  <c r="Z204" i="13"/>
  <c r="U204" i="13"/>
  <c r="P204" i="13"/>
  <c r="P203" i="13" s="1"/>
  <c r="O204" i="13"/>
  <c r="O203" i="13" s="1"/>
  <c r="L204" i="13"/>
  <c r="AD203" i="13"/>
  <c r="AB203" i="13"/>
  <c r="AA203" i="13"/>
  <c r="M203" i="13"/>
  <c r="AG202" i="13"/>
  <c r="AE202" i="13" s="1"/>
  <c r="AF202" i="13"/>
  <c r="X202" i="13"/>
  <c r="J202" i="13"/>
  <c r="N202" i="13" s="1"/>
  <c r="T202" i="13" s="1"/>
  <c r="H202" i="13"/>
  <c r="F202" i="13"/>
  <c r="AG201" i="13"/>
  <c r="AE201" i="13" s="1"/>
  <c r="AF201" i="13"/>
  <c r="J201" i="13"/>
  <c r="N201" i="13" s="1"/>
  <c r="H201" i="13"/>
  <c r="F201" i="13"/>
  <c r="AF200" i="13"/>
  <c r="AD200" i="13"/>
  <c r="O200" i="13"/>
  <c r="M200" i="13"/>
  <c r="L200" i="13"/>
  <c r="AG199" i="13"/>
  <c r="AF199" i="13"/>
  <c r="J199" i="13"/>
  <c r="V199" i="13" s="1"/>
  <c r="X199" i="13" s="1"/>
  <c r="H199" i="13"/>
  <c r="F199" i="13"/>
  <c r="AG198" i="13"/>
  <c r="AF198" i="13"/>
  <c r="J198" i="13"/>
  <c r="Q198" i="13" s="1"/>
  <c r="S198" i="13" s="1"/>
  <c r="H198" i="13"/>
  <c r="F198" i="13"/>
  <c r="AG197" i="13"/>
  <c r="AE197" i="13" s="1"/>
  <c r="AF197" i="13"/>
  <c r="J197" i="13"/>
  <c r="H197" i="13"/>
  <c r="F197" i="13"/>
  <c r="AG196" i="13"/>
  <c r="AF196" i="13"/>
  <c r="M196" i="13"/>
  <c r="J196" i="13"/>
  <c r="V196" i="13" s="1"/>
  <c r="X196" i="13" s="1"/>
  <c r="H196" i="13"/>
  <c r="F196" i="13"/>
  <c r="AD195" i="13"/>
  <c r="AC195" i="13"/>
  <c r="AC194" i="13" s="1"/>
  <c r="AB195" i="13"/>
  <c r="AA195" i="13"/>
  <c r="Z195" i="13"/>
  <c r="U195" i="13"/>
  <c r="P195" i="13"/>
  <c r="O195" i="13"/>
  <c r="M195" i="13"/>
  <c r="L195" i="13"/>
  <c r="AB194" i="13"/>
  <c r="AA194" i="13"/>
  <c r="AG193" i="13"/>
  <c r="AF193" i="13"/>
  <c r="J193" i="13"/>
  <c r="V193" i="13" s="1"/>
  <c r="X193" i="13" s="1"/>
  <c r="H193" i="13"/>
  <c r="F193" i="13"/>
  <c r="Z192" i="13"/>
  <c r="AF192" i="13" s="1"/>
  <c r="J192" i="13"/>
  <c r="H192" i="13"/>
  <c r="F192" i="13"/>
  <c r="AG191" i="13"/>
  <c r="AE191" i="13" s="1"/>
  <c r="AF191" i="13"/>
  <c r="J191" i="13"/>
  <c r="H191" i="13"/>
  <c r="F191" i="13"/>
  <c r="AG190" i="13"/>
  <c r="AE190" i="13" s="1"/>
  <c r="AF190" i="13"/>
  <c r="J190" i="13"/>
  <c r="N190" i="13" s="1"/>
  <c r="H190" i="13"/>
  <c r="H189" i="13" s="1"/>
  <c r="F190" i="13"/>
  <c r="AD189" i="13"/>
  <c r="AD186" i="13" s="1"/>
  <c r="AC189" i="13"/>
  <c r="AC186" i="13" s="1"/>
  <c r="AB189" i="13"/>
  <c r="AB186" i="13" s="1"/>
  <c r="AA189" i="13"/>
  <c r="AA186" i="13" s="1"/>
  <c r="Z189" i="13"/>
  <c r="U189" i="13"/>
  <c r="P189" i="13"/>
  <c r="O189" i="13"/>
  <c r="O186" i="13" s="1"/>
  <c r="M189" i="13"/>
  <c r="L189" i="13"/>
  <c r="L186" i="13" s="1"/>
  <c r="AG188" i="13"/>
  <c r="AE188" i="13" s="1"/>
  <c r="AF188" i="13"/>
  <c r="M188" i="13"/>
  <c r="M186" i="13" s="1"/>
  <c r="J188" i="13"/>
  <c r="Q188" i="13" s="1"/>
  <c r="S188" i="13" s="1"/>
  <c r="H188" i="13"/>
  <c r="F188" i="13"/>
  <c r="AG187" i="13"/>
  <c r="AF187" i="13"/>
  <c r="J187" i="13"/>
  <c r="V187" i="13" s="1"/>
  <c r="X187" i="13" s="1"/>
  <c r="H187" i="13"/>
  <c r="F187" i="13"/>
  <c r="AG184" i="13"/>
  <c r="AF184" i="13"/>
  <c r="J184" i="13"/>
  <c r="Q184" i="13" s="1"/>
  <c r="S184" i="13" s="1"/>
  <c r="H184" i="13"/>
  <c r="F184" i="13"/>
  <c r="AG183" i="13"/>
  <c r="AF183" i="13"/>
  <c r="J183" i="13"/>
  <c r="N183" i="13" s="1"/>
  <c r="H183" i="13"/>
  <c r="F183" i="13"/>
  <c r="AD182" i="13"/>
  <c r="AC182" i="13"/>
  <c r="AB182" i="13"/>
  <c r="AA182" i="13"/>
  <c r="Z182" i="13"/>
  <c r="U182" i="13"/>
  <c r="P182" i="13"/>
  <c r="O182" i="13"/>
  <c r="M182" i="13"/>
  <c r="L182" i="13"/>
  <c r="AG181" i="13"/>
  <c r="AE181" i="13" s="1"/>
  <c r="AF181" i="13"/>
  <c r="M181" i="13"/>
  <c r="J181" i="13"/>
  <c r="H181" i="13"/>
  <c r="F181" i="13"/>
  <c r="AG180" i="13"/>
  <c r="AF180" i="13"/>
  <c r="AE180" i="13"/>
  <c r="J180" i="13"/>
  <c r="Q180" i="13" s="1"/>
  <c r="S180" i="13" s="1"/>
  <c r="H180" i="13"/>
  <c r="F180" i="13"/>
  <c r="AG179" i="13"/>
  <c r="AE179" i="13" s="1"/>
  <c r="AF179" i="13"/>
  <c r="J179" i="13"/>
  <c r="N179" i="13" s="1"/>
  <c r="Y179" i="13" s="1"/>
  <c r="H179" i="13"/>
  <c r="F179" i="13"/>
  <c r="AD178" i="13"/>
  <c r="AD177" i="13" s="1"/>
  <c r="AC178" i="13"/>
  <c r="AB178" i="13"/>
  <c r="AA178" i="13"/>
  <c r="Z178" i="13"/>
  <c r="U178" i="13"/>
  <c r="P178" i="13"/>
  <c r="O178" i="13"/>
  <c r="M178" i="13"/>
  <c r="L178" i="13"/>
  <c r="AG176" i="13"/>
  <c r="AE176" i="13" s="1"/>
  <c r="AF176" i="13"/>
  <c r="J176" i="13"/>
  <c r="Q176" i="13" s="1"/>
  <c r="S176" i="13" s="1"/>
  <c r="H176" i="13"/>
  <c r="F176" i="13"/>
  <c r="AG175" i="13"/>
  <c r="AF175" i="13"/>
  <c r="M175" i="13"/>
  <c r="J175" i="13"/>
  <c r="V175" i="13" s="1"/>
  <c r="X175" i="13" s="1"/>
  <c r="H175" i="13"/>
  <c r="F175" i="13"/>
  <c r="AG174" i="13"/>
  <c r="AE174" i="13" s="1"/>
  <c r="AF174" i="13"/>
  <c r="J174" i="13"/>
  <c r="Q174" i="13" s="1"/>
  <c r="S174" i="13" s="1"/>
  <c r="H174" i="13"/>
  <c r="F174" i="13"/>
  <c r="AG173" i="13"/>
  <c r="AE173" i="13" s="1"/>
  <c r="AF173" i="13"/>
  <c r="J173" i="13"/>
  <c r="N173" i="13" s="1"/>
  <c r="H173" i="13"/>
  <c r="F173" i="13"/>
  <c r="AG172" i="13"/>
  <c r="AE172" i="13" s="1"/>
  <c r="AF172" i="13"/>
  <c r="J172" i="13"/>
  <c r="H172" i="13"/>
  <c r="F172" i="13"/>
  <c r="AG171" i="13"/>
  <c r="AF171" i="13"/>
  <c r="J171" i="13"/>
  <c r="V171" i="13" s="1"/>
  <c r="X171" i="13" s="1"/>
  <c r="H171" i="13"/>
  <c r="F171" i="13"/>
  <c r="AG170" i="13"/>
  <c r="AE170" i="13" s="1"/>
  <c r="AF170" i="13"/>
  <c r="J170" i="13"/>
  <c r="V170" i="13" s="1"/>
  <c r="X170" i="13" s="1"/>
  <c r="H170" i="13"/>
  <c r="F170" i="13"/>
  <c r="AG169" i="13"/>
  <c r="AE169" i="13" s="1"/>
  <c r="AF169" i="13"/>
  <c r="N169" i="13"/>
  <c r="J169" i="13"/>
  <c r="Q169" i="13" s="1"/>
  <c r="S169" i="13" s="1"/>
  <c r="H169" i="13"/>
  <c r="F169" i="13"/>
  <c r="AD168" i="13"/>
  <c r="AD167" i="13" s="1"/>
  <c r="AC168" i="13"/>
  <c r="AC167" i="13" s="1"/>
  <c r="AB168" i="13"/>
  <c r="AA168" i="13"/>
  <c r="Z168" i="13"/>
  <c r="U168" i="13"/>
  <c r="U167" i="13" s="1"/>
  <c r="P168" i="13"/>
  <c r="P167" i="13" s="1"/>
  <c r="O168" i="13"/>
  <c r="O167" i="13" s="1"/>
  <c r="M168" i="13"/>
  <c r="M167" i="13" s="1"/>
  <c r="L168" i="13"/>
  <c r="L167" i="13" s="1"/>
  <c r="AB167" i="13"/>
  <c r="AA167" i="13"/>
  <c r="AG166" i="13"/>
  <c r="AH166" i="13" s="1"/>
  <c r="AJ166" i="13" s="1"/>
  <c r="AF166" i="13"/>
  <c r="J166" i="13"/>
  <c r="V166" i="13" s="1"/>
  <c r="X166" i="13" s="1"/>
  <c r="H166" i="13"/>
  <c r="F166" i="13"/>
  <c r="AG165" i="13"/>
  <c r="AF165" i="13"/>
  <c r="J165" i="13"/>
  <c r="H165" i="13"/>
  <c r="F165" i="13"/>
  <c r="AD164" i="13"/>
  <c r="AD161" i="13" s="1"/>
  <c r="AC164" i="13"/>
  <c r="AC161" i="13" s="1"/>
  <c r="AB164" i="13"/>
  <c r="AB161" i="13" s="1"/>
  <c r="AA164" i="13"/>
  <c r="AA161" i="13" s="1"/>
  <c r="Z164" i="13"/>
  <c r="O164" i="13"/>
  <c r="O161" i="13" s="1"/>
  <c r="AG163" i="13"/>
  <c r="AE163" i="13" s="1"/>
  <c r="AF163" i="13"/>
  <c r="J163" i="13"/>
  <c r="V163" i="13" s="1"/>
  <c r="X163" i="13" s="1"/>
  <c r="H163" i="13"/>
  <c r="F163" i="13"/>
  <c r="AG162" i="13"/>
  <c r="AE162" i="13" s="1"/>
  <c r="AF162" i="13"/>
  <c r="J162" i="13"/>
  <c r="V162" i="13" s="1"/>
  <c r="X162" i="13" s="1"/>
  <c r="H162" i="13"/>
  <c r="F162" i="13"/>
  <c r="U161" i="13"/>
  <c r="P161" i="13"/>
  <c r="M161" i="13"/>
  <c r="L161" i="13"/>
  <c r="AJ160" i="13"/>
  <c r="AG160" i="13"/>
  <c r="AF160" i="13"/>
  <c r="X160" i="13"/>
  <c r="S160" i="13"/>
  <c r="J160" i="13"/>
  <c r="H160" i="13"/>
  <c r="F160" i="13"/>
  <c r="AG159" i="13"/>
  <c r="AE159" i="13" s="1"/>
  <c r="AF159" i="13"/>
  <c r="J159" i="13"/>
  <c r="Q159" i="13" s="1"/>
  <c r="S159" i="13" s="1"/>
  <c r="H159" i="13"/>
  <c r="F159" i="13"/>
  <c r="AD158" i="13"/>
  <c r="AC158" i="13"/>
  <c r="AB158" i="13"/>
  <c r="AA158" i="13"/>
  <c r="Z158" i="13"/>
  <c r="U158" i="13"/>
  <c r="P158" i="13"/>
  <c r="O158" i="13"/>
  <c r="AG157" i="13"/>
  <c r="AE157" i="13" s="1"/>
  <c r="AF157" i="13"/>
  <c r="J157" i="13"/>
  <c r="N157" i="13" s="1"/>
  <c r="H157" i="13"/>
  <c r="F157" i="13"/>
  <c r="AG156" i="13"/>
  <c r="AF156" i="13"/>
  <c r="J156" i="13"/>
  <c r="Q156" i="13" s="1"/>
  <c r="S156" i="13" s="1"/>
  <c r="H156" i="13"/>
  <c r="F156" i="13"/>
  <c r="AD155" i="13"/>
  <c r="AC155" i="13"/>
  <c r="AB155" i="13"/>
  <c r="AA155" i="13"/>
  <c r="Z155" i="13"/>
  <c r="U155" i="13"/>
  <c r="P155" i="13"/>
  <c r="O155" i="13"/>
  <c r="M155" i="13"/>
  <c r="L155" i="13"/>
  <c r="AP151" i="13"/>
  <c r="AP14" i="13" s="1"/>
  <c r="AL151" i="13"/>
  <c r="AL14" i="13" s="1"/>
  <c r="AQ150" i="13"/>
  <c r="AS150" i="13" s="1"/>
  <c r="AM150" i="13"/>
  <c r="AO150" i="13" s="1"/>
  <c r="AG150" i="13"/>
  <c r="AH150" i="13" s="1"/>
  <c r="AJ150" i="13" s="1"/>
  <c r="AF150" i="13"/>
  <c r="V150" i="13"/>
  <c r="X150" i="13" s="1"/>
  <c r="Q150" i="13"/>
  <c r="S150" i="13" s="1"/>
  <c r="O150" i="13"/>
  <c r="O149" i="13" s="1"/>
  <c r="O148" i="13" s="1"/>
  <c r="N150" i="13"/>
  <c r="T150" i="13" s="1"/>
  <c r="AP149" i="13"/>
  <c r="AL149" i="13"/>
  <c r="AL148" i="13" s="1"/>
  <c r="AD149" i="13"/>
  <c r="AC149" i="13"/>
  <c r="AC148" i="13" s="1"/>
  <c r="AB149" i="13"/>
  <c r="AB148" i="13" s="1"/>
  <c r="AA149" i="13"/>
  <c r="AA148" i="13" s="1"/>
  <c r="Z149" i="13"/>
  <c r="U149" i="13"/>
  <c r="P149" i="13"/>
  <c r="M149" i="13"/>
  <c r="L149" i="13"/>
  <c r="L148" i="13" s="1"/>
  <c r="J149" i="13"/>
  <c r="J148" i="13" s="1"/>
  <c r="H149" i="13"/>
  <c r="H148" i="13" s="1"/>
  <c r="F149" i="13"/>
  <c r="F148" i="13" s="1"/>
  <c r="U148" i="13"/>
  <c r="AJ147" i="13"/>
  <c r="AG147" i="13"/>
  <c r="AF147" i="13"/>
  <c r="X147" i="13"/>
  <c r="S147" i="13"/>
  <c r="N147" i="13"/>
  <c r="Y147" i="13" s="1"/>
  <c r="H147" i="13"/>
  <c r="M146" i="13"/>
  <c r="AG145" i="13"/>
  <c r="AF145" i="13"/>
  <c r="V145" i="13"/>
  <c r="X145" i="13" s="1"/>
  <c r="Q145" i="13"/>
  <c r="S145" i="13" s="1"/>
  <c r="L145" i="13"/>
  <c r="L143" i="13" s="1"/>
  <c r="H145" i="13"/>
  <c r="AG144" i="13"/>
  <c r="AF144" i="13"/>
  <c r="V144" i="13"/>
  <c r="X144" i="13" s="1"/>
  <c r="Q144" i="13"/>
  <c r="S144" i="13" s="1"/>
  <c r="N144" i="13"/>
  <c r="Y144" i="13" s="1"/>
  <c r="AD143" i="13"/>
  <c r="AC143" i="13"/>
  <c r="AB143" i="13"/>
  <c r="AA143" i="13"/>
  <c r="Z143" i="13"/>
  <c r="U143" i="13"/>
  <c r="P143" i="13"/>
  <c r="O143" i="13"/>
  <c r="J143" i="13"/>
  <c r="F143" i="13"/>
  <c r="AG142" i="13"/>
  <c r="AF142" i="13"/>
  <c r="V142" i="13"/>
  <c r="X142" i="13" s="1"/>
  <c r="Q142" i="13"/>
  <c r="S142" i="13" s="1"/>
  <c r="N142" i="13"/>
  <c r="H142" i="13"/>
  <c r="AG141" i="13"/>
  <c r="AH141" i="13" s="1"/>
  <c r="AJ141" i="13" s="1"/>
  <c r="AF141" i="13"/>
  <c r="V141" i="13"/>
  <c r="X141" i="13" s="1"/>
  <c r="Q141" i="13"/>
  <c r="S141" i="13" s="1"/>
  <c r="N141" i="13"/>
  <c r="AG140" i="13"/>
  <c r="AF140" i="13"/>
  <c r="V140" i="13"/>
  <c r="X140" i="13" s="1"/>
  <c r="Q140" i="13"/>
  <c r="S140" i="13" s="1"/>
  <c r="N140" i="13"/>
  <c r="Y140" i="13" s="1"/>
  <c r="AD139" i="13"/>
  <c r="AD138" i="13" s="1"/>
  <c r="AC139" i="13"/>
  <c r="AC138" i="13" s="1"/>
  <c r="AB139" i="13"/>
  <c r="AB138" i="13" s="1"/>
  <c r="AB137" i="13" s="1"/>
  <c r="AA139" i="13"/>
  <c r="AA138" i="13" s="1"/>
  <c r="AA137" i="13" s="1"/>
  <c r="Z139" i="13"/>
  <c r="Z138" i="13" s="1"/>
  <c r="U139" i="13"/>
  <c r="U138" i="13" s="1"/>
  <c r="P139" i="13"/>
  <c r="O139" i="13"/>
  <c r="O138" i="13" s="1"/>
  <c r="M139" i="13"/>
  <c r="M138" i="13" s="1"/>
  <c r="L139" i="13"/>
  <c r="L138" i="13" s="1"/>
  <c r="J139" i="13"/>
  <c r="H139" i="13"/>
  <c r="F139" i="13"/>
  <c r="F138" i="13"/>
  <c r="AG136" i="13"/>
  <c r="AF136" i="13"/>
  <c r="V136" i="13"/>
  <c r="X136" i="13" s="1"/>
  <c r="Q136" i="13"/>
  <c r="S136" i="13" s="1"/>
  <c r="N136" i="13"/>
  <c r="Y136" i="13" s="1"/>
  <c r="H136" i="13"/>
  <c r="AG135" i="13"/>
  <c r="AE135" i="13" s="1"/>
  <c r="AF135" i="13"/>
  <c r="V135" i="13"/>
  <c r="X135" i="13" s="1"/>
  <c r="Q135" i="13"/>
  <c r="S135" i="13" s="1"/>
  <c r="N135" i="13"/>
  <c r="T135" i="13" s="1"/>
  <c r="H135" i="13"/>
  <c r="AD134" i="13"/>
  <c r="AC134" i="13"/>
  <c r="AB134" i="13"/>
  <c r="AA134" i="13"/>
  <c r="V134" i="13"/>
  <c r="X134" i="13" s="1"/>
  <c r="Q134" i="13"/>
  <c r="S134" i="13" s="1"/>
  <c r="O134" i="13"/>
  <c r="N134" i="13"/>
  <c r="AG133" i="13"/>
  <c r="AH133" i="13" s="1"/>
  <c r="AJ133" i="13" s="1"/>
  <c r="AF133" i="13"/>
  <c r="V133" i="13"/>
  <c r="X133" i="13" s="1"/>
  <c r="AE133" i="13" s="1"/>
  <c r="Q133" i="13"/>
  <c r="S133" i="13" s="1"/>
  <c r="N133" i="13"/>
  <c r="T133" i="13" s="1"/>
  <c r="H133" i="13"/>
  <c r="AJ132" i="13"/>
  <c r="AG132" i="13"/>
  <c r="AF132" i="13"/>
  <c r="X132" i="13"/>
  <c r="S132" i="13"/>
  <c r="N132" i="13"/>
  <c r="Y132" i="13" s="1"/>
  <c r="AJ131" i="13"/>
  <c r="AG131" i="13"/>
  <c r="AF131" i="13"/>
  <c r="X131" i="13"/>
  <c r="S131" i="13"/>
  <c r="N131" i="13"/>
  <c r="Y131" i="13" s="1"/>
  <c r="AJ130" i="13"/>
  <c r="AD130" i="13"/>
  <c r="AC130" i="13"/>
  <c r="AB130" i="13"/>
  <c r="AB128" i="13" s="1"/>
  <c r="AB127" i="13" s="1"/>
  <c r="AA130" i="13"/>
  <c r="Z130" i="13"/>
  <c r="Z128" i="13" s="1"/>
  <c r="Z127" i="13" s="1"/>
  <c r="X130" i="13"/>
  <c r="U130" i="13"/>
  <c r="S130" i="13"/>
  <c r="P130" i="13"/>
  <c r="O130" i="13"/>
  <c r="M130" i="13"/>
  <c r="M128" i="13" s="1"/>
  <c r="M127" i="13" s="1"/>
  <c r="L130" i="13"/>
  <c r="L128" i="13" s="1"/>
  <c r="J130" i="13"/>
  <c r="H130" i="13"/>
  <c r="F130" i="13"/>
  <c r="F128" i="13" s="1"/>
  <c r="AG129" i="13"/>
  <c r="AF129" i="13"/>
  <c r="V129" i="13"/>
  <c r="X129" i="13" s="1"/>
  <c r="Q129" i="13"/>
  <c r="S129" i="13" s="1"/>
  <c r="N129" i="13"/>
  <c r="T129" i="13" s="1"/>
  <c r="H129" i="13"/>
  <c r="G128" i="13"/>
  <c r="L127" i="13"/>
  <c r="H127" i="13"/>
  <c r="AG126" i="13"/>
  <c r="AE126" i="13" s="1"/>
  <c r="AF126" i="13"/>
  <c r="H126" i="13"/>
  <c r="J126" i="13" s="1"/>
  <c r="AJ125" i="13"/>
  <c r="AG125" i="13"/>
  <c r="AF125" i="13"/>
  <c r="X125" i="13"/>
  <c r="S125" i="13"/>
  <c r="N125" i="13"/>
  <c r="Y125" i="13" s="1"/>
  <c r="AJ124" i="13"/>
  <c r="AD124" i="13"/>
  <c r="AC124" i="13"/>
  <c r="AB124" i="13"/>
  <c r="AA124" i="13"/>
  <c r="Z124" i="13"/>
  <c r="X124" i="13"/>
  <c r="U124" i="13"/>
  <c r="S124" i="13"/>
  <c r="P124" i="13"/>
  <c r="L124" i="13"/>
  <c r="J124" i="13"/>
  <c r="N124" i="13" s="1"/>
  <c r="H124" i="13"/>
  <c r="AH123" i="13"/>
  <c r="AJ123" i="13" s="1"/>
  <c r="V123" i="13"/>
  <c r="X123" i="13" s="1"/>
  <c r="Q123" i="13"/>
  <c r="S123" i="13" s="1"/>
  <c r="N123" i="13"/>
  <c r="Y123" i="13" s="1"/>
  <c r="H123" i="13"/>
  <c r="AG122" i="13"/>
  <c r="AE122" i="13" s="1"/>
  <c r="AF122" i="13"/>
  <c r="V122" i="13"/>
  <c r="X122" i="13" s="1"/>
  <c r="Q122" i="13"/>
  <c r="S122" i="13" s="1"/>
  <c r="N122" i="13"/>
  <c r="H122" i="13"/>
  <c r="AG121" i="13"/>
  <c r="AF121" i="13"/>
  <c r="V121" i="13"/>
  <c r="X121" i="13" s="1"/>
  <c r="Q121" i="13"/>
  <c r="S121" i="13" s="1"/>
  <c r="N121" i="13"/>
  <c r="T121" i="13" s="1"/>
  <c r="H121" i="13"/>
  <c r="AG120" i="13"/>
  <c r="AE120" i="13" s="1"/>
  <c r="AF120" i="13"/>
  <c r="V120" i="13"/>
  <c r="X120" i="13" s="1"/>
  <c r="Q120" i="13"/>
  <c r="S120" i="13" s="1"/>
  <c r="N120" i="13"/>
  <c r="Y120" i="13" s="1"/>
  <c r="H120" i="13"/>
  <c r="AD119" i="13"/>
  <c r="AC119" i="13"/>
  <c r="AB119" i="13"/>
  <c r="AA119" i="13"/>
  <c r="Z119" i="13"/>
  <c r="O119" i="13"/>
  <c r="M119" i="13"/>
  <c r="L119" i="13"/>
  <c r="J119" i="13"/>
  <c r="V119" i="13" s="1"/>
  <c r="X119" i="13" s="1"/>
  <c r="F119" i="13"/>
  <c r="AJ118" i="13"/>
  <c r="AG118" i="13"/>
  <c r="AF118" i="13"/>
  <c r="X118" i="13"/>
  <c r="S118" i="13"/>
  <c r="N118" i="13"/>
  <c r="AG117" i="13"/>
  <c r="AF117" i="13"/>
  <c r="V117" i="13"/>
  <c r="X117" i="13" s="1"/>
  <c r="Q117" i="13"/>
  <c r="S117" i="13" s="1"/>
  <c r="N117" i="13"/>
  <c r="H117" i="13"/>
  <c r="AG116" i="13"/>
  <c r="AE116" i="13" s="1"/>
  <c r="AF116" i="13"/>
  <c r="V116" i="13"/>
  <c r="X116" i="13" s="1"/>
  <c r="Q116" i="13"/>
  <c r="S116" i="13" s="1"/>
  <c r="N116" i="13"/>
  <c r="Y116" i="13" s="1"/>
  <c r="H116" i="13"/>
  <c r="AD115" i="13"/>
  <c r="AC115" i="13"/>
  <c r="AB115" i="13"/>
  <c r="AA115" i="13"/>
  <c r="Z115" i="13"/>
  <c r="U115" i="13"/>
  <c r="V115" i="13" s="1"/>
  <c r="X115" i="13" s="1"/>
  <c r="P115" i="13"/>
  <c r="Q115" i="13" s="1"/>
  <c r="S115" i="13" s="1"/>
  <c r="O115" i="13"/>
  <c r="M115" i="13"/>
  <c r="L115" i="13"/>
  <c r="F115" i="13"/>
  <c r="H114" i="13"/>
  <c r="AG113" i="13"/>
  <c r="AH113" i="13" s="1"/>
  <c r="AJ113" i="13" s="1"/>
  <c r="AF113" i="13"/>
  <c r="V113" i="13"/>
  <c r="X113" i="13" s="1"/>
  <c r="Q113" i="13"/>
  <c r="S113" i="13" s="1"/>
  <c r="N113" i="13"/>
  <c r="T113" i="13" s="1"/>
  <c r="AG112" i="13"/>
  <c r="AF112" i="13"/>
  <c r="V112" i="13"/>
  <c r="X112" i="13" s="1"/>
  <c r="Q112" i="13"/>
  <c r="S112" i="13" s="1"/>
  <c r="M112" i="13"/>
  <c r="N112" i="13" s="1"/>
  <c r="Y112" i="13" s="1"/>
  <c r="AD111" i="13"/>
  <c r="AD108" i="13" s="1"/>
  <c r="AC111" i="13"/>
  <c r="AC108" i="13" s="1"/>
  <c r="AB111" i="13"/>
  <c r="AB108" i="13" s="1"/>
  <c r="AA111" i="13"/>
  <c r="AA108" i="13" s="1"/>
  <c r="Z111" i="13"/>
  <c r="O111" i="13"/>
  <c r="O108" i="13" s="1"/>
  <c r="L111" i="13"/>
  <c r="L108" i="13" s="1"/>
  <c r="J111" i="13"/>
  <c r="J108" i="13" s="1"/>
  <c r="H111" i="13"/>
  <c r="G111" i="13"/>
  <c r="F111" i="13"/>
  <c r="F108" i="13" s="1"/>
  <c r="AG110" i="13"/>
  <c r="AH110" i="13" s="1"/>
  <c r="AJ110" i="13" s="1"/>
  <c r="AF110" i="13"/>
  <c r="V110" i="13"/>
  <c r="X110" i="13" s="1"/>
  <c r="Q110" i="13"/>
  <c r="S110" i="13" s="1"/>
  <c r="N110" i="13"/>
  <c r="T110" i="13" s="1"/>
  <c r="H110" i="13"/>
  <c r="AG109" i="13"/>
  <c r="AE109" i="13" s="1"/>
  <c r="AF109" i="13"/>
  <c r="V109" i="13"/>
  <c r="X109" i="13" s="1"/>
  <c r="Q109" i="13"/>
  <c r="S109" i="13" s="1"/>
  <c r="M109" i="13"/>
  <c r="N109" i="13" s="1"/>
  <c r="T109" i="13" s="1"/>
  <c r="H109" i="13"/>
  <c r="U108" i="13"/>
  <c r="P108" i="13"/>
  <c r="AG105" i="13"/>
  <c r="AE105" i="13" s="1"/>
  <c r="AF105" i="13"/>
  <c r="V105" i="13"/>
  <c r="X105" i="13" s="1"/>
  <c r="T105" i="13"/>
  <c r="Q105" i="13"/>
  <c r="S105" i="13" s="1"/>
  <c r="O105" i="13"/>
  <c r="O104" i="13" s="1"/>
  <c r="O103" i="13" s="1"/>
  <c r="N105" i="13"/>
  <c r="Y105" i="13" s="1"/>
  <c r="AD104" i="13"/>
  <c r="AC104" i="13"/>
  <c r="AC103" i="13" s="1"/>
  <c r="AB104" i="13"/>
  <c r="AB103" i="13" s="1"/>
  <c r="AA104" i="13"/>
  <c r="Z104" i="13"/>
  <c r="Z103" i="13" s="1"/>
  <c r="U104" i="13"/>
  <c r="U103" i="13" s="1"/>
  <c r="P104" i="13"/>
  <c r="P103" i="13" s="1"/>
  <c r="M104" i="13"/>
  <c r="M103" i="13" s="1"/>
  <c r="L104" i="13"/>
  <c r="L103" i="13" s="1"/>
  <c r="J104" i="13"/>
  <c r="H104" i="13"/>
  <c r="H103" i="13" s="1"/>
  <c r="F104" i="13"/>
  <c r="AD103" i="13"/>
  <c r="F103" i="13"/>
  <c r="AG102" i="13"/>
  <c r="AE102" i="13" s="1"/>
  <c r="AF102" i="13"/>
  <c r="J102" i="13"/>
  <c r="AG101" i="13"/>
  <c r="AE101" i="13" s="1"/>
  <c r="AF101" i="13"/>
  <c r="J101" i="13"/>
  <c r="AD100" i="13"/>
  <c r="AC100" i="13"/>
  <c r="AB100" i="13"/>
  <c r="AA100" i="13"/>
  <c r="Z100" i="13"/>
  <c r="U100" i="13"/>
  <c r="P100" i="13"/>
  <c r="O100" i="13"/>
  <c r="M100" i="13"/>
  <c r="L100" i="13"/>
  <c r="H100" i="13"/>
  <c r="F100" i="13"/>
  <c r="AG99" i="13"/>
  <c r="AE99" i="13" s="1"/>
  <c r="AF99" i="13"/>
  <c r="J99" i="13"/>
  <c r="AG98" i="13"/>
  <c r="AE98" i="13" s="1"/>
  <c r="AF98" i="13"/>
  <c r="J98" i="13"/>
  <c r="AG97" i="13"/>
  <c r="AE97" i="13" s="1"/>
  <c r="AF97" i="13"/>
  <c r="J97" i="13"/>
  <c r="AD96" i="13"/>
  <c r="AD94" i="13" s="1"/>
  <c r="AC96" i="13"/>
  <c r="AC94" i="13" s="1"/>
  <c r="AB96" i="13"/>
  <c r="AB94" i="13" s="1"/>
  <c r="AA96" i="13"/>
  <c r="Z96" i="13"/>
  <c r="U96" i="13"/>
  <c r="U94" i="13" s="1"/>
  <c r="P96" i="13"/>
  <c r="P94" i="13" s="1"/>
  <c r="O96" i="13"/>
  <c r="O94" i="13" s="1"/>
  <c r="M96" i="13"/>
  <c r="M94" i="13" s="1"/>
  <c r="L96" i="13"/>
  <c r="L94" i="13" s="1"/>
  <c r="H96" i="13"/>
  <c r="H94" i="13" s="1"/>
  <c r="F96" i="13"/>
  <c r="F94" i="13" s="1"/>
  <c r="Z95" i="13"/>
  <c r="J95" i="13"/>
  <c r="Q95" i="13" s="1"/>
  <c r="S95" i="13" s="1"/>
  <c r="AG93" i="13"/>
  <c r="AF93" i="13"/>
  <c r="J93" i="13"/>
  <c r="Q93" i="13" s="1"/>
  <c r="S93" i="13" s="1"/>
  <c r="AG92" i="13"/>
  <c r="AF92" i="13"/>
  <c r="J92" i="13"/>
  <c r="V92" i="13" s="1"/>
  <c r="X92" i="13" s="1"/>
  <c r="AD91" i="13"/>
  <c r="AC91" i="13"/>
  <c r="AB91" i="13"/>
  <c r="AA91" i="13"/>
  <c r="Z91" i="13"/>
  <c r="O91" i="13"/>
  <c r="M91" i="13"/>
  <c r="L91" i="13"/>
  <c r="H91" i="13"/>
  <c r="F91" i="13"/>
  <c r="AG90" i="13"/>
  <c r="AF90" i="13"/>
  <c r="J90" i="13"/>
  <c r="Q90" i="13" s="1"/>
  <c r="S90" i="13" s="1"/>
  <c r="AJ89" i="13"/>
  <c r="AG89" i="13"/>
  <c r="AF89" i="13"/>
  <c r="X89" i="13"/>
  <c r="S89" i="13"/>
  <c r="N89" i="13"/>
  <c r="Y89" i="13" s="1"/>
  <c r="AG88" i="13"/>
  <c r="AH88" i="13" s="1"/>
  <c r="AJ88" i="13" s="1"/>
  <c r="AF88" i="13"/>
  <c r="U88" i="13"/>
  <c r="V88" i="13" s="1"/>
  <c r="X88" i="13" s="1"/>
  <c r="Q88" i="13"/>
  <c r="S88" i="13" s="1"/>
  <c r="N88" i="13"/>
  <c r="T88" i="13" s="1"/>
  <c r="AD87" i="13"/>
  <c r="AC87" i="13"/>
  <c r="AB87" i="13"/>
  <c r="AA87" i="13"/>
  <c r="AA86" i="13" s="1"/>
  <c r="Z87" i="13"/>
  <c r="U87" i="13"/>
  <c r="P87" i="13"/>
  <c r="P86" i="13" s="1"/>
  <c r="O87" i="13"/>
  <c r="M87" i="13"/>
  <c r="L87" i="13"/>
  <c r="J87" i="13"/>
  <c r="H87" i="13"/>
  <c r="F87" i="13"/>
  <c r="AG84" i="13"/>
  <c r="AH84" i="13" s="1"/>
  <c r="AJ84" i="13" s="1"/>
  <c r="AF84" i="13"/>
  <c r="V84" i="13"/>
  <c r="X84" i="13" s="1"/>
  <c r="Q84" i="13"/>
  <c r="S84" i="13" s="1"/>
  <c r="N84" i="13"/>
  <c r="Y84" i="13" s="1"/>
  <c r="AG83" i="13"/>
  <c r="AE83" i="13" s="1"/>
  <c r="AF83" i="13"/>
  <c r="V83" i="13"/>
  <c r="X83" i="13" s="1"/>
  <c r="Q83" i="13"/>
  <c r="S83" i="13" s="1"/>
  <c r="N83" i="13"/>
  <c r="AG82" i="13"/>
  <c r="AE82" i="13" s="1"/>
  <c r="AF82" i="13"/>
  <c r="V82" i="13"/>
  <c r="X82" i="13" s="1"/>
  <c r="Q82" i="13"/>
  <c r="S82" i="13" s="1"/>
  <c r="N82" i="13"/>
  <c r="T82" i="13" s="1"/>
  <c r="AD81" i="13"/>
  <c r="AC81" i="13"/>
  <c r="AB81" i="13"/>
  <c r="AA81" i="13"/>
  <c r="Z81" i="13"/>
  <c r="U81" i="13"/>
  <c r="P81" i="13"/>
  <c r="O81" i="13"/>
  <c r="M81" i="13"/>
  <c r="L81" i="13"/>
  <c r="J81" i="13"/>
  <c r="H81" i="13"/>
  <c r="F81" i="13"/>
  <c r="AG80" i="13"/>
  <c r="AF80" i="13"/>
  <c r="V80" i="13"/>
  <c r="X80" i="13" s="1"/>
  <c r="Q80" i="13"/>
  <c r="S80" i="13" s="1"/>
  <c r="M80" i="13"/>
  <c r="N80" i="13" s="1"/>
  <c r="AG79" i="13"/>
  <c r="AH79" i="13" s="1"/>
  <c r="AJ79" i="13" s="1"/>
  <c r="AF79" i="13"/>
  <c r="V79" i="13"/>
  <c r="X79" i="13" s="1"/>
  <c r="Q79" i="13"/>
  <c r="S79" i="13" s="1"/>
  <c r="M79" i="13"/>
  <c r="AD78" i="13"/>
  <c r="AC78" i="13"/>
  <c r="AB78" i="13"/>
  <c r="AA78" i="13"/>
  <c r="Z78" i="13"/>
  <c r="Z77" i="13" s="1"/>
  <c r="U78" i="13"/>
  <c r="U77" i="13" s="1"/>
  <c r="U76" i="13" s="1"/>
  <c r="P78" i="13"/>
  <c r="O78" i="13"/>
  <c r="O77" i="13" s="1"/>
  <c r="O76" i="13" s="1"/>
  <c r="L78" i="13"/>
  <c r="J78" i="13"/>
  <c r="H78" i="13"/>
  <c r="F78" i="13"/>
  <c r="AD77" i="13"/>
  <c r="AD76" i="13" s="1"/>
  <c r="AG75" i="13"/>
  <c r="AF75" i="13"/>
  <c r="V75" i="13"/>
  <c r="X75" i="13" s="1"/>
  <c r="Q75" i="13"/>
  <c r="S75" i="13" s="1"/>
  <c r="M75" i="13"/>
  <c r="AJ74" i="13"/>
  <c r="AG74" i="13"/>
  <c r="AE74" i="13" s="1"/>
  <c r="AF74" i="13"/>
  <c r="X74" i="13"/>
  <c r="S74" i="13"/>
  <c r="N74" i="13"/>
  <c r="AJ73" i="13"/>
  <c r="AG73" i="13"/>
  <c r="AF73" i="13"/>
  <c r="X73" i="13"/>
  <c r="S73" i="13"/>
  <c r="N73" i="13"/>
  <c r="T73" i="13" s="1"/>
  <c r="AD72" i="13"/>
  <c r="AC72" i="13"/>
  <c r="AB72" i="13"/>
  <c r="AA72" i="13"/>
  <c r="Z72" i="13"/>
  <c r="U72" i="13"/>
  <c r="P72" i="13"/>
  <c r="O72" i="13"/>
  <c r="L72" i="13"/>
  <c r="J72" i="13"/>
  <c r="H72" i="13"/>
  <c r="F72" i="13"/>
  <c r="AG71" i="13"/>
  <c r="AF71" i="13"/>
  <c r="V71" i="13"/>
  <c r="X71" i="13" s="1"/>
  <c r="Q71" i="13"/>
  <c r="S71" i="13" s="1"/>
  <c r="N71" i="13"/>
  <c r="Y71" i="13" s="1"/>
  <c r="AJ70" i="13"/>
  <c r="AG70" i="13"/>
  <c r="AF70" i="13"/>
  <c r="X70" i="13"/>
  <c r="S70" i="13"/>
  <c r="N70" i="13"/>
  <c r="T70" i="13" s="1"/>
  <c r="AG69" i="13"/>
  <c r="AH69" i="13" s="1"/>
  <c r="AJ69" i="13" s="1"/>
  <c r="AF69" i="13"/>
  <c r="V69" i="13"/>
  <c r="X69" i="13" s="1"/>
  <c r="Q69" i="13"/>
  <c r="S69" i="13" s="1"/>
  <c r="N69" i="13"/>
  <c r="AJ68" i="13"/>
  <c r="AG68" i="13"/>
  <c r="AF68" i="13"/>
  <c r="X68" i="13"/>
  <c r="S68" i="13"/>
  <c r="N68" i="13"/>
  <c r="T68" i="13" s="1"/>
  <c r="AG67" i="13"/>
  <c r="AF67" i="13"/>
  <c r="V67" i="13"/>
  <c r="X67" i="13" s="1"/>
  <c r="Q67" i="13"/>
  <c r="S67" i="13" s="1"/>
  <c r="N67" i="13"/>
  <c r="Y67" i="13" s="1"/>
  <c r="AG66" i="13"/>
  <c r="AF66" i="13"/>
  <c r="V66" i="13"/>
  <c r="X66" i="13" s="1"/>
  <c r="Q66" i="13"/>
  <c r="S66" i="13" s="1"/>
  <c r="N66" i="13"/>
  <c r="AG65" i="13"/>
  <c r="AE65" i="13" s="1"/>
  <c r="AF65" i="13"/>
  <c r="H65" i="13"/>
  <c r="F65" i="13"/>
  <c r="F63" i="13" s="1"/>
  <c r="AG64" i="13"/>
  <c r="AF64" i="13"/>
  <c r="V64" i="13"/>
  <c r="X64" i="13" s="1"/>
  <c r="Q64" i="13"/>
  <c r="S64" i="13" s="1"/>
  <c r="N64" i="13"/>
  <c r="T64" i="13" s="1"/>
  <c r="AD63" i="13"/>
  <c r="AC63" i="13"/>
  <c r="AB63" i="13"/>
  <c r="AA63" i="13"/>
  <c r="Z63" i="13"/>
  <c r="U63" i="13"/>
  <c r="P63" i="13"/>
  <c r="O63" i="13"/>
  <c r="M63" i="13"/>
  <c r="L63" i="13"/>
  <c r="AG62" i="13"/>
  <c r="AE62" i="13" s="1"/>
  <c r="AF62" i="13"/>
  <c r="V62" i="13"/>
  <c r="X62" i="13" s="1"/>
  <c r="Q62" i="13"/>
  <c r="S62" i="13" s="1"/>
  <c r="N62" i="13"/>
  <c r="T62" i="13" s="1"/>
  <c r="V61" i="13"/>
  <c r="Q61" i="13"/>
  <c r="N61" i="13"/>
  <c r="AK61" i="13" s="1"/>
  <c r="AG60" i="13"/>
  <c r="AF60" i="13"/>
  <c r="V60" i="13"/>
  <c r="X60" i="13" s="1"/>
  <c r="Q60" i="13"/>
  <c r="S60" i="13" s="1"/>
  <c r="N60" i="13"/>
  <c r="AG59" i="13"/>
  <c r="AE59" i="13" s="1"/>
  <c r="AF59" i="13"/>
  <c r="V59" i="13"/>
  <c r="X59" i="13" s="1"/>
  <c r="Q59" i="13"/>
  <c r="S59" i="13" s="1"/>
  <c r="N59" i="13"/>
  <c r="T59" i="13" s="1"/>
  <c r="AG58" i="13"/>
  <c r="AF58" i="13"/>
  <c r="M58" i="13"/>
  <c r="H58" i="13"/>
  <c r="F58" i="13"/>
  <c r="AG57" i="13"/>
  <c r="AF57" i="13"/>
  <c r="V57" i="13"/>
  <c r="X57" i="13" s="1"/>
  <c r="Q57" i="13"/>
  <c r="S57" i="13" s="1"/>
  <c r="N57" i="13"/>
  <c r="Y57" i="13" s="1"/>
  <c r="AD56" i="13"/>
  <c r="AC56" i="13"/>
  <c r="AB56" i="13"/>
  <c r="AA56" i="13"/>
  <c r="AA55" i="13" s="1"/>
  <c r="Z56" i="13"/>
  <c r="U56" i="13"/>
  <c r="P56" i="13"/>
  <c r="O56" i="13"/>
  <c r="O55" i="13" s="1"/>
  <c r="M56" i="13"/>
  <c r="L56" i="13"/>
  <c r="F56" i="13"/>
  <c r="AC55" i="13"/>
  <c r="AC54" i="13" s="1"/>
  <c r="I55" i="13"/>
  <c r="I54" i="13" s="1"/>
  <c r="I15" i="13" s="1"/>
  <c r="AG53" i="13"/>
  <c r="AF53" i="13"/>
  <c r="J53" i="13"/>
  <c r="H53" i="13"/>
  <c r="H51" i="13" s="1"/>
  <c r="AG52" i="13"/>
  <c r="AG51" i="13" s="1"/>
  <c r="AF52" i="13"/>
  <c r="V52" i="13"/>
  <c r="X52" i="13" s="1"/>
  <c r="Q52" i="13"/>
  <c r="S52" i="13" s="1"/>
  <c r="N52" i="13"/>
  <c r="Y52" i="13" s="1"/>
  <c r="AD51" i="13"/>
  <c r="AC51" i="13"/>
  <c r="AB51" i="13"/>
  <c r="AA51" i="13"/>
  <c r="Z51" i="13"/>
  <c r="U51" i="13"/>
  <c r="P51" i="13"/>
  <c r="O51" i="13"/>
  <c r="M51" i="13"/>
  <c r="L51" i="13"/>
  <c r="F51" i="13"/>
  <c r="AG50" i="13"/>
  <c r="AE50" i="13" s="1"/>
  <c r="AF50" i="13"/>
  <c r="V50" i="13"/>
  <c r="X50" i="13" s="1"/>
  <c r="Q50" i="13"/>
  <c r="S50" i="13" s="1"/>
  <c r="N50" i="13"/>
  <c r="T50" i="13" s="1"/>
  <c r="AJ49" i="13"/>
  <c r="AG49" i="13"/>
  <c r="AF49" i="13"/>
  <c r="X49" i="13"/>
  <c r="S49" i="13"/>
  <c r="N49" i="13"/>
  <c r="T49" i="13" s="1"/>
  <c r="AC48" i="13"/>
  <c r="AB48" i="13"/>
  <c r="AA48" i="13"/>
  <c r="Z48" i="13"/>
  <c r="U48" i="13"/>
  <c r="O48" i="13"/>
  <c r="M48" i="13"/>
  <c r="L48" i="13"/>
  <c r="J48" i="13"/>
  <c r="Q48" i="13" s="1"/>
  <c r="S48" i="13" s="1"/>
  <c r="H48" i="13"/>
  <c r="F48" i="13"/>
  <c r="AJ47" i="13"/>
  <c r="AG47" i="13"/>
  <c r="AF47" i="13"/>
  <c r="X47" i="13"/>
  <c r="S47" i="13"/>
  <c r="N47" i="13"/>
  <c r="Y47" i="13" s="1"/>
  <c r="AJ46" i="13"/>
  <c r="AG46" i="13"/>
  <c r="AF46" i="13"/>
  <c r="AE46" i="13"/>
  <c r="X46" i="13"/>
  <c r="S46" i="13"/>
  <c r="M46" i="13"/>
  <c r="M45" i="13" s="1"/>
  <c r="N45" i="13" s="1"/>
  <c r="AJ45" i="13"/>
  <c r="AD45" i="13"/>
  <c r="AC45" i="13"/>
  <c r="AB45" i="13"/>
  <c r="AA45" i="13"/>
  <c r="Z45" i="13"/>
  <c r="X45" i="13"/>
  <c r="U45" i="13"/>
  <c r="S45" i="13"/>
  <c r="P45" i="13"/>
  <c r="O45" i="13"/>
  <c r="L45" i="13"/>
  <c r="AG44" i="13"/>
  <c r="AE44" i="13" s="1"/>
  <c r="AF44" i="13"/>
  <c r="V44" i="13"/>
  <c r="X44" i="13" s="1"/>
  <c r="Q44" i="13"/>
  <c r="S44" i="13" s="1"/>
  <c r="N44" i="13"/>
  <c r="T44" i="13" s="1"/>
  <c r="AJ43" i="13"/>
  <c r="AG43" i="13"/>
  <c r="AE43" i="13" s="1"/>
  <c r="AF43" i="13"/>
  <c r="X43" i="13"/>
  <c r="S43" i="13"/>
  <c r="N43" i="13"/>
  <c r="T43" i="13" s="1"/>
  <c r="AG42" i="13"/>
  <c r="AE42" i="13" s="1"/>
  <c r="AF42" i="13"/>
  <c r="V42" i="13"/>
  <c r="X42" i="13" s="1"/>
  <c r="Q42" i="13"/>
  <c r="S42" i="13" s="1"/>
  <c r="M42" i="13"/>
  <c r="N42" i="13" s="1"/>
  <c r="AJ41" i="13"/>
  <c r="AG41" i="13"/>
  <c r="AF41" i="13"/>
  <c r="X41" i="13"/>
  <c r="S41" i="13"/>
  <c r="N41" i="13"/>
  <c r="T41" i="13" s="1"/>
  <c r="AD40" i="13"/>
  <c r="AC40" i="13"/>
  <c r="AB40" i="13"/>
  <c r="AA40" i="13"/>
  <c r="Z40" i="13"/>
  <c r="U40" i="13"/>
  <c r="P40" i="13"/>
  <c r="O40" i="13"/>
  <c r="L40" i="13"/>
  <c r="J40" i="13"/>
  <c r="H40" i="13"/>
  <c r="F40" i="13"/>
  <c r="AF38" i="13"/>
  <c r="J38" i="13"/>
  <c r="AH38" i="13" s="1"/>
  <c r="AJ38" i="13" s="1"/>
  <c r="H38" i="13"/>
  <c r="AG37" i="13"/>
  <c r="AF37" i="13"/>
  <c r="J37" i="13"/>
  <c r="Q37" i="13" s="1"/>
  <c r="S37" i="13" s="1"/>
  <c r="H37" i="13"/>
  <c r="AG36" i="13"/>
  <c r="AE36" i="13" s="1"/>
  <c r="AF36" i="13"/>
  <c r="J36" i="13"/>
  <c r="Q36" i="13" s="1"/>
  <c r="S36" i="13" s="1"/>
  <c r="H36" i="13"/>
  <c r="AC35" i="13"/>
  <c r="AB35" i="13"/>
  <c r="AA35" i="13"/>
  <c r="Z35" i="13"/>
  <c r="U35" i="13"/>
  <c r="P35" i="13"/>
  <c r="O35" i="13"/>
  <c r="M35" i="13"/>
  <c r="L35" i="13"/>
  <c r="F35" i="13"/>
  <c r="J35" i="13" s="1"/>
  <c r="AG34" i="13"/>
  <c r="AE34" i="13" s="1"/>
  <c r="AF34" i="13"/>
  <c r="M34" i="13"/>
  <c r="J34" i="13"/>
  <c r="H34" i="13"/>
  <c r="AG33" i="13"/>
  <c r="AE33" i="13" s="1"/>
  <c r="AF33" i="13"/>
  <c r="M33" i="13"/>
  <c r="J33" i="13"/>
  <c r="H33" i="13"/>
  <c r="AG32" i="13"/>
  <c r="AF32" i="13"/>
  <c r="J32" i="13"/>
  <c r="V32" i="13" s="1"/>
  <c r="X32" i="13" s="1"/>
  <c r="H32" i="13"/>
  <c r="AG31" i="13"/>
  <c r="AF31" i="13"/>
  <c r="J31" i="13"/>
  <c r="V31" i="13" s="1"/>
  <c r="X31" i="13" s="1"/>
  <c r="H31" i="13"/>
  <c r="AC30" i="13"/>
  <c r="AC29" i="13" s="1"/>
  <c r="AB30" i="13"/>
  <c r="AA30" i="13"/>
  <c r="AA29" i="13" s="1"/>
  <c r="Z30" i="13"/>
  <c r="U30" i="13"/>
  <c r="P30" i="13"/>
  <c r="O30" i="13"/>
  <c r="O29" i="13" s="1"/>
  <c r="L30" i="13"/>
  <c r="F30" i="13"/>
  <c r="F29" i="13"/>
  <c r="AJ27" i="13"/>
  <c r="AG27" i="13"/>
  <c r="AF27" i="13"/>
  <c r="X27" i="13"/>
  <c r="S27" i="13"/>
  <c r="N27" i="13"/>
  <c r="Y27" i="13" s="1"/>
  <c r="AG26" i="13"/>
  <c r="AF26" i="13"/>
  <c r="V26" i="13"/>
  <c r="X26" i="13" s="1"/>
  <c r="T26" i="13"/>
  <c r="Q26" i="13"/>
  <c r="S26" i="13" s="1"/>
  <c r="N26" i="13"/>
  <c r="Y26" i="13" s="1"/>
  <c r="Z25" i="13"/>
  <c r="AG25" i="13" s="1"/>
  <c r="U25" i="13"/>
  <c r="P25" i="13"/>
  <c r="O25" i="13"/>
  <c r="L25" i="13"/>
  <c r="J25" i="13"/>
  <c r="J21" i="13" s="1"/>
  <c r="H25" i="13"/>
  <c r="F25" i="13"/>
  <c r="AG24" i="13"/>
  <c r="AH24" i="13" s="1"/>
  <c r="AJ24" i="13" s="1"/>
  <c r="AF24" i="13"/>
  <c r="V24" i="13"/>
  <c r="X24" i="13" s="1"/>
  <c r="Q24" i="13"/>
  <c r="S24" i="13" s="1"/>
  <c r="N24" i="13"/>
  <c r="Y24" i="13" s="1"/>
  <c r="AE23" i="13"/>
  <c r="AF23" i="13"/>
  <c r="V23" i="13"/>
  <c r="X23" i="13" s="1"/>
  <c r="Q23" i="13"/>
  <c r="S23" i="13" s="1"/>
  <c r="N23" i="13"/>
  <c r="T23" i="13" s="1"/>
  <c r="AC22" i="13"/>
  <c r="AB22" i="13"/>
  <c r="AB21" i="13" s="1"/>
  <c r="AA22" i="13"/>
  <c r="AA21" i="13" s="1"/>
  <c r="Z22" i="13"/>
  <c r="Z21" i="13" s="1"/>
  <c r="U22" i="13"/>
  <c r="P22" i="13"/>
  <c r="O22" i="13"/>
  <c r="O21" i="13" s="1"/>
  <c r="L22" i="13"/>
  <c r="J22" i="13"/>
  <c r="N22" i="13" s="1"/>
  <c r="H22" i="13"/>
  <c r="H21" i="13" s="1"/>
  <c r="F22" i="13"/>
  <c r="AC21" i="13"/>
  <c r="M21" i="13"/>
  <c r="AJ20" i="13"/>
  <c r="AG20" i="13"/>
  <c r="AE20" i="13" s="1"/>
  <c r="AF20" i="13"/>
  <c r="X20" i="13"/>
  <c r="N20" i="13"/>
  <c r="T20" i="13" s="1"/>
  <c r="AG19" i="13"/>
  <c r="AE19" i="13" s="1"/>
  <c r="AF19" i="13"/>
  <c r="J19" i="13"/>
  <c r="N19" i="13" s="1"/>
  <c r="AJ18" i="13"/>
  <c r="AG18" i="13"/>
  <c r="AF18" i="13"/>
  <c r="X18" i="13"/>
  <c r="S18" i="13"/>
  <c r="N18" i="13"/>
  <c r="Y18" i="13" s="1"/>
  <c r="AD17" i="13"/>
  <c r="AC17" i="13"/>
  <c r="AB17" i="13"/>
  <c r="AA17" i="13"/>
  <c r="Z17" i="13"/>
  <c r="U17" i="13"/>
  <c r="P17" i="13"/>
  <c r="O17" i="13"/>
  <c r="M17" i="13"/>
  <c r="L17" i="13"/>
  <c r="H17" i="13"/>
  <c r="F17" i="13"/>
  <c r="AD16" i="13"/>
  <c r="AP13" i="13"/>
  <c r="AL13" i="13"/>
  <c r="AP12" i="13"/>
  <c r="AL12" i="13"/>
  <c r="AP10" i="13"/>
  <c r="AL10" i="13"/>
  <c r="AP9" i="13"/>
  <c r="AL9" i="13"/>
  <c r="AP8" i="13"/>
  <c r="AL8" i="13"/>
  <c r="AE110" i="13" l="1"/>
  <c r="N87" i="13"/>
  <c r="AB86" i="13"/>
  <c r="F155" i="13"/>
  <c r="H158" i="13"/>
  <c r="AA185" i="13"/>
  <c r="AG227" i="13"/>
  <c r="H231" i="13"/>
  <c r="L250" i="13"/>
  <c r="AF48" i="13"/>
  <c r="L77" i="13"/>
  <c r="L76" i="13" s="1"/>
  <c r="AG104" i="13"/>
  <c r="AG103" i="13" s="1"/>
  <c r="AE103" i="13" s="1"/>
  <c r="AA177" i="13"/>
  <c r="P177" i="13"/>
  <c r="H182" i="13"/>
  <c r="AC185" i="13"/>
  <c r="M194" i="13"/>
  <c r="AD194" i="13"/>
  <c r="Z203" i="13"/>
  <c r="H30" i="13"/>
  <c r="AH50" i="13"/>
  <c r="AJ50" i="13" s="1"/>
  <c r="AF63" i="13"/>
  <c r="Q72" i="13"/>
  <c r="S72" i="13" s="1"/>
  <c r="V95" i="13"/>
  <c r="X95" i="13" s="1"/>
  <c r="AG139" i="13"/>
  <c r="T147" i="13"/>
  <c r="V169" i="13"/>
  <c r="X169" i="13" s="1"/>
  <c r="AB177" i="13"/>
  <c r="AB154" i="13" s="1"/>
  <c r="H178" i="13"/>
  <c r="H177" i="13" s="1"/>
  <c r="AB185" i="13"/>
  <c r="L194" i="13"/>
  <c r="L185" i="13" s="1"/>
  <c r="F200" i="13"/>
  <c r="AG48" i="13"/>
  <c r="AE48" i="13" s="1"/>
  <c r="U55" i="13"/>
  <c r="AD114" i="13"/>
  <c r="AD107" i="13" s="1"/>
  <c r="T136" i="13"/>
  <c r="F137" i="13"/>
  <c r="AK141" i="13"/>
  <c r="AE141" i="13"/>
  <c r="AK190" i="13"/>
  <c r="AD185" i="13"/>
  <c r="M16" i="13"/>
  <c r="Q25" i="13"/>
  <c r="S25" i="13" s="1"/>
  <c r="AF45" i="13"/>
  <c r="AD39" i="13"/>
  <c r="AD28" i="13" s="1"/>
  <c r="N48" i="13"/>
  <c r="Y48" i="13" s="1"/>
  <c r="H86" i="13"/>
  <c r="H85" i="13" s="1"/>
  <c r="T89" i="13"/>
  <c r="H143" i="13"/>
  <c r="V188" i="13"/>
  <c r="X188" i="13" s="1"/>
  <c r="Q206" i="13"/>
  <c r="S206" i="13" s="1"/>
  <c r="L203" i="13"/>
  <c r="F222" i="13"/>
  <c r="Q229" i="13"/>
  <c r="S229" i="13" s="1"/>
  <c r="Q239" i="13"/>
  <c r="S239" i="13" s="1"/>
  <c r="N21" i="13"/>
  <c r="U203" i="13"/>
  <c r="AB29" i="13"/>
  <c r="AG40" i="13"/>
  <c r="AH44" i="13"/>
  <c r="AJ44" i="13" s="1"/>
  <c r="O54" i="13"/>
  <c r="V93" i="13"/>
  <c r="X93" i="13" s="1"/>
  <c r="L177" i="13"/>
  <c r="L154" i="13" s="1"/>
  <c r="N196" i="13"/>
  <c r="Y196" i="13" s="1"/>
  <c r="AC213" i="13"/>
  <c r="AC234" i="13"/>
  <c r="Q19" i="13"/>
  <c r="S19" i="13" s="1"/>
  <c r="Z16" i="13"/>
  <c r="AE24" i="13"/>
  <c r="H35" i="13"/>
  <c r="AE41" i="13"/>
  <c r="AE49" i="13"/>
  <c r="T52" i="13"/>
  <c r="Y73" i="13"/>
  <c r="F86" i="13"/>
  <c r="F85" i="13" s="1"/>
  <c r="M86" i="13"/>
  <c r="M85" i="13" s="1"/>
  <c r="AF87" i="13"/>
  <c r="J91" i="13"/>
  <c r="N91" i="13" s="1"/>
  <c r="Y91" i="13" s="1"/>
  <c r="AF91" i="13"/>
  <c r="AD86" i="13"/>
  <c r="AD85" i="13" s="1"/>
  <c r="AD15" i="13" s="1"/>
  <c r="P114" i="13"/>
  <c r="P107" i="13" s="1"/>
  <c r="T116" i="13"/>
  <c r="L114" i="13"/>
  <c r="L107" i="13" s="1"/>
  <c r="T123" i="13"/>
  <c r="AB114" i="13"/>
  <c r="AB107" i="13" s="1"/>
  <c r="AB106" i="13" s="1"/>
  <c r="AB13" i="13" s="1"/>
  <c r="O128" i="13"/>
  <c r="O127" i="13" s="1"/>
  <c r="AQ149" i="13"/>
  <c r="AS149" i="13" s="1"/>
  <c r="F158" i="13"/>
  <c r="N170" i="13"/>
  <c r="T170" i="13" s="1"/>
  <c r="Q175" i="13"/>
  <c r="S175" i="13" s="1"/>
  <c r="AK183" i="13"/>
  <c r="F189" i="13"/>
  <c r="F186" i="13" s="1"/>
  <c r="H222" i="13"/>
  <c r="H221" i="13" s="1"/>
  <c r="J227" i="13"/>
  <c r="N227" i="13" s="1"/>
  <c r="T227" i="13" s="1"/>
  <c r="AG231" i="13"/>
  <c r="AE231" i="13" s="1"/>
  <c r="N241" i="13"/>
  <c r="T241" i="13" s="1"/>
  <c r="P21" i="13"/>
  <c r="P16" i="13" s="1"/>
  <c r="AA54" i="13"/>
  <c r="N92" i="13"/>
  <c r="T92" i="13" s="1"/>
  <c r="Q171" i="13"/>
  <c r="S171" i="13" s="1"/>
  <c r="AC177" i="13"/>
  <c r="AC154" i="13" s="1"/>
  <c r="U213" i="13"/>
  <c r="N246" i="13"/>
  <c r="Y246" i="13" s="1"/>
  <c r="AP6" i="13"/>
  <c r="N25" i="13"/>
  <c r="T25" i="13" s="1"/>
  <c r="AK27" i="13"/>
  <c r="Q38" i="13"/>
  <c r="S38" i="13" s="1"/>
  <c r="Y45" i="13"/>
  <c r="L39" i="13"/>
  <c r="AH62" i="13"/>
  <c r="AJ62" i="13" s="1"/>
  <c r="T67" i="13"/>
  <c r="H77" i="13"/>
  <c r="H76" i="13" s="1"/>
  <c r="N81" i="13"/>
  <c r="Y81" i="13" s="1"/>
  <c r="AE84" i="13"/>
  <c r="AC114" i="13"/>
  <c r="AC107" i="13" s="1"/>
  <c r="T120" i="13"/>
  <c r="AF134" i="13"/>
  <c r="V159" i="13"/>
  <c r="X159" i="13" s="1"/>
  <c r="AH165" i="13"/>
  <c r="AJ165" i="13" s="1"/>
  <c r="Q166" i="13"/>
  <c r="S166" i="13" s="1"/>
  <c r="F168" i="13"/>
  <c r="F167" i="13" s="1"/>
  <c r="V179" i="13"/>
  <c r="X179" i="13" s="1"/>
  <c r="Q196" i="13"/>
  <c r="S196" i="13" s="1"/>
  <c r="Q205" i="13"/>
  <c r="S205" i="13" s="1"/>
  <c r="AD213" i="13"/>
  <c r="Q228" i="13"/>
  <c r="S228" i="13" s="1"/>
  <c r="H237" i="13"/>
  <c r="AH247" i="13"/>
  <c r="AJ247" i="13" s="1"/>
  <c r="T240" i="13"/>
  <c r="Y240" i="13"/>
  <c r="AD128" i="13"/>
  <c r="AD127" i="13" s="1"/>
  <c r="AK20" i="13"/>
  <c r="T22" i="13"/>
  <c r="V22" i="13"/>
  <c r="X22" i="13" s="1"/>
  <c r="AK24" i="13"/>
  <c r="T27" i="13"/>
  <c r="AF30" i="13"/>
  <c r="Q32" i="13"/>
  <c r="S32" i="13" s="1"/>
  <c r="AF40" i="13"/>
  <c r="M55" i="13"/>
  <c r="Z55" i="13"/>
  <c r="Z54" i="13" s="1"/>
  <c r="T57" i="13"/>
  <c r="Y59" i="13"/>
  <c r="Y68" i="13"/>
  <c r="Y70" i="13"/>
  <c r="V72" i="13"/>
  <c r="X72" i="13" s="1"/>
  <c r="AG81" i="13"/>
  <c r="V90" i="13"/>
  <c r="X90" i="13" s="1"/>
  <c r="Q92" i="13"/>
  <c r="S92" i="13" s="1"/>
  <c r="N93" i="13"/>
  <c r="V104" i="13"/>
  <c r="X104" i="13" s="1"/>
  <c r="AK123" i="13"/>
  <c r="AC128" i="13"/>
  <c r="AC127" i="13" s="1"/>
  <c r="AF143" i="13"/>
  <c r="AK147" i="13"/>
  <c r="V156" i="13"/>
  <c r="X156" i="13" s="1"/>
  <c r="J158" i="13"/>
  <c r="N158" i="13" s="1"/>
  <c r="T158" i="13" s="1"/>
  <c r="AH170" i="13"/>
  <c r="AJ170" i="13" s="1"/>
  <c r="N171" i="13"/>
  <c r="T171" i="13" s="1"/>
  <c r="N175" i="13"/>
  <c r="T175" i="13" s="1"/>
  <c r="V184" i="13"/>
  <c r="X184" i="13" s="1"/>
  <c r="J189" i="13"/>
  <c r="N189" i="13" s="1"/>
  <c r="AG200" i="13"/>
  <c r="N206" i="13"/>
  <c r="Y206" i="13" s="1"/>
  <c r="AB234" i="13"/>
  <c r="AB153" i="13" s="1"/>
  <c r="AB10" i="13" s="1"/>
  <c r="AC250" i="13"/>
  <c r="F251" i="13"/>
  <c r="F250" i="13" s="1"/>
  <c r="Q257" i="13"/>
  <c r="S257" i="13" s="1"/>
  <c r="AG100" i="13"/>
  <c r="AE100" i="13" s="1"/>
  <c r="V256" i="13"/>
  <c r="X256" i="13" s="1"/>
  <c r="Z29" i="13"/>
  <c r="AF29" i="13" s="1"/>
  <c r="M30" i="13"/>
  <c r="M29" i="13" s="1"/>
  <c r="N35" i="13"/>
  <c r="Y35" i="13" s="1"/>
  <c r="AH36" i="13"/>
  <c r="AJ36" i="13" s="1"/>
  <c r="H39" i="13"/>
  <c r="P39" i="13"/>
  <c r="AB39" i="13"/>
  <c r="V48" i="13"/>
  <c r="X48" i="13" s="1"/>
  <c r="T61" i="13"/>
  <c r="T71" i="13"/>
  <c r="F77" i="13"/>
  <c r="F76" i="13" s="1"/>
  <c r="AH82" i="13"/>
  <c r="AJ82" i="13" s="1"/>
  <c r="M111" i="13"/>
  <c r="O114" i="13"/>
  <c r="O107" i="13" s="1"/>
  <c r="Z114" i="13"/>
  <c r="T140" i="13"/>
  <c r="AK140" i="13"/>
  <c r="T141" i="13"/>
  <c r="H155" i="13"/>
  <c r="H164" i="13"/>
  <c r="Q173" i="13"/>
  <c r="S173" i="13" s="1"/>
  <c r="AK173" i="13"/>
  <c r="N174" i="13"/>
  <c r="T174" i="13" s="1"/>
  <c r="F178" i="13"/>
  <c r="AH180" i="13"/>
  <c r="AJ180" i="13" s="1"/>
  <c r="AF182" i="13"/>
  <c r="Q183" i="13"/>
  <c r="S183" i="13" s="1"/>
  <c r="N184" i="13"/>
  <c r="AK184" i="13" s="1"/>
  <c r="AG182" i="13"/>
  <c r="AE182" i="13" s="1"/>
  <c r="Y190" i="13"/>
  <c r="AH190" i="13"/>
  <c r="AJ190" i="13" s="1"/>
  <c r="N198" i="13"/>
  <c r="V239" i="13"/>
  <c r="X239" i="13" s="1"/>
  <c r="AF257" i="13"/>
  <c r="AM257" i="13"/>
  <c r="AO257" i="13" s="1"/>
  <c r="AM258" i="13"/>
  <c r="AO258" i="13" s="1"/>
  <c r="T18" i="13"/>
  <c r="P77" i="13"/>
  <c r="AB77" i="13"/>
  <c r="AB76" i="13" s="1"/>
  <c r="AG96" i="13"/>
  <c r="AE96" i="13" s="1"/>
  <c r="AF104" i="13"/>
  <c r="T112" i="13"/>
  <c r="F114" i="13"/>
  <c r="T132" i="13"/>
  <c r="O137" i="13"/>
  <c r="AC137" i="13"/>
  <c r="T144" i="13"/>
  <c r="AP148" i="13"/>
  <c r="AQ148" i="13" s="1"/>
  <c r="AS148" i="13" s="1"/>
  <c r="AH156" i="13"/>
  <c r="AJ156" i="13" s="1"/>
  <c r="AG168" i="13"/>
  <c r="AG167" i="13" s="1"/>
  <c r="V173" i="13"/>
  <c r="X173" i="13" s="1"/>
  <c r="V174" i="13"/>
  <c r="X174" i="13" s="1"/>
  <c r="AH174" i="13"/>
  <c r="AJ174" i="13" s="1"/>
  <c r="V183" i="13"/>
  <c r="X183" i="13" s="1"/>
  <c r="AC203" i="13"/>
  <c r="AC153" i="13" s="1"/>
  <c r="AC10" i="13" s="1"/>
  <c r="Y226" i="13"/>
  <c r="AG243" i="13"/>
  <c r="O250" i="13"/>
  <c r="AF254" i="13"/>
  <c r="AM256" i="13"/>
  <c r="AO256" i="13" s="1"/>
  <c r="Q258" i="13"/>
  <c r="S258" i="13" s="1"/>
  <c r="T42" i="13"/>
  <c r="Y42" i="13"/>
  <c r="O16" i="13"/>
  <c r="T91" i="13"/>
  <c r="AC16" i="13"/>
  <c r="Q53" i="13"/>
  <c r="S53" i="13" s="1"/>
  <c r="V53" i="13"/>
  <c r="X53" i="13" s="1"/>
  <c r="J58" i="13"/>
  <c r="AH58" i="13" s="1"/>
  <c r="AJ58" i="13" s="1"/>
  <c r="H56" i="13"/>
  <c r="AH80" i="13"/>
  <c r="AJ80" i="13" s="1"/>
  <c r="AG78" i="13"/>
  <c r="AE80" i="13"/>
  <c r="AH81" i="13"/>
  <c r="AJ81" i="13" s="1"/>
  <c r="AB85" i="13"/>
  <c r="Y117" i="13"/>
  <c r="T117" i="13"/>
  <c r="Y135" i="13"/>
  <c r="J138" i="13"/>
  <c r="J137" i="13" s="1"/>
  <c r="N139" i="13"/>
  <c r="Y139" i="13" s="1"/>
  <c r="Q139" i="13"/>
  <c r="S139" i="13" s="1"/>
  <c r="P138" i="13"/>
  <c r="P137" i="13" s="1"/>
  <c r="AE212" i="13"/>
  <c r="AG211" i="13"/>
  <c r="AA213" i="13"/>
  <c r="Q224" i="13"/>
  <c r="S224" i="13" s="1"/>
  <c r="V224" i="13"/>
  <c r="X224" i="13" s="1"/>
  <c r="AE242" i="13"/>
  <c r="AH242" i="13"/>
  <c r="AJ242" i="13" s="1"/>
  <c r="AH261" i="13"/>
  <c r="AJ261" i="13" s="1"/>
  <c r="AE261" i="13"/>
  <c r="F21" i="13"/>
  <c r="F16" i="13" s="1"/>
  <c r="Y22" i="13"/>
  <c r="T24" i="13"/>
  <c r="AH25" i="13"/>
  <c r="AJ25" i="13" s="1"/>
  <c r="AK26" i="13"/>
  <c r="N31" i="13"/>
  <c r="T31" i="13" s="1"/>
  <c r="V38" i="13"/>
  <c r="X38" i="13" s="1"/>
  <c r="M40" i="13"/>
  <c r="N40" i="13" s="1"/>
  <c r="T40" i="13" s="1"/>
  <c r="AK44" i="13"/>
  <c r="N46" i="13"/>
  <c r="T46" i="13" s="1"/>
  <c r="AK50" i="13"/>
  <c r="J51" i="13"/>
  <c r="V51" i="13" s="1"/>
  <c r="X51" i="13" s="1"/>
  <c r="AF56" i="13"/>
  <c r="Y64" i="13"/>
  <c r="N75" i="13"/>
  <c r="M72" i="13"/>
  <c r="N72" i="13" s="1"/>
  <c r="Y72" i="13" s="1"/>
  <c r="J77" i="13"/>
  <c r="Q77" i="13" s="1"/>
  <c r="S77" i="13" s="1"/>
  <c r="V81" i="13"/>
  <c r="X81" i="13" s="1"/>
  <c r="AC86" i="13"/>
  <c r="AC85" i="13" s="1"/>
  <c r="AK88" i="13"/>
  <c r="AE88" i="13"/>
  <c r="AE92" i="13"/>
  <c r="AH92" i="13"/>
  <c r="AJ92" i="13" s="1"/>
  <c r="AE104" i="13"/>
  <c r="M108" i="13"/>
  <c r="N108" i="13" s="1"/>
  <c r="V111" i="13"/>
  <c r="X111" i="13" s="1"/>
  <c r="AG111" i="13"/>
  <c r="AG108" i="13" s="1"/>
  <c r="AH108" i="13" s="1"/>
  <c r="AJ108" i="13" s="1"/>
  <c r="Y121" i="13"/>
  <c r="Y122" i="13"/>
  <c r="T122" i="13"/>
  <c r="AK129" i="13"/>
  <c r="AE129" i="13"/>
  <c r="AK132" i="13"/>
  <c r="AE132" i="13"/>
  <c r="Y134" i="13"/>
  <c r="T134" i="13"/>
  <c r="AH140" i="13"/>
  <c r="AJ140" i="13" s="1"/>
  <c r="AE140" i="13"/>
  <c r="Y150" i="13"/>
  <c r="AG155" i="13"/>
  <c r="AE155" i="13" s="1"/>
  <c r="AE156" i="13"/>
  <c r="Q157" i="13"/>
  <c r="S157" i="13" s="1"/>
  <c r="V157" i="13"/>
  <c r="X157" i="13" s="1"/>
  <c r="AH157" i="13"/>
  <c r="AJ157" i="13" s="1"/>
  <c r="H161" i="13"/>
  <c r="Q170" i="13"/>
  <c r="S170" i="13" s="1"/>
  <c r="J168" i="13"/>
  <c r="N168" i="13" s="1"/>
  <c r="T168" i="13" s="1"/>
  <c r="T173" i="13"/>
  <c r="Y173" i="13"/>
  <c r="AH175" i="13"/>
  <c r="AJ175" i="13" s="1"/>
  <c r="AE175" i="13"/>
  <c r="U177" i="13"/>
  <c r="U154" i="13" s="1"/>
  <c r="AE200" i="13"/>
  <c r="AH205" i="13"/>
  <c r="AJ205" i="13" s="1"/>
  <c r="AG204" i="13"/>
  <c r="AE205" i="13"/>
  <c r="F221" i="13"/>
  <c r="AE223" i="13"/>
  <c r="AG222" i="13"/>
  <c r="N224" i="13"/>
  <c r="Y224" i="13" s="1"/>
  <c r="AF231" i="13"/>
  <c r="O234" i="13"/>
  <c r="O153" i="13" s="1"/>
  <c r="O10" i="13" s="1"/>
  <c r="M235" i="13"/>
  <c r="M234" i="13" s="1"/>
  <c r="V240" i="13"/>
  <c r="X240" i="13" s="1"/>
  <c r="Q240" i="13"/>
  <c r="S240" i="13" s="1"/>
  <c r="V257" i="13"/>
  <c r="X257" i="13" s="1"/>
  <c r="AF17" i="13"/>
  <c r="L21" i="13"/>
  <c r="L16" i="13" s="1"/>
  <c r="AE27" i="13"/>
  <c r="Q31" i="13"/>
  <c r="S31" i="13" s="1"/>
  <c r="Y44" i="13"/>
  <c r="T47" i="13"/>
  <c r="Y50" i="13"/>
  <c r="AK52" i="13"/>
  <c r="AE52" i="13"/>
  <c r="AH52" i="13"/>
  <c r="AJ52" i="13" s="1"/>
  <c r="AE57" i="13"/>
  <c r="AH57" i="13"/>
  <c r="AJ57" i="13" s="1"/>
  <c r="AH67" i="13"/>
  <c r="AJ67" i="13" s="1"/>
  <c r="AE67" i="13"/>
  <c r="AE90" i="13"/>
  <c r="AE93" i="13"/>
  <c r="AH93" i="13"/>
  <c r="AJ93" i="13" s="1"/>
  <c r="AF95" i="13"/>
  <c r="AG95" i="13"/>
  <c r="AE95" i="13" s="1"/>
  <c r="Z94" i="13"/>
  <c r="Y118" i="13"/>
  <c r="T118" i="13"/>
  <c r="AK118" i="13"/>
  <c r="I148" i="13"/>
  <c r="N149" i="13"/>
  <c r="M148" i="13"/>
  <c r="N148" i="13" s="1"/>
  <c r="Y148" i="13" s="1"/>
  <c r="AM148" i="13"/>
  <c r="AO148" i="13" s="1"/>
  <c r="T157" i="13"/>
  <c r="Y157" i="13"/>
  <c r="V165" i="13"/>
  <c r="X165" i="13" s="1"/>
  <c r="J164" i="13"/>
  <c r="N164" i="13" s="1"/>
  <c r="T164" i="13" s="1"/>
  <c r="Q165" i="13"/>
  <c r="S165" i="13" s="1"/>
  <c r="T169" i="13"/>
  <c r="Y169" i="13"/>
  <c r="Q172" i="13"/>
  <c r="S172" i="13" s="1"/>
  <c r="N172" i="13"/>
  <c r="T172" i="13" s="1"/>
  <c r="M177" i="13"/>
  <c r="Z177" i="13"/>
  <c r="H186" i="13"/>
  <c r="V197" i="13"/>
  <c r="X197" i="13" s="1"/>
  <c r="Q197" i="13"/>
  <c r="S197" i="13" s="1"/>
  <c r="N197" i="13"/>
  <c r="T197" i="13" s="1"/>
  <c r="J195" i="13"/>
  <c r="N195" i="13" s="1"/>
  <c r="M213" i="13"/>
  <c r="T239" i="13"/>
  <c r="Y239" i="13"/>
  <c r="AE255" i="13"/>
  <c r="AG254" i="13"/>
  <c r="AE254" i="13" s="1"/>
  <c r="AF256" i="13"/>
  <c r="AG260" i="13"/>
  <c r="AM261" i="13"/>
  <c r="AO261" i="13" s="1"/>
  <c r="Q261" i="13"/>
  <c r="S261" i="13" s="1"/>
  <c r="J260" i="13"/>
  <c r="AM260" i="13" s="1"/>
  <c r="AO260" i="13" s="1"/>
  <c r="V261" i="13"/>
  <c r="X261" i="13" s="1"/>
  <c r="AB16" i="13"/>
  <c r="U21" i="13"/>
  <c r="AF25" i="13"/>
  <c r="L29" i="13"/>
  <c r="N36" i="13"/>
  <c r="AK36" i="13" s="1"/>
  <c r="N38" i="13"/>
  <c r="AK38" i="13" s="1"/>
  <c r="O39" i="13"/>
  <c r="O28" i="13" s="1"/>
  <c r="Y41" i="13"/>
  <c r="AK42" i="13"/>
  <c r="Y43" i="13"/>
  <c r="T48" i="13"/>
  <c r="AA39" i="13"/>
  <c r="AA28" i="13" s="1"/>
  <c r="Y49" i="13"/>
  <c r="L55" i="13"/>
  <c r="L54" i="13" s="1"/>
  <c r="AK67" i="13"/>
  <c r="N79" i="13"/>
  <c r="AK79" i="13" s="1"/>
  <c r="M78" i="13"/>
  <c r="M77" i="13" s="1"/>
  <c r="M76" i="13" s="1"/>
  <c r="Y83" i="13"/>
  <c r="T83" i="13"/>
  <c r="Z86" i="13"/>
  <c r="Y88" i="13"/>
  <c r="AH90" i="13"/>
  <c r="AJ90" i="13" s="1"/>
  <c r="T93" i="13"/>
  <c r="Y93" i="13"/>
  <c r="AK113" i="13"/>
  <c r="AE113" i="13"/>
  <c r="Y129" i="13"/>
  <c r="F106" i="13"/>
  <c r="F13" i="13" s="1"/>
  <c r="AM149" i="13"/>
  <c r="AO149" i="13" s="1"/>
  <c r="AK150" i="13"/>
  <c r="AE150" i="13"/>
  <c r="AG149" i="13"/>
  <c r="AE149" i="13" s="1"/>
  <c r="AH159" i="13"/>
  <c r="AJ159" i="13" s="1"/>
  <c r="N160" i="13"/>
  <c r="AK160" i="13" s="1"/>
  <c r="AF164" i="13"/>
  <c r="AG164" i="13"/>
  <c r="AF168" i="13"/>
  <c r="Y171" i="13"/>
  <c r="AE171" i="13"/>
  <c r="Q187" i="13"/>
  <c r="S187" i="13" s="1"/>
  <c r="N187" i="13"/>
  <c r="AK187" i="13" s="1"/>
  <c r="O194" i="13"/>
  <c r="O185" i="13" s="1"/>
  <c r="J200" i="13"/>
  <c r="N200" i="13" s="1"/>
  <c r="Y200" i="13" s="1"/>
  <c r="M153" i="13"/>
  <c r="M10" i="13" s="1"/>
  <c r="H204" i="13"/>
  <c r="H203" i="13" s="1"/>
  <c r="P213" i="13"/>
  <c r="H218" i="13"/>
  <c r="AF222" i="13"/>
  <c r="F231" i="13"/>
  <c r="H235" i="13"/>
  <c r="Q238" i="13"/>
  <c r="S238" i="13" s="1"/>
  <c r="J237" i="13"/>
  <c r="J235" i="13" s="1"/>
  <c r="V235" i="13" s="1"/>
  <c r="X235" i="13" s="1"/>
  <c r="N238" i="13"/>
  <c r="AK238" i="13" s="1"/>
  <c r="AH238" i="13"/>
  <c r="AJ238" i="13" s="1"/>
  <c r="AH240" i="13"/>
  <c r="AJ240" i="13" s="1"/>
  <c r="Q242" i="13"/>
  <c r="S242" i="13" s="1"/>
  <c r="N242" i="13"/>
  <c r="V242" i="13"/>
  <c r="X242" i="13" s="1"/>
  <c r="AL259" i="13"/>
  <c r="N261" i="13"/>
  <c r="AK261" i="13" s="1"/>
  <c r="AD55" i="13"/>
  <c r="AD54" i="13" s="1"/>
  <c r="AF72" i="13"/>
  <c r="AC77" i="13"/>
  <c r="AC76" i="13" s="1"/>
  <c r="L86" i="13"/>
  <c r="L85" i="13" s="1"/>
  <c r="M154" i="13"/>
  <c r="AF155" i="13"/>
  <c r="O177" i="13"/>
  <c r="O154" i="13" s="1"/>
  <c r="M185" i="13"/>
  <c r="H195" i="13"/>
  <c r="H200" i="13"/>
  <c r="AK201" i="13"/>
  <c r="H214" i="13"/>
  <c r="AF218" i="13"/>
  <c r="AB213" i="13"/>
  <c r="AA234" i="13"/>
  <c r="AA153" i="13" s="1"/>
  <c r="AA10" i="13" s="1"/>
  <c r="F237" i="13"/>
  <c r="F235" i="13" s="1"/>
  <c r="F244" i="13"/>
  <c r="F243" i="13" s="1"/>
  <c r="V258" i="13"/>
  <c r="X258" i="13" s="1"/>
  <c r="F39" i="13"/>
  <c r="F28" i="13" s="1"/>
  <c r="AB55" i="13"/>
  <c r="AB54" i="13" s="1"/>
  <c r="AK59" i="13"/>
  <c r="AF78" i="13"/>
  <c r="O86" i="13"/>
  <c r="O85" i="13" s="1"/>
  <c r="N90" i="13"/>
  <c r="AK90" i="13" s="1"/>
  <c r="N95" i="13"/>
  <c r="T95" i="13" s="1"/>
  <c r="H108" i="13"/>
  <c r="AH109" i="13"/>
  <c r="AJ109" i="13" s="1"/>
  <c r="AF124" i="13"/>
  <c r="H134" i="13"/>
  <c r="H128" i="13" s="1"/>
  <c r="H138" i="13"/>
  <c r="H137" i="13" s="1"/>
  <c r="Y141" i="13"/>
  <c r="AA154" i="13"/>
  <c r="N156" i="13"/>
  <c r="AK156" i="13" s="1"/>
  <c r="AF158" i="13"/>
  <c r="N159" i="13"/>
  <c r="AK159" i="13" s="1"/>
  <c r="F164" i="13"/>
  <c r="F161" i="13" s="1"/>
  <c r="H168" i="13"/>
  <c r="H167" i="13" s="1"/>
  <c r="AH176" i="13"/>
  <c r="AJ176" i="13" s="1"/>
  <c r="AG178" i="13"/>
  <c r="AH179" i="13"/>
  <c r="AJ179" i="13" s="1"/>
  <c r="J182" i="13"/>
  <c r="N182" i="13" s="1"/>
  <c r="AH188" i="13"/>
  <c r="AJ188" i="13" s="1"/>
  <c r="Q190" i="13"/>
  <c r="S190" i="13" s="1"/>
  <c r="AH191" i="13"/>
  <c r="AJ191" i="13" s="1"/>
  <c r="AG192" i="13"/>
  <c r="Q193" i="13"/>
  <c r="S193" i="13" s="1"/>
  <c r="Q209" i="13"/>
  <c r="S209" i="13" s="1"/>
  <c r="O213" i="13"/>
  <c r="AG218" i="13"/>
  <c r="AG214" i="13" s="1"/>
  <c r="F218" i="13"/>
  <c r="F214" i="13" s="1"/>
  <c r="AK225" i="13"/>
  <c r="AK226" i="13"/>
  <c r="H227" i="13"/>
  <c r="Q230" i="13"/>
  <c r="S230" i="13" s="1"/>
  <c r="H244" i="13"/>
  <c r="H243" i="13" s="1"/>
  <c r="H251" i="13"/>
  <c r="H250" i="13" s="1"/>
  <c r="Q253" i="13"/>
  <c r="S253" i="13" s="1"/>
  <c r="Y19" i="13"/>
  <c r="T19" i="13"/>
  <c r="AK19" i="13"/>
  <c r="V77" i="13"/>
  <c r="X77" i="13" s="1"/>
  <c r="V40" i="13"/>
  <c r="X40" i="13" s="1"/>
  <c r="U39" i="13"/>
  <c r="AK46" i="13"/>
  <c r="Y62" i="13"/>
  <c r="P55" i="13"/>
  <c r="AE75" i="13"/>
  <c r="AG72" i="13"/>
  <c r="P76" i="13"/>
  <c r="P85" i="13"/>
  <c r="Y92" i="13"/>
  <c r="AK109" i="13"/>
  <c r="AE111" i="13"/>
  <c r="AK112" i="13"/>
  <c r="AH112" i="13"/>
  <c r="AJ112" i="13" s="1"/>
  <c r="AE112" i="13"/>
  <c r="AK117" i="13"/>
  <c r="AH117" i="13"/>
  <c r="AJ117" i="13" s="1"/>
  <c r="AE117" i="13"/>
  <c r="AK125" i="13"/>
  <c r="AE125" i="13"/>
  <c r="AE168" i="13"/>
  <c r="AL6" i="13"/>
  <c r="AH23" i="13"/>
  <c r="AJ23" i="13" s="1"/>
  <c r="P29" i="13"/>
  <c r="U54" i="13"/>
  <c r="Y60" i="13"/>
  <c r="T60" i="13"/>
  <c r="H63" i="13"/>
  <c r="J65" i="13"/>
  <c r="AH65" i="13" s="1"/>
  <c r="AJ65" i="13" s="1"/>
  <c r="AE66" i="13"/>
  <c r="AK66" i="13"/>
  <c r="AA103" i="13"/>
  <c r="AF103" i="13" s="1"/>
  <c r="N115" i="13"/>
  <c r="M114" i="13"/>
  <c r="AK131" i="13"/>
  <c r="AE131" i="13"/>
  <c r="AA16" i="13"/>
  <c r="H16" i="13"/>
  <c r="V19" i="13"/>
  <c r="X19" i="13" s="1"/>
  <c r="AH19" i="13"/>
  <c r="AJ19" i="13" s="1"/>
  <c r="V21" i="13"/>
  <c r="X21" i="13" s="1"/>
  <c r="AG22" i="13"/>
  <c r="Y23" i="13"/>
  <c r="AK23" i="13"/>
  <c r="AE25" i="13"/>
  <c r="AE26" i="13"/>
  <c r="AE32" i="13"/>
  <c r="N37" i="13"/>
  <c r="AH37" i="13"/>
  <c r="AJ37" i="13" s="1"/>
  <c r="AG35" i="13"/>
  <c r="AE37" i="13"/>
  <c r="AK47" i="13"/>
  <c r="AE47" i="13"/>
  <c r="AG45" i="13"/>
  <c r="AK48" i="13"/>
  <c r="F55" i="13"/>
  <c r="F54" i="13" s="1"/>
  <c r="AH60" i="13"/>
  <c r="AJ60" i="13" s="1"/>
  <c r="AK60" i="13"/>
  <c r="AE60" i="13"/>
  <c r="AH66" i="13"/>
  <c r="AJ66" i="13" s="1"/>
  <c r="T69" i="13"/>
  <c r="Y69" i="13"/>
  <c r="AK70" i="13"/>
  <c r="AE70" i="13"/>
  <c r="Y80" i="13"/>
  <c r="T80" i="13"/>
  <c r="AK80" i="13"/>
  <c r="Q81" i="13"/>
  <c r="S81" i="13" s="1"/>
  <c r="Y124" i="13"/>
  <c r="U114" i="13"/>
  <c r="AG124" i="13"/>
  <c r="AF130" i="13"/>
  <c r="AA128" i="13"/>
  <c r="AK136" i="13"/>
  <c r="AH136" i="13"/>
  <c r="AJ136" i="13" s="1"/>
  <c r="AE136" i="13"/>
  <c r="AH145" i="13"/>
  <c r="AJ145" i="13" s="1"/>
  <c r="AE145" i="13"/>
  <c r="V148" i="13"/>
  <c r="X148" i="13" s="1"/>
  <c r="AK18" i="13"/>
  <c r="AE18" i="13"/>
  <c r="U29" i="13"/>
  <c r="Q34" i="13"/>
  <c r="S34" i="13" s="1"/>
  <c r="AH34" i="13"/>
  <c r="AJ34" i="13" s="1"/>
  <c r="N34" i="13"/>
  <c r="AK62" i="13"/>
  <c r="T66" i="13"/>
  <c r="Y66" i="13"/>
  <c r="T74" i="13"/>
  <c r="AK74" i="13"/>
  <c r="V78" i="13"/>
  <c r="X78" i="13" s="1"/>
  <c r="Q78" i="13"/>
  <c r="S78" i="13" s="1"/>
  <c r="AK92" i="13"/>
  <c r="N104" i="13"/>
  <c r="Q104" i="13"/>
  <c r="S104" i="13" s="1"/>
  <c r="J103" i="13"/>
  <c r="Y109" i="13"/>
  <c r="AH121" i="13"/>
  <c r="AJ121" i="13" s="1"/>
  <c r="AK121" i="13"/>
  <c r="AE121" i="13"/>
  <c r="AF21" i="13"/>
  <c r="AF22" i="13"/>
  <c r="AH26" i="13"/>
  <c r="AJ26" i="13" s="1"/>
  <c r="AE31" i="13"/>
  <c r="AH31" i="13"/>
  <c r="AJ31" i="13" s="1"/>
  <c r="AG30" i="13"/>
  <c r="V33" i="13"/>
  <c r="X33" i="13" s="1"/>
  <c r="N33" i="13"/>
  <c r="AH33" i="13"/>
  <c r="AJ33" i="13" s="1"/>
  <c r="Z39" i="13"/>
  <c r="AK41" i="13"/>
  <c r="T45" i="13"/>
  <c r="AH75" i="13"/>
  <c r="AJ75" i="13" s="1"/>
  <c r="AH78" i="13"/>
  <c r="AJ78" i="13" s="1"/>
  <c r="AG77" i="13"/>
  <c r="T84" i="13"/>
  <c r="AK84" i="13"/>
  <c r="V97" i="13"/>
  <c r="X97" i="13" s="1"/>
  <c r="N97" i="13"/>
  <c r="AK97" i="13" s="1"/>
  <c r="J96" i="13"/>
  <c r="Q97" i="13"/>
  <c r="S97" i="13" s="1"/>
  <c r="V99" i="13"/>
  <c r="X99" i="13" s="1"/>
  <c r="N99" i="13"/>
  <c r="AK99" i="13" s="1"/>
  <c r="Q99" i="13"/>
  <c r="S99" i="13" s="1"/>
  <c r="V101" i="13"/>
  <c r="X101" i="13" s="1"/>
  <c r="N101" i="13"/>
  <c r="J100" i="13"/>
  <c r="Q101" i="13"/>
  <c r="S101" i="13" s="1"/>
  <c r="AH104" i="13"/>
  <c r="AJ104" i="13" s="1"/>
  <c r="AG119" i="13"/>
  <c r="Q149" i="13"/>
  <c r="S149" i="13" s="1"/>
  <c r="T149" i="13"/>
  <c r="P148" i="13"/>
  <c r="J17" i="13"/>
  <c r="AG17" i="13"/>
  <c r="Y20" i="13"/>
  <c r="Q22" i="13"/>
  <c r="S22" i="13" s="1"/>
  <c r="V25" i="13"/>
  <c r="X25" i="13" s="1"/>
  <c r="AH32" i="13"/>
  <c r="AJ32" i="13" s="1"/>
  <c r="Q33" i="13"/>
  <c r="S33" i="13" s="1"/>
  <c r="V34" i="13"/>
  <c r="X34" i="13" s="1"/>
  <c r="Q35" i="13"/>
  <c r="S35" i="13" s="1"/>
  <c r="T35" i="13"/>
  <c r="V37" i="13"/>
  <c r="X37" i="13" s="1"/>
  <c r="AE38" i="13"/>
  <c r="AK43" i="13"/>
  <c r="Y46" i="13"/>
  <c r="AK49" i="13"/>
  <c r="AF51" i="13"/>
  <c r="AE51" i="13"/>
  <c r="N53" i="13"/>
  <c r="AK53" i="13" s="1"/>
  <c r="AH53" i="13"/>
  <c r="AJ53" i="13" s="1"/>
  <c r="AE53" i="13"/>
  <c r="AK57" i="13"/>
  <c r="AE58" i="13"/>
  <c r="AG56" i="13"/>
  <c r="AK64" i="13"/>
  <c r="AG63" i="13"/>
  <c r="AE64" i="13"/>
  <c r="AH64" i="13"/>
  <c r="AJ64" i="13" s="1"/>
  <c r="AE69" i="13"/>
  <c r="AK69" i="13"/>
  <c r="AK71" i="13"/>
  <c r="AE71" i="13"/>
  <c r="AH71" i="13"/>
  <c r="AJ71" i="13" s="1"/>
  <c r="Y74" i="13"/>
  <c r="AE79" i="13"/>
  <c r="AE81" i="13"/>
  <c r="Y87" i="13"/>
  <c r="V87" i="13"/>
  <c r="X87" i="13" s="1"/>
  <c r="U86" i="13"/>
  <c r="AG87" i="13"/>
  <c r="AK89" i="13"/>
  <c r="AE89" i="13"/>
  <c r="V98" i="13"/>
  <c r="X98" i="13" s="1"/>
  <c r="N98" i="13"/>
  <c r="AK98" i="13" s="1"/>
  <c r="Q98" i="13"/>
  <c r="S98" i="13" s="1"/>
  <c r="V102" i="13"/>
  <c r="X102" i="13" s="1"/>
  <c r="N102" i="13"/>
  <c r="AK102" i="13" s="1"/>
  <c r="Q102" i="13"/>
  <c r="S102" i="13" s="1"/>
  <c r="H115" i="13"/>
  <c r="V126" i="13"/>
  <c r="X126" i="13" s="1"/>
  <c r="N126" i="13"/>
  <c r="AK126" i="13" s="1"/>
  <c r="Q126" i="13"/>
  <c r="S126" i="13" s="1"/>
  <c r="U128" i="13"/>
  <c r="AG130" i="13"/>
  <c r="AE139" i="13"/>
  <c r="AG138" i="13"/>
  <c r="AH139" i="13"/>
  <c r="AJ139" i="13" s="1"/>
  <c r="AK139" i="13"/>
  <c r="AF35" i="13"/>
  <c r="Q40" i="13"/>
  <c r="S40" i="13" s="1"/>
  <c r="Z76" i="13"/>
  <c r="AF81" i="13"/>
  <c r="AK93" i="13"/>
  <c r="AF96" i="13"/>
  <c r="AA94" i="13"/>
  <c r="AF94" i="13" s="1"/>
  <c r="AF100" i="13"/>
  <c r="V108" i="13"/>
  <c r="X108" i="13" s="1"/>
  <c r="H107" i="13"/>
  <c r="H106" i="13" s="1"/>
  <c r="Y110" i="13"/>
  <c r="AF111" i="13"/>
  <c r="AF115" i="13"/>
  <c r="AA114" i="13"/>
  <c r="AF114" i="13" s="1"/>
  <c r="AH116" i="13"/>
  <c r="AJ116" i="13" s="1"/>
  <c r="AK116" i="13"/>
  <c r="AF119" i="13"/>
  <c r="H119" i="13"/>
  <c r="AK120" i="13"/>
  <c r="AH120" i="13"/>
  <c r="AJ120" i="13" s="1"/>
  <c r="T124" i="13"/>
  <c r="N130" i="13"/>
  <c r="T130" i="13" s="1"/>
  <c r="Y133" i="13"/>
  <c r="AK133" i="13"/>
  <c r="AH135" i="13"/>
  <c r="AJ135" i="13" s="1"/>
  <c r="AK135" i="13"/>
  <c r="AE142" i="13"/>
  <c r="AH142" i="13"/>
  <c r="AJ142" i="13" s="1"/>
  <c r="AK142" i="13"/>
  <c r="AF149" i="13"/>
  <c r="Z148" i="13"/>
  <c r="AF148" i="13" s="1"/>
  <c r="AD148" i="13"/>
  <c r="Y168" i="13"/>
  <c r="N211" i="13"/>
  <c r="V211" i="13"/>
  <c r="X211" i="13" s="1"/>
  <c r="Q211" i="13"/>
  <c r="S211" i="13" s="1"/>
  <c r="J30" i="13"/>
  <c r="Q30" i="13" s="1"/>
  <c r="S30" i="13" s="1"/>
  <c r="N32" i="13"/>
  <c r="AK32" i="13" s="1"/>
  <c r="V35" i="13"/>
  <c r="X35" i="13" s="1"/>
  <c r="V36" i="13"/>
  <c r="X36" i="13" s="1"/>
  <c r="AC39" i="13"/>
  <c r="AC28" i="13" s="1"/>
  <c r="AH40" i="13"/>
  <c r="AJ40" i="13" s="1"/>
  <c r="AH42" i="13"/>
  <c r="AJ42" i="13" s="1"/>
  <c r="AH48" i="13"/>
  <c r="AJ48" i="13" s="1"/>
  <c r="AH59" i="13"/>
  <c r="AJ59" i="13" s="1"/>
  <c r="Y61" i="13"/>
  <c r="AK68" i="13"/>
  <c r="AE68" i="13"/>
  <c r="AK73" i="13"/>
  <c r="AE73" i="13"/>
  <c r="AA77" i="13"/>
  <c r="AA76" i="13" s="1"/>
  <c r="Y82" i="13"/>
  <c r="AK82" i="13"/>
  <c r="AK83" i="13"/>
  <c r="AH83" i="13"/>
  <c r="AJ83" i="13" s="1"/>
  <c r="T87" i="13"/>
  <c r="Q87" i="13"/>
  <c r="S87" i="13" s="1"/>
  <c r="AH95" i="13"/>
  <c r="AJ95" i="13" s="1"/>
  <c r="AH97" i="13"/>
  <c r="AJ97" i="13" s="1"/>
  <c r="AH98" i="13"/>
  <c r="AJ98" i="13" s="1"/>
  <c r="AH99" i="13"/>
  <c r="AJ99" i="13" s="1"/>
  <c r="AH101" i="13"/>
  <c r="AJ101" i="13" s="1"/>
  <c r="AH102" i="13"/>
  <c r="AJ102" i="13" s="1"/>
  <c r="AH105" i="13"/>
  <c r="AJ105" i="13" s="1"/>
  <c r="AK105" i="13"/>
  <c r="Q108" i="13"/>
  <c r="S108" i="13" s="1"/>
  <c r="AK110" i="13"/>
  <c r="N111" i="13"/>
  <c r="Q111" i="13"/>
  <c r="S111" i="13" s="1"/>
  <c r="Y113" i="13"/>
  <c r="AG115" i="13"/>
  <c r="N119" i="13"/>
  <c r="J114" i="13"/>
  <c r="Q119" i="13"/>
  <c r="S119" i="13" s="1"/>
  <c r="AK122" i="13"/>
  <c r="AH122" i="13"/>
  <c r="AJ122" i="13" s="1"/>
  <c r="AH126" i="13"/>
  <c r="AJ126" i="13" s="1"/>
  <c r="J128" i="13"/>
  <c r="AG134" i="13"/>
  <c r="Q143" i="13"/>
  <c r="S143" i="13" s="1"/>
  <c r="AG91" i="13"/>
  <c r="Z108" i="13"/>
  <c r="AE118" i="13"/>
  <c r="T125" i="13"/>
  <c r="P128" i="13"/>
  <c r="T131" i="13"/>
  <c r="AF138" i="13"/>
  <c r="Z137" i="13"/>
  <c r="AF137" i="13" s="1"/>
  <c r="V139" i="13"/>
  <c r="X139" i="13" s="1"/>
  <c r="AF139" i="13"/>
  <c r="T142" i="13"/>
  <c r="Y142" i="13"/>
  <c r="V143" i="13"/>
  <c r="X143" i="13" s="1"/>
  <c r="L137" i="13"/>
  <c r="U137" i="13"/>
  <c r="AD137" i="13"/>
  <c r="AH144" i="13"/>
  <c r="AJ144" i="13" s="1"/>
  <c r="AK144" i="13"/>
  <c r="AG143" i="13"/>
  <c r="AE144" i="13"/>
  <c r="N146" i="13"/>
  <c r="M145" i="13"/>
  <c r="V149" i="13"/>
  <c r="X149" i="13" s="1"/>
  <c r="Y149" i="13"/>
  <c r="H154" i="13"/>
  <c r="P154" i="13"/>
  <c r="AD154" i="13"/>
  <c r="AK157" i="13"/>
  <c r="Q162" i="13"/>
  <c r="S162" i="13" s="1"/>
  <c r="Q163" i="13"/>
  <c r="S163" i="13" s="1"/>
  <c r="AE165" i="13"/>
  <c r="AE166" i="13"/>
  <c r="AK169" i="13"/>
  <c r="T183" i="13"/>
  <c r="Y183" i="13"/>
  <c r="V189" i="13"/>
  <c r="X189" i="13" s="1"/>
  <c r="U186" i="13"/>
  <c r="AE193" i="13"/>
  <c r="P194" i="13"/>
  <c r="AF195" i="13"/>
  <c r="Z194" i="13"/>
  <c r="AF194" i="13" s="1"/>
  <c r="AE196" i="13"/>
  <c r="AH196" i="13"/>
  <c r="AJ196" i="13" s="1"/>
  <c r="Y198" i="13"/>
  <c r="T198" i="13"/>
  <c r="AH198" i="13"/>
  <c r="AJ198" i="13" s="1"/>
  <c r="AK198" i="13"/>
  <c r="AE198" i="13"/>
  <c r="Q199" i="13"/>
  <c r="S199" i="13" s="1"/>
  <c r="N199" i="13"/>
  <c r="AK199" i="13" s="1"/>
  <c r="AH199" i="13"/>
  <c r="AJ199" i="13" s="1"/>
  <c r="AE199" i="13"/>
  <c r="AE204" i="13"/>
  <c r="V207" i="13"/>
  <c r="X207" i="13" s="1"/>
  <c r="T209" i="13"/>
  <c r="AK209" i="13"/>
  <c r="AH217" i="13"/>
  <c r="AJ217" i="13" s="1"/>
  <c r="AE217" i="13"/>
  <c r="AH219" i="13"/>
  <c r="AJ219" i="13" s="1"/>
  <c r="AE219" i="13"/>
  <c r="V220" i="13"/>
  <c r="X220" i="13" s="1"/>
  <c r="N220" i="13"/>
  <c r="AK220" i="13" s="1"/>
  <c r="AE229" i="13"/>
  <c r="AH229" i="13"/>
  <c r="AJ229" i="13" s="1"/>
  <c r="AK241" i="13"/>
  <c r="AE241" i="13"/>
  <c r="AH241" i="13"/>
  <c r="AJ241" i="13" s="1"/>
  <c r="AE147" i="13"/>
  <c r="J155" i="13"/>
  <c r="V155" i="13" s="1"/>
  <c r="X155" i="13" s="1"/>
  <c r="Y158" i="13"/>
  <c r="AG158" i="13"/>
  <c r="AE160" i="13"/>
  <c r="Z161" i="13"/>
  <c r="AF161" i="13" s="1"/>
  <c r="AH162" i="13"/>
  <c r="AJ162" i="13" s="1"/>
  <c r="AH163" i="13"/>
  <c r="AJ163" i="13" s="1"/>
  <c r="N165" i="13"/>
  <c r="AK165" i="13" s="1"/>
  <c r="N166" i="13"/>
  <c r="AK166" i="13" s="1"/>
  <c r="Z167" i="13"/>
  <c r="AF167" i="13" s="1"/>
  <c r="AH171" i="13"/>
  <c r="AJ171" i="13" s="1"/>
  <c r="AH173" i="13"/>
  <c r="AJ173" i="13" s="1"/>
  <c r="N176" i="13"/>
  <c r="Q179" i="13"/>
  <c r="S179" i="13" s="1"/>
  <c r="J178" i="13"/>
  <c r="AK179" i="13"/>
  <c r="N180" i="13"/>
  <c r="F182" i="13"/>
  <c r="F177" i="13" s="1"/>
  <c r="AE183" i="13"/>
  <c r="AH183" i="13"/>
  <c r="AJ183" i="13" s="1"/>
  <c r="N188" i="13"/>
  <c r="Y189" i="13"/>
  <c r="Q192" i="13"/>
  <c r="S192" i="13" s="1"/>
  <c r="V192" i="13"/>
  <c r="X192" i="13" s="1"/>
  <c r="N192" i="13"/>
  <c r="AH193" i="13"/>
  <c r="AJ193" i="13" s="1"/>
  <c r="AG195" i="13"/>
  <c r="V198" i="13"/>
  <c r="X198" i="13" s="1"/>
  <c r="Y201" i="13"/>
  <c r="T201" i="13"/>
  <c r="AF214" i="13"/>
  <c r="AH215" i="13"/>
  <c r="AJ215" i="13" s="1"/>
  <c r="AE215" i="13"/>
  <c r="V216" i="13"/>
  <c r="X216" i="13" s="1"/>
  <c r="N216" i="13"/>
  <c r="Q220" i="13"/>
  <c r="S220" i="13" s="1"/>
  <c r="AE228" i="13"/>
  <c r="AH228" i="13"/>
  <c r="AJ228" i="13" s="1"/>
  <c r="T184" i="13"/>
  <c r="Y184" i="13"/>
  <c r="Q189" i="13"/>
  <c r="S189" i="13" s="1"/>
  <c r="P186" i="13"/>
  <c r="AF189" i="13"/>
  <c r="Z186" i="13"/>
  <c r="Q191" i="13"/>
  <c r="S191" i="13" s="1"/>
  <c r="V191" i="13"/>
  <c r="X191" i="13" s="1"/>
  <c r="N191" i="13"/>
  <c r="U194" i="13"/>
  <c r="T200" i="13"/>
  <c r="V212" i="13"/>
  <c r="X212" i="13" s="1"/>
  <c r="N212" i="13"/>
  <c r="AK212" i="13" s="1"/>
  <c r="AK227" i="13"/>
  <c r="AE227" i="13"/>
  <c r="Q232" i="13"/>
  <c r="S232" i="13" s="1"/>
  <c r="V232" i="13"/>
  <c r="X232" i="13" s="1"/>
  <c r="N232" i="13"/>
  <c r="J231" i="13"/>
  <c r="P234" i="13"/>
  <c r="P153" i="13" s="1"/>
  <c r="V236" i="13"/>
  <c r="X236" i="13" s="1"/>
  <c r="N236" i="13"/>
  <c r="AK236" i="13" s="1"/>
  <c r="Q236" i="13"/>
  <c r="S236" i="13" s="1"/>
  <c r="Q255" i="13"/>
  <c r="V255" i="13"/>
  <c r="N255" i="13"/>
  <c r="J254" i="13"/>
  <c r="N254" i="13" s="1"/>
  <c r="AH255" i="13"/>
  <c r="N162" i="13"/>
  <c r="AK162" i="13" s="1"/>
  <c r="N163" i="13"/>
  <c r="AH169" i="13"/>
  <c r="AJ169" i="13" s="1"/>
  <c r="AK174" i="13"/>
  <c r="V176" i="13"/>
  <c r="X176" i="13" s="1"/>
  <c r="AF178" i="13"/>
  <c r="T179" i="13"/>
  <c r="V180" i="13"/>
  <c r="X180" i="13" s="1"/>
  <c r="Q181" i="13"/>
  <c r="S181" i="13" s="1"/>
  <c r="V181" i="13"/>
  <c r="X181" i="13" s="1"/>
  <c r="N181" i="13"/>
  <c r="AH181" i="13"/>
  <c r="AJ181" i="13" s="1"/>
  <c r="AE184" i="13"/>
  <c r="AH184" i="13"/>
  <c r="AJ184" i="13" s="1"/>
  <c r="J186" i="13"/>
  <c r="AE187" i="13"/>
  <c r="AH187" i="13"/>
  <c r="AJ187" i="13" s="1"/>
  <c r="T189" i="13"/>
  <c r="AG189" i="13"/>
  <c r="F195" i="13"/>
  <c r="F194" i="13" s="1"/>
  <c r="T196" i="13"/>
  <c r="AK202" i="13"/>
  <c r="Y202" i="13"/>
  <c r="J204" i="13"/>
  <c r="V204" i="13" s="1"/>
  <c r="X204" i="13" s="1"/>
  <c r="AF204" i="13"/>
  <c r="N207" i="13"/>
  <c r="AH207" i="13"/>
  <c r="AJ207" i="13" s="1"/>
  <c r="AE207" i="13"/>
  <c r="Q208" i="13"/>
  <c r="S208" i="13" s="1"/>
  <c r="N208" i="13"/>
  <c r="AK208" i="13" s="1"/>
  <c r="AH208" i="13"/>
  <c r="AJ208" i="13" s="1"/>
  <c r="AE208" i="13"/>
  <c r="AH210" i="13"/>
  <c r="AJ210" i="13" s="1"/>
  <c r="AE210" i="13"/>
  <c r="Q212" i="13"/>
  <c r="S212" i="13" s="1"/>
  <c r="J218" i="13"/>
  <c r="F227" i="13"/>
  <c r="AE230" i="13"/>
  <c r="AH230" i="13"/>
  <c r="AJ230" i="13" s="1"/>
  <c r="U234" i="13"/>
  <c r="AD234" i="13"/>
  <c r="AD153" i="13" s="1"/>
  <c r="AD10" i="13" s="1"/>
  <c r="AK239" i="13"/>
  <c r="AE239" i="13"/>
  <c r="AH239" i="13"/>
  <c r="AJ239" i="13" s="1"/>
  <c r="Q245" i="13"/>
  <c r="S245" i="13" s="1"/>
  <c r="V245" i="13"/>
  <c r="X245" i="13" s="1"/>
  <c r="N245" i="13"/>
  <c r="AK245" i="13" s="1"/>
  <c r="J244" i="13"/>
  <c r="AG251" i="13"/>
  <c r="AE252" i="13"/>
  <c r="AH252" i="13"/>
  <c r="AJ252" i="13" s="1"/>
  <c r="V190" i="13"/>
  <c r="X190" i="13" s="1"/>
  <c r="AK200" i="13"/>
  <c r="V209" i="13"/>
  <c r="X209" i="13" s="1"/>
  <c r="AH209" i="13"/>
  <c r="AJ209" i="13" s="1"/>
  <c r="AF211" i="13"/>
  <c r="AH212" i="13"/>
  <c r="AJ212" i="13" s="1"/>
  <c r="V215" i="13"/>
  <c r="X215" i="13" s="1"/>
  <c r="N215" i="13"/>
  <c r="AK215" i="13" s="1"/>
  <c r="AH216" i="13"/>
  <c r="AJ216" i="13" s="1"/>
  <c r="V217" i="13"/>
  <c r="X217" i="13" s="1"/>
  <c r="N217" i="13"/>
  <c r="V219" i="13"/>
  <c r="X219" i="13" s="1"/>
  <c r="N219" i="13"/>
  <c r="AH220" i="13"/>
  <c r="AJ220" i="13" s="1"/>
  <c r="Q223" i="13"/>
  <c r="S223" i="13" s="1"/>
  <c r="V223" i="13"/>
  <c r="X223" i="13" s="1"/>
  <c r="J222" i="13"/>
  <c r="N223" i="13"/>
  <c r="AH223" i="13"/>
  <c r="AJ223" i="13" s="1"/>
  <c r="AF235" i="13"/>
  <c r="Z234" i="13"/>
  <c r="T248" i="13"/>
  <c r="AK248" i="13"/>
  <c r="Y248" i="13"/>
  <c r="N193" i="13"/>
  <c r="AK193" i="13" s="1"/>
  <c r="AH197" i="13"/>
  <c r="AJ197" i="13" s="1"/>
  <c r="F204" i="13"/>
  <c r="F203" i="13" s="1"/>
  <c r="N205" i="13"/>
  <c r="AH206" i="13"/>
  <c r="AJ206" i="13" s="1"/>
  <c r="V210" i="13"/>
  <c r="X210" i="13" s="1"/>
  <c r="N210" i="13"/>
  <c r="L213" i="13"/>
  <c r="Q215" i="13"/>
  <c r="S215" i="13" s="1"/>
  <c r="Q217" i="13"/>
  <c r="S217" i="13" s="1"/>
  <c r="Q219" i="13"/>
  <c r="S219" i="13" s="1"/>
  <c r="T224" i="13"/>
  <c r="Y225" i="13"/>
  <c r="T225" i="13"/>
  <c r="Q233" i="13"/>
  <c r="S233" i="13" s="1"/>
  <c r="V233" i="13"/>
  <c r="X233" i="13" s="1"/>
  <c r="N233" i="13"/>
  <c r="AH233" i="13"/>
  <c r="AJ233" i="13" s="1"/>
  <c r="AA259" i="13"/>
  <c r="AF259" i="13" s="1"/>
  <c r="AF260" i="13"/>
  <c r="Z213" i="13"/>
  <c r="AF221" i="13"/>
  <c r="AH224" i="13"/>
  <c r="AJ224" i="13" s="1"/>
  <c r="V227" i="13"/>
  <c r="X227" i="13" s="1"/>
  <c r="AF237" i="13"/>
  <c r="AE238" i="13"/>
  <c r="AG237" i="13"/>
  <c r="U250" i="13"/>
  <c r="AF227" i="13"/>
  <c r="L234" i="13"/>
  <c r="AK240" i="13"/>
  <c r="AE240" i="13"/>
  <c r="AE243" i="13"/>
  <c r="AE249" i="13"/>
  <c r="AK249" i="13"/>
  <c r="AA250" i="13"/>
  <c r="V252" i="13"/>
  <c r="X252" i="13" s="1"/>
  <c r="N252" i="13"/>
  <c r="AK252" i="13" s="1"/>
  <c r="J251" i="13"/>
  <c r="Q252" i="13"/>
  <c r="S252" i="13" s="1"/>
  <c r="M256" i="13"/>
  <c r="N256" i="13" s="1"/>
  <c r="N257" i="13"/>
  <c r="AE258" i="13"/>
  <c r="AH258" i="13"/>
  <c r="AJ258" i="13" s="1"/>
  <c r="AK258" i="13"/>
  <c r="AG257" i="13"/>
  <c r="AE245" i="13"/>
  <c r="Q247" i="13"/>
  <c r="S247" i="13" s="1"/>
  <c r="V247" i="13"/>
  <c r="X247" i="13" s="1"/>
  <c r="N247" i="13"/>
  <c r="AE253" i="13"/>
  <c r="N228" i="13"/>
  <c r="N229" i="13"/>
  <c r="AK229" i="13" s="1"/>
  <c r="N230" i="13"/>
  <c r="AH236" i="13"/>
  <c r="AJ236" i="13" s="1"/>
  <c r="AF243" i="13"/>
  <c r="AG244" i="13"/>
  <c r="AF244" i="13"/>
  <c r="AH245" i="13"/>
  <c r="AJ245" i="13" s="1"/>
  <c r="T249" i="13"/>
  <c r="P250" i="13"/>
  <c r="AF251" i="13"/>
  <c r="Z250" i="13"/>
  <c r="AH253" i="13"/>
  <c r="AJ253" i="13" s="1"/>
  <c r="Q256" i="13"/>
  <c r="S256" i="13" s="1"/>
  <c r="T258" i="13"/>
  <c r="Y258" i="13"/>
  <c r="T246" i="13"/>
  <c r="N253" i="13"/>
  <c r="J11" i="11"/>
  <c r="J12" i="11"/>
  <c r="J15" i="11"/>
  <c r="J16" i="11"/>
  <c r="J21" i="11"/>
  <c r="J20" i="11" s="1"/>
  <c r="D11" i="11"/>
  <c r="E11" i="11"/>
  <c r="F11" i="11"/>
  <c r="G11" i="11"/>
  <c r="H11" i="11"/>
  <c r="D12" i="11"/>
  <c r="E12" i="11"/>
  <c r="F12" i="11"/>
  <c r="G12" i="11"/>
  <c r="H12" i="11"/>
  <c r="D15" i="11"/>
  <c r="E15" i="11"/>
  <c r="F15" i="11"/>
  <c r="G15" i="11"/>
  <c r="H15" i="11"/>
  <c r="D16" i="11"/>
  <c r="E16" i="11"/>
  <c r="F16" i="11"/>
  <c r="G16" i="11"/>
  <c r="H16" i="11"/>
  <c r="D20" i="11"/>
  <c r="D10" i="11" s="1"/>
  <c r="E20" i="11"/>
  <c r="F20" i="11"/>
  <c r="F14" i="11" s="1"/>
  <c r="G20" i="11"/>
  <c r="H21" i="11"/>
  <c r="H20" i="11" s="1"/>
  <c r="H10" i="11" s="1"/>
  <c r="C20" i="11"/>
  <c r="C10" i="11" s="1"/>
  <c r="C16" i="11"/>
  <c r="C15" i="11"/>
  <c r="C12" i="11"/>
  <c r="L153" i="13" l="1"/>
  <c r="L10" i="13" s="1"/>
  <c r="AK196" i="13"/>
  <c r="AK104" i="13"/>
  <c r="Y36" i="13"/>
  <c r="T36" i="13"/>
  <c r="H234" i="13"/>
  <c r="AH103" i="13"/>
  <c r="AJ103" i="13" s="1"/>
  <c r="H29" i="13"/>
  <c r="AB28" i="13"/>
  <c r="T90" i="13"/>
  <c r="Y241" i="13"/>
  <c r="AC152" i="13"/>
  <c r="N138" i="13"/>
  <c r="AH51" i="13"/>
  <c r="AJ51" i="13" s="1"/>
  <c r="M54" i="13"/>
  <c r="AB151" i="13"/>
  <c r="AB14" i="13" s="1"/>
  <c r="J39" i="13"/>
  <c r="AK170" i="13"/>
  <c r="AK111" i="13"/>
  <c r="AH100" i="13"/>
  <c r="AJ100" i="13" s="1"/>
  <c r="Y25" i="13"/>
  <c r="AF55" i="13"/>
  <c r="AK192" i="13"/>
  <c r="AK182" i="13"/>
  <c r="V158" i="13"/>
  <c r="X158" i="13" s="1"/>
  <c r="AH164" i="13"/>
  <c r="AJ164" i="13" s="1"/>
  <c r="V138" i="13"/>
  <c r="X138" i="13" s="1"/>
  <c r="Q158" i="13"/>
  <c r="S158" i="13" s="1"/>
  <c r="AC106" i="13"/>
  <c r="AC13" i="13" s="1"/>
  <c r="T21" i="13"/>
  <c r="Y170" i="13"/>
  <c r="Y164" i="13"/>
  <c r="Q21" i="13"/>
  <c r="S21" i="13" s="1"/>
  <c r="AG203" i="13"/>
  <c r="AG39" i="13"/>
  <c r="AH39" i="13" s="1"/>
  <c r="AJ39" i="13" s="1"/>
  <c r="AC9" i="13"/>
  <c r="AH231" i="13"/>
  <c r="AJ231" i="13" s="1"/>
  <c r="V182" i="13"/>
  <c r="X182" i="13" s="1"/>
  <c r="AD106" i="13"/>
  <c r="AD13" i="13" s="1"/>
  <c r="AK81" i="13"/>
  <c r="Y31" i="13"/>
  <c r="AF177" i="13"/>
  <c r="AK25" i="13"/>
  <c r="Q227" i="13"/>
  <c r="S227" i="13" s="1"/>
  <c r="AF213" i="13"/>
  <c r="AE211" i="13"/>
  <c r="AK175" i="13"/>
  <c r="Q164" i="13"/>
  <c r="S164" i="13" s="1"/>
  <c r="T206" i="13"/>
  <c r="L106" i="13"/>
  <c r="AE40" i="13"/>
  <c r="AE108" i="13"/>
  <c r="Y38" i="13"/>
  <c r="AH168" i="13"/>
  <c r="AJ168" i="13" s="1"/>
  <c r="J76" i="13"/>
  <c r="V76" i="13" s="1"/>
  <c r="X76" i="13" s="1"/>
  <c r="J86" i="13"/>
  <c r="AK171" i="13"/>
  <c r="L28" i="13"/>
  <c r="L15" i="13" s="1"/>
  <c r="V91" i="13"/>
  <c r="X91" i="13" s="1"/>
  <c r="AK31" i="13"/>
  <c r="Y175" i="13"/>
  <c r="AF54" i="13"/>
  <c r="L152" i="13"/>
  <c r="AE218" i="13"/>
  <c r="AH218" i="13"/>
  <c r="AJ218" i="13" s="1"/>
  <c r="AK206" i="13"/>
  <c r="AH192" i="13"/>
  <c r="AJ192" i="13" s="1"/>
  <c r="AH227" i="13"/>
  <c r="AJ227" i="13" s="1"/>
  <c r="AE192" i="13"/>
  <c r="Y187" i="13"/>
  <c r="Y197" i="13"/>
  <c r="Q195" i="13"/>
  <c r="S195" i="13" s="1"/>
  <c r="T138" i="13"/>
  <c r="T81" i="13"/>
  <c r="H55" i="13"/>
  <c r="H54" i="13" s="1"/>
  <c r="Y21" i="13"/>
  <c r="Y227" i="13"/>
  <c r="Q91" i="13"/>
  <c r="S91" i="13" s="1"/>
  <c r="O106" i="13"/>
  <c r="O13" i="13" s="1"/>
  <c r="AK246" i="13"/>
  <c r="Q182" i="13"/>
  <c r="S182" i="13" s="1"/>
  <c r="AF203" i="13"/>
  <c r="Y172" i="13"/>
  <c r="T182" i="13"/>
  <c r="J56" i="13"/>
  <c r="AH56" i="13" s="1"/>
  <c r="AJ56" i="13" s="1"/>
  <c r="N51" i="13"/>
  <c r="AK51" i="13" s="1"/>
  <c r="O152" i="13"/>
  <c r="O9" i="13" s="1"/>
  <c r="O15" i="13"/>
  <c r="O8" i="13" s="1"/>
  <c r="H28" i="13"/>
  <c r="AK224" i="13"/>
  <c r="H213" i="13"/>
  <c r="AG186" i="13"/>
  <c r="AE186" i="13" s="1"/>
  <c r="AH182" i="13"/>
  <c r="AJ182" i="13" s="1"/>
  <c r="Y174" i="13"/>
  <c r="AH211" i="13"/>
  <c r="AJ211" i="13" s="1"/>
  <c r="Y182" i="13"/>
  <c r="AK211" i="13"/>
  <c r="AC151" i="13"/>
  <c r="AC14" i="13" s="1"/>
  <c r="AK40" i="13"/>
  <c r="Q51" i="13"/>
  <c r="S51" i="13" s="1"/>
  <c r="AH111" i="13"/>
  <c r="AJ111" i="13" s="1"/>
  <c r="T72" i="13"/>
  <c r="H194" i="13"/>
  <c r="H185" i="13" s="1"/>
  <c r="AB152" i="13"/>
  <c r="AB9" i="13" s="1"/>
  <c r="AK172" i="13"/>
  <c r="Y95" i="13"/>
  <c r="Y40" i="13"/>
  <c r="AH178" i="13"/>
  <c r="AJ178" i="13" s="1"/>
  <c r="AB15" i="13"/>
  <c r="M152" i="13"/>
  <c r="O12" i="13"/>
  <c r="H153" i="13"/>
  <c r="H10" i="13" s="1"/>
  <c r="O151" i="13"/>
  <c r="O14" i="13" s="1"/>
  <c r="T195" i="13"/>
  <c r="Y195" i="13"/>
  <c r="T75" i="13"/>
  <c r="Y75" i="13"/>
  <c r="AA151" i="13"/>
  <c r="AA14" i="13" s="1"/>
  <c r="F154" i="13"/>
  <c r="V168" i="13"/>
  <c r="X168" i="13" s="1"/>
  <c r="N58" i="13"/>
  <c r="AK58" i="13" s="1"/>
  <c r="T159" i="13"/>
  <c r="Y159" i="13"/>
  <c r="Q237" i="13"/>
  <c r="S237" i="13" s="1"/>
  <c r="V237" i="13"/>
  <c r="X237" i="13" s="1"/>
  <c r="N237" i="13"/>
  <c r="V195" i="13"/>
  <c r="X195" i="13" s="1"/>
  <c r="T187" i="13"/>
  <c r="T238" i="13"/>
  <c r="J194" i="13"/>
  <c r="N194" i="13" s="1"/>
  <c r="Q168" i="13"/>
  <c r="S168" i="13" s="1"/>
  <c r="AE164" i="13"/>
  <c r="AG161" i="13"/>
  <c r="AK95" i="13"/>
  <c r="AC15" i="13"/>
  <c r="AC8" i="13" s="1"/>
  <c r="AC6" i="13" s="1"/>
  <c r="M151" i="13"/>
  <c r="M14" i="13" s="1"/>
  <c r="AE78" i="13"/>
  <c r="V58" i="13"/>
  <c r="X58" i="13" s="1"/>
  <c r="T38" i="13"/>
  <c r="AK75" i="13"/>
  <c r="Y160" i="13"/>
  <c r="T160" i="13"/>
  <c r="Z85" i="13"/>
  <c r="AF86" i="13"/>
  <c r="T79" i="13"/>
  <c r="Y79" i="13"/>
  <c r="AH260" i="13"/>
  <c r="AJ260" i="13" s="1"/>
  <c r="AE260" i="13"/>
  <c r="AG259" i="13"/>
  <c r="AK197" i="13"/>
  <c r="T139" i="13"/>
  <c r="Q39" i="13"/>
  <c r="S39" i="13" s="1"/>
  <c r="Y261" i="13"/>
  <c r="T261" i="13"/>
  <c r="Y242" i="13"/>
  <c r="T242" i="13"/>
  <c r="AH149" i="13"/>
  <c r="AJ149" i="13" s="1"/>
  <c r="AG148" i="13"/>
  <c r="AH148" i="13" s="1"/>
  <c r="AJ148" i="13" s="1"/>
  <c r="U16" i="13"/>
  <c r="Y238" i="13"/>
  <c r="Y130" i="13"/>
  <c r="Q58" i="13"/>
  <c r="S58" i="13" s="1"/>
  <c r="F15" i="13"/>
  <c r="F12" i="13" s="1"/>
  <c r="AK168" i="13"/>
  <c r="AE178" i="13"/>
  <c r="AG177" i="13"/>
  <c r="AE177" i="13" s="1"/>
  <c r="F234" i="13"/>
  <c r="F153" i="13" s="1"/>
  <c r="F10" i="13" s="1"/>
  <c r="AK242" i="13"/>
  <c r="L151" i="13"/>
  <c r="L14" i="13" s="1"/>
  <c r="F213" i="13"/>
  <c r="AK164" i="13"/>
  <c r="J167" i="13"/>
  <c r="N167" i="13" s="1"/>
  <c r="Y167" i="13" s="1"/>
  <c r="V164" i="13"/>
  <c r="X164" i="13" s="1"/>
  <c r="J161" i="13"/>
  <c r="N161" i="13" s="1"/>
  <c r="AG94" i="13"/>
  <c r="AE94" i="13" s="1"/>
  <c r="AF77" i="13"/>
  <c r="N78" i="13"/>
  <c r="Y78" i="13" s="1"/>
  <c r="Y90" i="13"/>
  <c r="H15" i="13"/>
  <c r="H8" i="13" s="1"/>
  <c r="M107" i="13"/>
  <c r="N77" i="13"/>
  <c r="Y77" i="13" s="1"/>
  <c r="T156" i="13"/>
  <c r="Y156" i="13"/>
  <c r="J259" i="13"/>
  <c r="N260" i="13"/>
  <c r="V260" i="13"/>
  <c r="X260" i="13" s="1"/>
  <c r="Q260" i="13"/>
  <c r="S260" i="13" s="1"/>
  <c r="AK149" i="13"/>
  <c r="AE222" i="13"/>
  <c r="AG221" i="13"/>
  <c r="AE221" i="13" s="1"/>
  <c r="Q138" i="13"/>
  <c r="S138" i="13" s="1"/>
  <c r="M39" i="13"/>
  <c r="M28" i="13" s="1"/>
  <c r="H18" i="11"/>
  <c r="D18" i="11"/>
  <c r="AC12" i="13"/>
  <c r="P10" i="13"/>
  <c r="T253" i="13"/>
  <c r="Y253" i="13"/>
  <c r="T230" i="13"/>
  <c r="Y230" i="13"/>
  <c r="Y257" i="13"/>
  <c r="T257" i="13"/>
  <c r="AF234" i="13"/>
  <c r="Z153" i="13"/>
  <c r="Y217" i="13"/>
  <c r="T217" i="13"/>
  <c r="Q244" i="13"/>
  <c r="S244" i="13" s="1"/>
  <c r="V244" i="13"/>
  <c r="X244" i="13" s="1"/>
  <c r="N244" i="13"/>
  <c r="AK244" i="13" s="1"/>
  <c r="J243" i="13"/>
  <c r="J234" i="13" s="1"/>
  <c r="Y207" i="13"/>
  <c r="T207" i="13"/>
  <c r="N186" i="13"/>
  <c r="Y186" i="13" s="1"/>
  <c r="T163" i="13"/>
  <c r="Y163" i="13"/>
  <c r="Y216" i="13"/>
  <c r="T216" i="13"/>
  <c r="AE158" i="13"/>
  <c r="AH158" i="13"/>
  <c r="AJ158" i="13" s="1"/>
  <c r="AK158" i="13"/>
  <c r="Y146" i="13"/>
  <c r="T146" i="13"/>
  <c r="AK146" i="13"/>
  <c r="AE244" i="13"/>
  <c r="AH244" i="13"/>
  <c r="AJ244" i="13" s="1"/>
  <c r="T228" i="13"/>
  <c r="Y228" i="13"/>
  <c r="Y247" i="13"/>
  <c r="T247" i="13"/>
  <c r="AK237" i="13"/>
  <c r="AH237" i="13"/>
  <c r="AJ237" i="13" s="1"/>
  <c r="AE237" i="13"/>
  <c r="Y205" i="13"/>
  <c r="T205" i="13"/>
  <c r="AK205" i="13"/>
  <c r="Y219" i="13"/>
  <c r="T219" i="13"/>
  <c r="AK216" i="13"/>
  <c r="AE251" i="13"/>
  <c r="AG250" i="13"/>
  <c r="AH251" i="13"/>
  <c r="AJ251" i="13" s="1"/>
  <c r="AK207" i="13"/>
  <c r="AH254" i="13"/>
  <c r="AJ255" i="13"/>
  <c r="AJ254" i="13" s="1"/>
  <c r="Q254" i="13"/>
  <c r="S255" i="13"/>
  <c r="S254" i="13" s="1"/>
  <c r="Q231" i="13"/>
  <c r="S231" i="13" s="1"/>
  <c r="V231" i="13"/>
  <c r="X231" i="13" s="1"/>
  <c r="N231" i="13"/>
  <c r="Y194" i="13"/>
  <c r="Q186" i="13"/>
  <c r="S186" i="13" s="1"/>
  <c r="P185" i="13"/>
  <c r="P152" i="13" s="1"/>
  <c r="AK228" i="13"/>
  <c r="AE214" i="13"/>
  <c r="T192" i="13"/>
  <c r="Y192" i="13"/>
  <c r="Y188" i="13"/>
  <c r="T188" i="13"/>
  <c r="AK188" i="13"/>
  <c r="AK219" i="13"/>
  <c r="V186" i="13"/>
  <c r="X186" i="13" s="1"/>
  <c r="U185" i="13"/>
  <c r="U152" i="13" s="1"/>
  <c r="AE143" i="13"/>
  <c r="AH143" i="13"/>
  <c r="AJ143" i="13" s="1"/>
  <c r="V137" i="13"/>
  <c r="X137" i="13" s="1"/>
  <c r="AA152" i="13"/>
  <c r="AF108" i="13"/>
  <c r="Z107" i="13"/>
  <c r="AK163" i="13"/>
  <c r="Y108" i="13"/>
  <c r="T108" i="13"/>
  <c r="AK138" i="13"/>
  <c r="AH138" i="13"/>
  <c r="AJ138" i="13" s="1"/>
  <c r="AE138" i="13"/>
  <c r="AG137" i="13"/>
  <c r="U127" i="13"/>
  <c r="V128" i="13"/>
  <c r="X128" i="13" s="1"/>
  <c r="Y102" i="13"/>
  <c r="T102" i="13"/>
  <c r="V86" i="13"/>
  <c r="X86" i="13" s="1"/>
  <c r="U85" i="13"/>
  <c r="J16" i="13"/>
  <c r="V17" i="13"/>
  <c r="X17" i="13" s="1"/>
  <c r="N17" i="13"/>
  <c r="Q17" i="13"/>
  <c r="S17" i="13" s="1"/>
  <c r="AH119" i="13"/>
  <c r="AJ119" i="13" s="1"/>
  <c r="AK119" i="13"/>
  <c r="AE119" i="13"/>
  <c r="Y101" i="13"/>
  <c r="T101" i="13"/>
  <c r="AF39" i="13"/>
  <c r="Z28" i="13"/>
  <c r="AH30" i="13"/>
  <c r="AJ30" i="13" s="1"/>
  <c r="AG29" i="13"/>
  <c r="AE30" i="13"/>
  <c r="AK108" i="13"/>
  <c r="AK124" i="13"/>
  <c r="AE124" i="13"/>
  <c r="AK35" i="13"/>
  <c r="AE35" i="13"/>
  <c r="AH35" i="13"/>
  <c r="AJ35" i="13" s="1"/>
  <c r="AK22" i="13"/>
  <c r="AH22" i="13"/>
  <c r="AJ22" i="13" s="1"/>
  <c r="AE22" i="13"/>
  <c r="AG21" i="13"/>
  <c r="AG16" i="13" s="1"/>
  <c r="V39" i="13"/>
  <c r="X39" i="13" s="1"/>
  <c r="AA107" i="13"/>
  <c r="AF250" i="13"/>
  <c r="AG235" i="13"/>
  <c r="N251" i="13"/>
  <c r="J250" i="13"/>
  <c r="N250" i="13" s="1"/>
  <c r="T250" i="13" s="1"/>
  <c r="Q251" i="13"/>
  <c r="S251" i="13" s="1"/>
  <c r="V251" i="13"/>
  <c r="X251" i="13" s="1"/>
  <c r="Y210" i="13"/>
  <c r="T210" i="13"/>
  <c r="T193" i="13"/>
  <c r="Y193" i="13"/>
  <c r="Y223" i="13"/>
  <c r="AK223" i="13"/>
  <c r="T223" i="13"/>
  <c r="N218" i="13"/>
  <c r="Q218" i="13"/>
  <c r="S218" i="13" s="1"/>
  <c r="V218" i="13"/>
  <c r="X218" i="13" s="1"/>
  <c r="AK210" i="13"/>
  <c r="Y208" i="13"/>
  <c r="T208" i="13"/>
  <c r="J203" i="13"/>
  <c r="N204" i="13"/>
  <c r="AK189" i="13"/>
  <c r="AE189" i="13"/>
  <c r="AH189" i="13"/>
  <c r="AJ189" i="13" s="1"/>
  <c r="F185" i="13"/>
  <c r="AK181" i="13"/>
  <c r="Y181" i="13"/>
  <c r="T181" i="13"/>
  <c r="Y254" i="13"/>
  <c r="T254" i="13"/>
  <c r="AK254" i="13"/>
  <c r="N235" i="13"/>
  <c r="Q235" i="13"/>
  <c r="S235" i="13" s="1"/>
  <c r="AK232" i="13"/>
  <c r="T232" i="13"/>
  <c r="Y232" i="13"/>
  <c r="Q204" i="13"/>
  <c r="S204" i="13" s="1"/>
  <c r="J214" i="13"/>
  <c r="AH214" i="13" s="1"/>
  <c r="AJ214" i="13" s="1"/>
  <c r="AH204" i="13"/>
  <c r="AJ204" i="13" s="1"/>
  <c r="AK195" i="13"/>
  <c r="AE195" i="13"/>
  <c r="AG194" i="13"/>
  <c r="AH195" i="13"/>
  <c r="AJ195" i="13" s="1"/>
  <c r="Y180" i="13"/>
  <c r="T180" i="13"/>
  <c r="AK180" i="13"/>
  <c r="Y166" i="13"/>
  <c r="T166" i="13"/>
  <c r="Y220" i="13"/>
  <c r="T220" i="13"/>
  <c r="M143" i="13"/>
  <c r="N145" i="13"/>
  <c r="Y138" i="13"/>
  <c r="Q128" i="13"/>
  <c r="S128" i="13" s="1"/>
  <c r="P127" i="13"/>
  <c r="AE91" i="13"/>
  <c r="AK91" i="13"/>
  <c r="AH91" i="13"/>
  <c r="AJ91" i="13" s="1"/>
  <c r="N114" i="13"/>
  <c r="T114" i="13" s="1"/>
  <c r="J107" i="13"/>
  <c r="AK101" i="13"/>
  <c r="Q167" i="13"/>
  <c r="S167" i="13" s="1"/>
  <c r="AA85" i="13"/>
  <c r="AE56" i="13"/>
  <c r="AG55" i="13"/>
  <c r="Y53" i="13"/>
  <c r="T53" i="13"/>
  <c r="Q148" i="13"/>
  <c r="S148" i="13" s="1"/>
  <c r="T148" i="13"/>
  <c r="AE77" i="13"/>
  <c r="AG76" i="13"/>
  <c r="AH77" i="13"/>
  <c r="AJ77" i="13" s="1"/>
  <c r="Q114" i="13"/>
  <c r="S114" i="13" s="1"/>
  <c r="N103" i="13"/>
  <c r="Q103" i="13"/>
  <c r="S103" i="13" s="1"/>
  <c r="V103" i="13"/>
  <c r="X103" i="13" s="1"/>
  <c r="U28" i="13"/>
  <c r="AD8" i="13"/>
  <c r="AD12" i="13"/>
  <c r="U107" i="13"/>
  <c r="V114" i="13"/>
  <c r="X114" i="13" s="1"/>
  <c r="AK45" i="13"/>
  <c r="AE45" i="13"/>
  <c r="P28" i="13"/>
  <c r="AF16" i="13"/>
  <c r="T77" i="13"/>
  <c r="AE257" i="13"/>
  <c r="AH257" i="13"/>
  <c r="AJ257" i="13" s="1"/>
  <c r="AK257" i="13"/>
  <c r="AG256" i="13"/>
  <c r="T252" i="13"/>
  <c r="Y252" i="13"/>
  <c r="AK233" i="13"/>
  <c r="Y233" i="13"/>
  <c r="T233" i="13"/>
  <c r="V222" i="13"/>
  <c r="X222" i="13" s="1"/>
  <c r="Q222" i="13"/>
  <c r="S222" i="13" s="1"/>
  <c r="N222" i="13"/>
  <c r="J221" i="13"/>
  <c r="Y215" i="13"/>
  <c r="T215" i="13"/>
  <c r="AK255" i="13"/>
  <c r="T255" i="13"/>
  <c r="Y255" i="13"/>
  <c r="AF186" i="13"/>
  <c r="Z185" i="13"/>
  <c r="AE203" i="13"/>
  <c r="V161" i="13"/>
  <c r="X161" i="13" s="1"/>
  <c r="Q161" i="13"/>
  <c r="S161" i="13" s="1"/>
  <c r="AD152" i="13"/>
  <c r="AD9" i="13" s="1"/>
  <c r="AD151" i="13"/>
  <c r="AD14" i="13" s="1"/>
  <c r="Q137" i="13"/>
  <c r="S137" i="13" s="1"/>
  <c r="AK134" i="13"/>
  <c r="AH134" i="13"/>
  <c r="AJ134" i="13" s="1"/>
  <c r="AE134" i="13"/>
  <c r="T119" i="13"/>
  <c r="Y119" i="13"/>
  <c r="T111" i="13"/>
  <c r="Y111" i="13"/>
  <c r="T32" i="13"/>
  <c r="Y32" i="13"/>
  <c r="T211" i="13"/>
  <c r="Y211" i="13"/>
  <c r="G106" i="13"/>
  <c r="H13" i="13"/>
  <c r="AE39" i="13"/>
  <c r="AK130" i="13"/>
  <c r="AG128" i="13"/>
  <c r="AE130" i="13"/>
  <c r="Y126" i="13"/>
  <c r="T126" i="13"/>
  <c r="N96" i="13"/>
  <c r="J94" i="13"/>
  <c r="V96" i="13"/>
  <c r="X96" i="13" s="1"/>
  <c r="Q96" i="13"/>
  <c r="S96" i="13" s="1"/>
  <c r="N56" i="13"/>
  <c r="AK56" i="13" s="1"/>
  <c r="V56" i="13"/>
  <c r="X56" i="13" s="1"/>
  <c r="AK33" i="13"/>
  <c r="T33" i="13"/>
  <c r="Y33" i="13"/>
  <c r="Q107" i="13"/>
  <c r="S107" i="13" s="1"/>
  <c r="Y34" i="13"/>
  <c r="AK34" i="13"/>
  <c r="T34" i="13"/>
  <c r="AF128" i="13"/>
  <c r="AA127" i="13"/>
  <c r="AF127" i="13" s="1"/>
  <c r="Y37" i="13"/>
  <c r="T37" i="13"/>
  <c r="V65" i="13"/>
  <c r="X65" i="13" s="1"/>
  <c r="N65" i="13"/>
  <c r="J63" i="13"/>
  <c r="Q65" i="13"/>
  <c r="S65" i="13" s="1"/>
  <c r="AK167" i="13"/>
  <c r="AE167" i="13"/>
  <c r="P54" i="13"/>
  <c r="T229" i="13"/>
  <c r="Y229" i="13"/>
  <c r="AK253" i="13"/>
  <c r="Y256" i="13"/>
  <c r="T256" i="13"/>
  <c r="AH222" i="13"/>
  <c r="AJ222" i="13" s="1"/>
  <c r="AK247" i="13"/>
  <c r="Y245" i="13"/>
  <c r="T245" i="13"/>
  <c r="U153" i="13"/>
  <c r="AK230" i="13"/>
  <c r="T162" i="13"/>
  <c r="Y162" i="13"/>
  <c r="X255" i="13"/>
  <c r="V254" i="13"/>
  <c r="X254" i="13" s="1"/>
  <c r="Y236" i="13"/>
  <c r="T236" i="13"/>
  <c r="Y212" i="13"/>
  <c r="T212" i="13"/>
  <c r="AK191" i="13"/>
  <c r="Y191" i="13"/>
  <c r="T191" i="13"/>
  <c r="V178" i="13"/>
  <c r="X178" i="13" s="1"/>
  <c r="N178" i="13"/>
  <c r="J177" i="13"/>
  <c r="Q178" i="13"/>
  <c r="S178" i="13" s="1"/>
  <c r="Y176" i="13"/>
  <c r="T176" i="13"/>
  <c r="AK176" i="13"/>
  <c r="Y165" i="13"/>
  <c r="T165" i="13"/>
  <c r="AH155" i="13"/>
  <c r="AJ155" i="13" s="1"/>
  <c r="N155" i="13"/>
  <c r="AK217" i="13"/>
  <c r="Y199" i="13"/>
  <c r="T199" i="13"/>
  <c r="T194" i="13"/>
  <c r="Z154" i="13"/>
  <c r="N128" i="13"/>
  <c r="T128" i="13" s="1"/>
  <c r="J127" i="13"/>
  <c r="N127" i="13" s="1"/>
  <c r="AK115" i="13"/>
  <c r="AG114" i="13"/>
  <c r="AH115" i="13"/>
  <c r="AJ115" i="13" s="1"/>
  <c r="AE115" i="13"/>
  <c r="AH96" i="13"/>
  <c r="AJ96" i="13" s="1"/>
  <c r="N30" i="13"/>
  <c r="J29" i="13"/>
  <c r="Q29" i="13" s="1"/>
  <c r="S29" i="13" s="1"/>
  <c r="AK186" i="13"/>
  <c r="AF76" i="13"/>
  <c r="Y98" i="13"/>
  <c r="T98" i="13"/>
  <c r="AE87" i="13"/>
  <c r="AG86" i="13"/>
  <c r="AK87" i="13"/>
  <c r="AH87" i="13"/>
  <c r="AJ87" i="13" s="1"/>
  <c r="AE63" i="13"/>
  <c r="AH63" i="13"/>
  <c r="AJ63" i="13" s="1"/>
  <c r="AH17" i="13"/>
  <c r="AJ17" i="13" s="1"/>
  <c r="AE17" i="13"/>
  <c r="AK17" i="13"/>
  <c r="N100" i="13"/>
  <c r="V100" i="13"/>
  <c r="X100" i="13" s="1"/>
  <c r="Q100" i="13"/>
  <c r="S100" i="13" s="1"/>
  <c r="Y99" i="13"/>
  <c r="T99" i="13"/>
  <c r="Y97" i="13"/>
  <c r="T97" i="13"/>
  <c r="T58" i="13"/>
  <c r="V30" i="13"/>
  <c r="X30" i="13" s="1"/>
  <c r="T104" i="13"/>
  <c r="Y104" i="13"/>
  <c r="T51" i="13"/>
  <c r="AK37" i="13"/>
  <c r="T115" i="13"/>
  <c r="Y115" i="13"/>
  <c r="Q155" i="13"/>
  <c r="S155" i="13" s="1"/>
  <c r="AH72" i="13"/>
  <c r="AJ72" i="13" s="1"/>
  <c r="AK72" i="13"/>
  <c r="AE72" i="13"/>
  <c r="J14" i="11"/>
  <c r="J10" i="11"/>
  <c r="J18" i="11" s="1"/>
  <c r="C18" i="11"/>
  <c r="C14" i="11"/>
  <c r="E14" i="11"/>
  <c r="E10" i="11"/>
  <c r="E18" i="11" s="1"/>
  <c r="G14" i="11"/>
  <c r="G10" i="11"/>
  <c r="H14" i="11"/>
  <c r="D14" i="11"/>
  <c r="F10" i="11"/>
  <c r="N76" i="13" l="1"/>
  <c r="Y76" i="13" s="1"/>
  <c r="AF85" i="13"/>
  <c r="M15" i="13"/>
  <c r="M8" i="13" s="1"/>
  <c r="Q76" i="13"/>
  <c r="S76" i="13" s="1"/>
  <c r="L9" i="13"/>
  <c r="J185" i="13"/>
  <c r="N185" i="13" s="1"/>
  <c r="AH186" i="13"/>
  <c r="AJ186" i="13" s="1"/>
  <c r="P151" i="13"/>
  <c r="T186" i="13"/>
  <c r="Y250" i="13"/>
  <c r="AH161" i="13"/>
  <c r="AJ161" i="13" s="1"/>
  <c r="F152" i="13"/>
  <c r="F9" i="13" s="1"/>
  <c r="AG154" i="13"/>
  <c r="Y51" i="13"/>
  <c r="H12" i="13"/>
  <c r="T167" i="13"/>
  <c r="V167" i="13"/>
  <c r="X167" i="13" s="1"/>
  <c r="O6" i="13"/>
  <c r="L13" i="13"/>
  <c r="AH167" i="13"/>
  <c r="AJ167" i="13" s="1"/>
  <c r="J55" i="13"/>
  <c r="Q55" i="13" s="1"/>
  <c r="S55" i="13" s="1"/>
  <c r="Q56" i="13"/>
  <c r="S56" i="13" s="1"/>
  <c r="N86" i="13"/>
  <c r="Q86" i="13"/>
  <c r="S86" i="13" s="1"/>
  <c r="H152" i="13"/>
  <c r="H9" i="13" s="1"/>
  <c r="H6" i="13" s="1"/>
  <c r="H151" i="13"/>
  <c r="H14" i="13" s="1"/>
  <c r="AK148" i="13"/>
  <c r="AE148" i="13"/>
  <c r="F8" i="13"/>
  <c r="AB8" i="13"/>
  <c r="AB6" i="13" s="1"/>
  <c r="AB12" i="13"/>
  <c r="AK161" i="13"/>
  <c r="L12" i="13"/>
  <c r="L8" i="13"/>
  <c r="Y237" i="13"/>
  <c r="T237" i="13"/>
  <c r="AH259" i="13"/>
  <c r="AJ259" i="13" s="1"/>
  <c r="AE259" i="13"/>
  <c r="AK78" i="13"/>
  <c r="T78" i="13"/>
  <c r="J154" i="13"/>
  <c r="AH154" i="13" s="1"/>
  <c r="AJ154" i="13" s="1"/>
  <c r="AK77" i="13"/>
  <c r="AE161" i="13"/>
  <c r="AA106" i="13"/>
  <c r="AA13" i="13" s="1"/>
  <c r="AG213" i="13"/>
  <c r="AE213" i="13" s="1"/>
  <c r="L6" i="13"/>
  <c r="F151" i="13"/>
  <c r="F14" i="13" s="1"/>
  <c r="N259" i="13"/>
  <c r="AK259" i="13" s="1"/>
  <c r="V259" i="13"/>
  <c r="X259" i="13" s="1"/>
  <c r="Q259" i="13"/>
  <c r="S259" i="13" s="1"/>
  <c r="AM259" i="13"/>
  <c r="AO259" i="13" s="1"/>
  <c r="Y260" i="13"/>
  <c r="AK260" i="13"/>
  <c r="T260" i="13"/>
  <c r="Y58" i="13"/>
  <c r="Q194" i="13"/>
  <c r="S194" i="13" s="1"/>
  <c r="AH94" i="13"/>
  <c r="AJ94" i="13" s="1"/>
  <c r="AD6" i="13"/>
  <c r="Y128" i="13"/>
  <c r="V194" i="13"/>
  <c r="X194" i="13" s="1"/>
  <c r="N39" i="13"/>
  <c r="G18" i="11"/>
  <c r="F18" i="11"/>
  <c r="N234" i="13"/>
  <c r="Q234" i="13"/>
  <c r="S234" i="13" s="1"/>
  <c r="V234" i="13"/>
  <c r="X234" i="13" s="1"/>
  <c r="AF154" i="13"/>
  <c r="Z152" i="13"/>
  <c r="AF152" i="13" s="1"/>
  <c r="Z151" i="13"/>
  <c r="AE256" i="13"/>
  <c r="AH256" i="13"/>
  <c r="AJ256" i="13" s="1"/>
  <c r="AK256" i="13"/>
  <c r="Q127" i="13"/>
  <c r="S127" i="13" s="1"/>
  <c r="T127" i="13"/>
  <c r="N203" i="13"/>
  <c r="V203" i="13"/>
  <c r="X203" i="13" s="1"/>
  <c r="J153" i="13"/>
  <c r="V153" i="13" s="1"/>
  <c r="X153" i="13" s="1"/>
  <c r="Q203" i="13"/>
  <c r="S203" i="13" s="1"/>
  <c r="Y185" i="13"/>
  <c r="V185" i="13"/>
  <c r="X185" i="13" s="1"/>
  <c r="AH16" i="13"/>
  <c r="AJ16" i="13" s="1"/>
  <c r="AE16" i="13"/>
  <c r="AE86" i="13"/>
  <c r="AG85" i="13"/>
  <c r="AK86" i="13"/>
  <c r="AH86" i="13"/>
  <c r="AJ86" i="13" s="1"/>
  <c r="N55" i="13"/>
  <c r="AK55" i="13" s="1"/>
  <c r="J54" i="13"/>
  <c r="Q54" i="13" s="1"/>
  <c r="S54" i="13" s="1"/>
  <c r="V55" i="13"/>
  <c r="X55" i="13" s="1"/>
  <c r="T30" i="13"/>
  <c r="Y30" i="13"/>
  <c r="AE114" i="13"/>
  <c r="AH114" i="13"/>
  <c r="AJ114" i="13" s="1"/>
  <c r="AK114" i="13"/>
  <c r="AG107" i="13"/>
  <c r="AK155" i="13"/>
  <c r="T155" i="13"/>
  <c r="Y155" i="13"/>
  <c r="U10" i="13"/>
  <c r="T76" i="13"/>
  <c r="N63" i="13"/>
  <c r="V63" i="13"/>
  <c r="X63" i="13" s="1"/>
  <c r="Q63" i="13"/>
  <c r="S63" i="13" s="1"/>
  <c r="Y222" i="13"/>
  <c r="T222" i="13"/>
  <c r="AK222" i="13"/>
  <c r="P15" i="13"/>
  <c r="Y114" i="13"/>
  <c r="V29" i="13"/>
  <c r="X29" i="13" s="1"/>
  <c r="Y103" i="13"/>
  <c r="T103" i="13"/>
  <c r="AK103" i="13"/>
  <c r="P14" i="13"/>
  <c r="Y218" i="13"/>
  <c r="T218" i="13"/>
  <c r="AK218" i="13"/>
  <c r="AK235" i="13"/>
  <c r="AE235" i="13"/>
  <c r="AG234" i="13"/>
  <c r="AH235" i="13"/>
  <c r="AJ235" i="13" s="1"/>
  <c r="AE137" i="13"/>
  <c r="AH137" i="13"/>
  <c r="AJ137" i="13" s="1"/>
  <c r="AF107" i="13"/>
  <c r="Z106" i="13"/>
  <c r="Y231" i="13"/>
  <c r="T231" i="13"/>
  <c r="AK231" i="13"/>
  <c r="Y244" i="13"/>
  <c r="T244" i="13"/>
  <c r="Y100" i="13"/>
  <c r="T100" i="13"/>
  <c r="AK100" i="13"/>
  <c r="N177" i="13"/>
  <c r="AH177" i="13"/>
  <c r="AJ177" i="13" s="1"/>
  <c r="Q177" i="13"/>
  <c r="S177" i="13" s="1"/>
  <c r="V177" i="13"/>
  <c r="X177" i="13" s="1"/>
  <c r="Q250" i="13"/>
  <c r="S250" i="13" s="1"/>
  <c r="Y65" i="13"/>
  <c r="T65" i="13"/>
  <c r="AK65" i="13"/>
  <c r="Y56" i="13"/>
  <c r="T56" i="13"/>
  <c r="AK128" i="13"/>
  <c r="AH128" i="13"/>
  <c r="AJ128" i="13" s="1"/>
  <c r="AG127" i="13"/>
  <c r="AE128" i="13"/>
  <c r="Y161" i="13"/>
  <c r="T161" i="13"/>
  <c r="N107" i="13"/>
  <c r="T107" i="13" s="1"/>
  <c r="J106" i="13"/>
  <c r="Y204" i="13"/>
  <c r="AK204" i="13"/>
  <c r="T204" i="13"/>
  <c r="AK21" i="13"/>
  <c r="AH21" i="13"/>
  <c r="AJ21" i="13" s="1"/>
  <c r="AE21" i="13"/>
  <c r="AF28" i="13"/>
  <c r="Z15" i="13"/>
  <c r="Y17" i="13"/>
  <c r="T17" i="13"/>
  <c r="U151" i="13"/>
  <c r="AE250" i="13"/>
  <c r="AH250" i="13"/>
  <c r="AJ250" i="13" s="1"/>
  <c r="AK250" i="13"/>
  <c r="AE154" i="13"/>
  <c r="AF153" i="13"/>
  <c r="Z10" i="13"/>
  <c r="Y178" i="13"/>
  <c r="T178" i="13"/>
  <c r="AK178" i="13"/>
  <c r="N94" i="13"/>
  <c r="V94" i="13"/>
  <c r="X94" i="13" s="1"/>
  <c r="J85" i="13"/>
  <c r="V85" i="13" s="1"/>
  <c r="X85" i="13" s="1"/>
  <c r="Q94" i="13"/>
  <c r="S94" i="13" s="1"/>
  <c r="AG185" i="13"/>
  <c r="AF185" i="13"/>
  <c r="AH55" i="13"/>
  <c r="AJ55" i="13" s="1"/>
  <c r="AG54" i="13"/>
  <c r="AE55" i="13"/>
  <c r="Y145" i="13"/>
  <c r="T145" i="13"/>
  <c r="AK145" i="13"/>
  <c r="T235" i="13"/>
  <c r="Y235" i="13"/>
  <c r="AE29" i="13"/>
  <c r="AH29" i="13"/>
  <c r="AJ29" i="13" s="1"/>
  <c r="AG28" i="13"/>
  <c r="N29" i="13"/>
  <c r="J28" i="13"/>
  <c r="N28" i="13" s="1"/>
  <c r="T28" i="13" s="1"/>
  <c r="P106" i="13"/>
  <c r="Y96" i="13"/>
  <c r="T96" i="13"/>
  <c r="AK96" i="13"/>
  <c r="AH203" i="13"/>
  <c r="AJ203" i="13" s="1"/>
  <c r="N221" i="13"/>
  <c r="Q221" i="13"/>
  <c r="S221" i="13" s="1"/>
  <c r="V221" i="13"/>
  <c r="X221" i="13" s="1"/>
  <c r="AH221" i="13"/>
  <c r="AJ221" i="13" s="1"/>
  <c r="V250" i="13"/>
  <c r="X250" i="13" s="1"/>
  <c r="AA15" i="13"/>
  <c r="U106" i="13"/>
  <c r="V107" i="13"/>
  <c r="X107" i="13" s="1"/>
  <c r="U15" i="13"/>
  <c r="AH76" i="13"/>
  <c r="AJ76" i="13" s="1"/>
  <c r="AK76" i="13"/>
  <c r="AE76" i="13"/>
  <c r="N143" i="13"/>
  <c r="M137" i="13"/>
  <c r="AH194" i="13"/>
  <c r="AJ194" i="13" s="1"/>
  <c r="AK194" i="13"/>
  <c r="AE194" i="13"/>
  <c r="N214" i="13"/>
  <c r="Q214" i="13"/>
  <c r="S214" i="13" s="1"/>
  <c r="V214" i="13"/>
  <c r="X214" i="13" s="1"/>
  <c r="J213" i="13"/>
  <c r="Y251" i="13"/>
  <c r="T251" i="13"/>
  <c r="AK30" i="13"/>
  <c r="N16" i="13"/>
  <c r="Q16" i="13"/>
  <c r="S16" i="13" s="1"/>
  <c r="V16" i="13"/>
  <c r="X16" i="13" s="1"/>
  <c r="V127" i="13"/>
  <c r="X127" i="13" s="1"/>
  <c r="Y127" i="13"/>
  <c r="T185" i="13"/>
  <c r="Q185" i="13"/>
  <c r="S185" i="13" s="1"/>
  <c r="AK251" i="13"/>
  <c r="N243" i="13"/>
  <c r="AH243" i="13"/>
  <c r="AJ243" i="13" s="1"/>
  <c r="Q243" i="13"/>
  <c r="S243" i="13" s="1"/>
  <c r="V243" i="13"/>
  <c r="X243" i="13" s="1"/>
  <c r="F6" i="13"/>
  <c r="M12" i="13" l="1"/>
  <c r="T86" i="13"/>
  <c r="Y86" i="13"/>
  <c r="AG152" i="13"/>
  <c r="AE152" i="13" s="1"/>
  <c r="AH213" i="13"/>
  <c r="AJ213" i="13" s="1"/>
  <c r="V28" i="13"/>
  <c r="X28" i="13" s="1"/>
  <c r="N154" i="13"/>
  <c r="AK154" i="13" s="1"/>
  <c r="V154" i="13"/>
  <c r="X154" i="13" s="1"/>
  <c r="Q154" i="13"/>
  <c r="S154" i="13" s="1"/>
  <c r="Y107" i="13"/>
  <c r="Y28" i="13"/>
  <c r="AG151" i="13"/>
  <c r="AE151" i="13" s="1"/>
  <c r="AA9" i="13"/>
  <c r="Y259" i="13"/>
  <c r="T259" i="13"/>
  <c r="J15" i="13"/>
  <c r="V15" i="13" s="1"/>
  <c r="X15" i="13" s="1"/>
  <c r="Q28" i="13"/>
  <c r="S28" i="13" s="1"/>
  <c r="T39" i="13"/>
  <c r="AK39" i="13"/>
  <c r="Y39" i="13"/>
  <c r="AA12" i="13"/>
  <c r="AA8" i="13"/>
  <c r="T16" i="13"/>
  <c r="Y16" i="13"/>
  <c r="N213" i="13"/>
  <c r="Q213" i="13"/>
  <c r="S213" i="13" s="1"/>
  <c r="V213" i="13"/>
  <c r="X213" i="13" s="1"/>
  <c r="T143" i="13"/>
  <c r="Y143" i="13"/>
  <c r="AK143" i="13"/>
  <c r="U12" i="13"/>
  <c r="U8" i="13"/>
  <c r="V106" i="13"/>
  <c r="X106" i="13" s="1"/>
  <c r="U13" i="13"/>
  <c r="U9" i="13"/>
  <c r="Q106" i="13"/>
  <c r="S106" i="13" s="1"/>
  <c r="P13" i="13"/>
  <c r="P9" i="13"/>
  <c r="AF15" i="13"/>
  <c r="Z12" i="13"/>
  <c r="Z8" i="13"/>
  <c r="AQ106" i="13"/>
  <c r="AS106" i="13" s="1"/>
  <c r="AM106" i="13"/>
  <c r="AO106" i="13" s="1"/>
  <c r="J13" i="13"/>
  <c r="P12" i="13"/>
  <c r="P8" i="13"/>
  <c r="T63" i="13"/>
  <c r="Y63" i="13"/>
  <c r="AK63" i="13"/>
  <c r="AQ153" i="13"/>
  <c r="AS153" i="13" s="1"/>
  <c r="AM153" i="13"/>
  <c r="AO153" i="13" s="1"/>
  <c r="N153" i="13"/>
  <c r="J10" i="13"/>
  <c r="V10" i="13" s="1"/>
  <c r="X10" i="13" s="1"/>
  <c r="Q153" i="13"/>
  <c r="S153" i="13" s="1"/>
  <c r="AF151" i="13"/>
  <c r="Z14" i="13"/>
  <c r="AK28" i="13"/>
  <c r="AE28" i="13"/>
  <c r="AH28" i="13"/>
  <c r="AJ28" i="13" s="1"/>
  <c r="N85" i="13"/>
  <c r="AK85" i="13" s="1"/>
  <c r="Q85" i="13"/>
  <c r="S85" i="13" s="1"/>
  <c r="U14" i="13"/>
  <c r="AE127" i="13"/>
  <c r="AH127" i="13"/>
  <c r="AJ127" i="13" s="1"/>
  <c r="AK127" i="13"/>
  <c r="T177" i="13"/>
  <c r="Y177" i="13"/>
  <c r="AK177" i="13"/>
  <c r="N54" i="13"/>
  <c r="AK54" i="13" s="1"/>
  <c r="V54" i="13"/>
  <c r="X54" i="13" s="1"/>
  <c r="AE85" i="13"/>
  <c r="AH85" i="13"/>
  <c r="AJ85" i="13" s="1"/>
  <c r="T29" i="13"/>
  <c r="Y29" i="13"/>
  <c r="Z13" i="13"/>
  <c r="AF106" i="13"/>
  <c r="Z9" i="13"/>
  <c r="AE234" i="13"/>
  <c r="AH234" i="13"/>
  <c r="AJ234" i="13" s="1"/>
  <c r="AK234" i="13"/>
  <c r="AG153" i="13"/>
  <c r="AH107" i="13"/>
  <c r="AJ107" i="13" s="1"/>
  <c r="AK107" i="13"/>
  <c r="AG106" i="13"/>
  <c r="AE107" i="13"/>
  <c r="Y55" i="13"/>
  <c r="T55" i="13"/>
  <c r="AK16" i="13"/>
  <c r="Y203" i="13"/>
  <c r="T203" i="13"/>
  <c r="AK203" i="13"/>
  <c r="J151" i="13"/>
  <c r="T243" i="13"/>
  <c r="Y243" i="13"/>
  <c r="AK243" i="13"/>
  <c r="N15" i="13"/>
  <c r="T15" i="13" s="1"/>
  <c r="Y214" i="13"/>
  <c r="T214" i="13"/>
  <c r="AK214" i="13"/>
  <c r="N137" i="13"/>
  <c r="M106" i="13"/>
  <c r="N106" i="13" s="1"/>
  <c r="Y106" i="13" s="1"/>
  <c r="T221" i="13"/>
  <c r="Y221" i="13"/>
  <c r="AK221" i="13"/>
  <c r="AK29" i="13"/>
  <c r="AE54" i="13"/>
  <c r="AH54" i="13"/>
  <c r="AJ54" i="13" s="1"/>
  <c r="AK185" i="13"/>
  <c r="AE185" i="13"/>
  <c r="AH185" i="13"/>
  <c r="AJ185" i="13" s="1"/>
  <c r="Y94" i="13"/>
  <c r="T94" i="13"/>
  <c r="AK94" i="13"/>
  <c r="AG10" i="13"/>
  <c r="AF10" i="13"/>
  <c r="AG15" i="13"/>
  <c r="J152" i="13"/>
  <c r="Y234" i="13"/>
  <c r="T234" i="13"/>
  <c r="J8" i="13" l="1"/>
  <c r="Q15" i="13"/>
  <c r="S15" i="13" s="1"/>
  <c r="J12" i="13"/>
  <c r="Q12" i="13" s="1"/>
  <c r="S12" i="13" s="1"/>
  <c r="AM15" i="13"/>
  <c r="AO15" i="13" s="1"/>
  <c r="AQ15" i="13"/>
  <c r="AS15" i="13" s="1"/>
  <c r="T154" i="13"/>
  <c r="Y154" i="13"/>
  <c r="AA6" i="13"/>
  <c r="AM152" i="13"/>
  <c r="AO152" i="13" s="1"/>
  <c r="N152" i="13"/>
  <c r="AQ152" i="13"/>
  <c r="AS152" i="13" s="1"/>
  <c r="Q152" i="13"/>
  <c r="S152" i="13" s="1"/>
  <c r="V152" i="13"/>
  <c r="X152" i="13" s="1"/>
  <c r="N8" i="13"/>
  <c r="T8" i="13" s="1"/>
  <c r="AM8" i="13"/>
  <c r="AO8" i="13" s="1"/>
  <c r="AQ8" i="13"/>
  <c r="AS8" i="13" s="1"/>
  <c r="AG14" i="13"/>
  <c r="AF14" i="13"/>
  <c r="T153" i="13"/>
  <c r="Y153" i="13"/>
  <c r="T106" i="13"/>
  <c r="AH15" i="13"/>
  <c r="AJ15" i="13" s="1"/>
  <c r="AK15" i="13"/>
  <c r="AE15" i="13"/>
  <c r="M13" i="13"/>
  <c r="N13" i="13" s="1"/>
  <c r="T13" i="13" s="1"/>
  <c r="M9" i="13"/>
  <c r="M6" i="13" s="1"/>
  <c r="T137" i="13"/>
  <c r="Y137" i="13"/>
  <c r="AK137" i="13"/>
  <c r="AQ12" i="13"/>
  <c r="AS12" i="13" s="1"/>
  <c r="AM151" i="13"/>
  <c r="AO151" i="13" s="1"/>
  <c r="N151" i="13"/>
  <c r="J14" i="13"/>
  <c r="AQ151" i="13"/>
  <c r="AS151" i="13" s="1"/>
  <c r="Q151" i="13"/>
  <c r="S151" i="13" s="1"/>
  <c r="AE106" i="13"/>
  <c r="AK106" i="13"/>
  <c r="AH106" i="13"/>
  <c r="AJ106" i="13" s="1"/>
  <c r="AQ13" i="13"/>
  <c r="AS13" i="13" s="1"/>
  <c r="AM13" i="13"/>
  <c r="AO13" i="13" s="1"/>
  <c r="P6" i="13"/>
  <c r="U6" i="13"/>
  <c r="Y15" i="13"/>
  <c r="AE10" i="13"/>
  <c r="AH10" i="13"/>
  <c r="AJ10" i="13" s="1"/>
  <c r="AG13" i="13"/>
  <c r="AF13" i="13"/>
  <c r="N10" i="13"/>
  <c r="AM10" i="13"/>
  <c r="AO10" i="13" s="1"/>
  <c r="AQ10" i="13"/>
  <c r="AS10" i="13" s="1"/>
  <c r="Q10" i="13"/>
  <c r="S10" i="13" s="1"/>
  <c r="J9" i="13"/>
  <c r="AG8" i="13"/>
  <c r="AF8" i="13"/>
  <c r="Q13" i="13"/>
  <c r="S13" i="13" s="1"/>
  <c r="V13" i="13"/>
  <c r="X13" i="13" s="1"/>
  <c r="T213" i="13"/>
  <c r="Y213" i="13"/>
  <c r="AK213" i="13"/>
  <c r="AH152" i="13"/>
  <c r="AJ152" i="13" s="1"/>
  <c r="T85" i="13"/>
  <c r="Y85" i="13"/>
  <c r="AG12" i="13"/>
  <c r="AF12" i="13"/>
  <c r="V8" i="13"/>
  <c r="X8" i="13" s="1"/>
  <c r="AE153" i="13"/>
  <c r="AH153" i="13"/>
  <c r="AJ153" i="13" s="1"/>
  <c r="AK153" i="13"/>
  <c r="Z6" i="13"/>
  <c r="AG9" i="13"/>
  <c r="AF9" i="13"/>
  <c r="Y54" i="13"/>
  <c r="T54" i="13"/>
  <c r="V151" i="13"/>
  <c r="X151" i="13" s="1"/>
  <c r="Q8" i="13"/>
  <c r="S8" i="13" s="1"/>
  <c r="AH151" i="13"/>
  <c r="AJ151" i="13" s="1"/>
  <c r="O201" i="11"/>
  <c r="P201" i="11"/>
  <c r="R201" i="11"/>
  <c r="S201" i="11"/>
  <c r="U201" i="11"/>
  <c r="V201" i="11"/>
  <c r="X201" i="11"/>
  <c r="Y201" i="11"/>
  <c r="AA201" i="11"/>
  <c r="AB201" i="11"/>
  <c r="AD201" i="11"/>
  <c r="AE201" i="11"/>
  <c r="AG201" i="11"/>
  <c r="AH201" i="11"/>
  <c r="AJ201" i="11"/>
  <c r="AK201" i="11"/>
  <c r="AM201" i="11"/>
  <c r="AN201" i="11"/>
  <c r="AP201" i="11"/>
  <c r="AQ201" i="11"/>
  <c r="AS201" i="11"/>
  <c r="AT201" i="11"/>
  <c r="AX201" i="11"/>
  <c r="AY201" i="11"/>
  <c r="BC201" i="11"/>
  <c r="BD201" i="11"/>
  <c r="BH201" i="11"/>
  <c r="BI201" i="11"/>
  <c r="K201" i="11"/>
  <c r="L201" i="11"/>
  <c r="M201" i="11"/>
  <c r="O195" i="11"/>
  <c r="P195" i="11"/>
  <c r="R195" i="11"/>
  <c r="S195" i="11"/>
  <c r="U195" i="11"/>
  <c r="V195" i="11"/>
  <c r="X195" i="11"/>
  <c r="Y195" i="11"/>
  <c r="AA195" i="11"/>
  <c r="AB195" i="11"/>
  <c r="AD195" i="11"/>
  <c r="AE195" i="11"/>
  <c r="AG195" i="11"/>
  <c r="AH195" i="11"/>
  <c r="AJ195" i="11"/>
  <c r="AK195" i="11"/>
  <c r="AM195" i="11"/>
  <c r="AN195" i="11"/>
  <c r="AP195" i="11"/>
  <c r="AQ195" i="11"/>
  <c r="AS195" i="11"/>
  <c r="AT195" i="11"/>
  <c r="AX195" i="11"/>
  <c r="AY195" i="11"/>
  <c r="BC195" i="11"/>
  <c r="BD195" i="11"/>
  <c r="BH195" i="11"/>
  <c r="BI195" i="11"/>
  <c r="K195" i="11"/>
  <c r="L195" i="11"/>
  <c r="M195" i="11"/>
  <c r="R188" i="11"/>
  <c r="S188" i="11"/>
  <c r="U188" i="11"/>
  <c r="V188" i="11"/>
  <c r="X188" i="11"/>
  <c r="Y188" i="11"/>
  <c r="AA188" i="11"/>
  <c r="AB188" i="11"/>
  <c r="AD188" i="11"/>
  <c r="AE188" i="11"/>
  <c r="AG188" i="11"/>
  <c r="AH188" i="11"/>
  <c r="AJ188" i="11"/>
  <c r="AK188" i="11"/>
  <c r="AM188" i="11"/>
  <c r="AN188" i="11"/>
  <c r="AP188" i="11"/>
  <c r="AQ188" i="11"/>
  <c r="AS188" i="11"/>
  <c r="AT188" i="11"/>
  <c r="AX188" i="11"/>
  <c r="AY188" i="11"/>
  <c r="BC188" i="11"/>
  <c r="BD188" i="11"/>
  <c r="BH188" i="11"/>
  <c r="BI188" i="11"/>
  <c r="BL188" i="11"/>
  <c r="K188" i="11"/>
  <c r="R180" i="11"/>
  <c r="S180" i="11"/>
  <c r="U180" i="11"/>
  <c r="V180" i="11"/>
  <c r="X180" i="11"/>
  <c r="Y180" i="11"/>
  <c r="AA180" i="11"/>
  <c r="AB180" i="11"/>
  <c r="AD180" i="11"/>
  <c r="AE180" i="11"/>
  <c r="AG180" i="11"/>
  <c r="AH180" i="11"/>
  <c r="AJ180" i="11"/>
  <c r="AK180" i="11"/>
  <c r="AM180" i="11"/>
  <c r="AN180" i="11"/>
  <c r="AP180" i="11"/>
  <c r="AQ180" i="11"/>
  <c r="AS180" i="11"/>
  <c r="AT180" i="11"/>
  <c r="AX180" i="11"/>
  <c r="AY180" i="11"/>
  <c r="BC180" i="11"/>
  <c r="BD180" i="11"/>
  <c r="BH180" i="11"/>
  <c r="BI180" i="11"/>
  <c r="K180" i="11"/>
  <c r="R172" i="11"/>
  <c r="S172" i="11"/>
  <c r="U172" i="11"/>
  <c r="V172" i="11"/>
  <c r="X172" i="11"/>
  <c r="Y172" i="11"/>
  <c r="AA172" i="11"/>
  <c r="AB172" i="11"/>
  <c r="AD172" i="11"/>
  <c r="AE172" i="11"/>
  <c r="AG172" i="11"/>
  <c r="AH172" i="11"/>
  <c r="AJ172" i="11"/>
  <c r="AK172" i="11"/>
  <c r="AM172" i="11"/>
  <c r="AN172" i="11"/>
  <c r="AP172" i="11"/>
  <c r="AQ172" i="11"/>
  <c r="AS172" i="11"/>
  <c r="AT172" i="11"/>
  <c r="AX172" i="11"/>
  <c r="AY172" i="11"/>
  <c r="BC172" i="11"/>
  <c r="BD172" i="11"/>
  <c r="BH172" i="11"/>
  <c r="BI172" i="11"/>
  <c r="K172" i="11"/>
  <c r="R168" i="11"/>
  <c r="S168" i="11"/>
  <c r="U168" i="11"/>
  <c r="V168" i="11"/>
  <c r="X168" i="11"/>
  <c r="Y168" i="11"/>
  <c r="AA168" i="11"/>
  <c r="AB168" i="11"/>
  <c r="AD168" i="11"/>
  <c r="AE168" i="11"/>
  <c r="AG168" i="11"/>
  <c r="AH168" i="11"/>
  <c r="AJ168" i="11"/>
  <c r="AK168" i="11"/>
  <c r="AM168" i="11"/>
  <c r="AN168" i="11"/>
  <c r="AP168" i="11"/>
  <c r="AQ168" i="11"/>
  <c r="AS168" i="11"/>
  <c r="AT168" i="11"/>
  <c r="AX168" i="11"/>
  <c r="AY168" i="11"/>
  <c r="BC168" i="11"/>
  <c r="BD168" i="11"/>
  <c r="BH168" i="11"/>
  <c r="BI168" i="11"/>
  <c r="K168" i="11"/>
  <c r="R162" i="11"/>
  <c r="S162" i="11"/>
  <c r="U162" i="11"/>
  <c r="V162" i="11"/>
  <c r="X162" i="11"/>
  <c r="Y162" i="11"/>
  <c r="AA162" i="11"/>
  <c r="AB162" i="11"/>
  <c r="AD162" i="11"/>
  <c r="AE162" i="11"/>
  <c r="AG162" i="11"/>
  <c r="AH162" i="11"/>
  <c r="AJ162" i="11"/>
  <c r="AK162" i="11"/>
  <c r="AM162" i="11"/>
  <c r="AN162" i="11"/>
  <c r="AP162" i="11"/>
  <c r="AQ162" i="11"/>
  <c r="AS162" i="11"/>
  <c r="AT162" i="11"/>
  <c r="AX162" i="11"/>
  <c r="AY162" i="11"/>
  <c r="BC162" i="11"/>
  <c r="BD162" i="11"/>
  <c r="BH162" i="11"/>
  <c r="BI162" i="11"/>
  <c r="K162" i="11"/>
  <c r="R149" i="11"/>
  <c r="S149" i="11"/>
  <c r="U149" i="11"/>
  <c r="V149" i="11"/>
  <c r="X149" i="11"/>
  <c r="Y149" i="11"/>
  <c r="AA149" i="11"/>
  <c r="AB149" i="11"/>
  <c r="AD149" i="11"/>
  <c r="AE149" i="11"/>
  <c r="AG149" i="11"/>
  <c r="AH149" i="11"/>
  <c r="AJ149" i="11"/>
  <c r="AK149" i="11"/>
  <c r="AM149" i="11"/>
  <c r="AN149" i="11"/>
  <c r="AP149" i="11"/>
  <c r="AQ149" i="11"/>
  <c r="AS149" i="11"/>
  <c r="AT149" i="11"/>
  <c r="AX149" i="11"/>
  <c r="AY149" i="11"/>
  <c r="BC149" i="11"/>
  <c r="BD149" i="11"/>
  <c r="BH149" i="11"/>
  <c r="BI149" i="11"/>
  <c r="K149" i="11"/>
  <c r="O139" i="11"/>
  <c r="P139" i="11"/>
  <c r="R139" i="11"/>
  <c r="S139" i="11"/>
  <c r="U139" i="11"/>
  <c r="V139" i="11"/>
  <c r="X139" i="11"/>
  <c r="Y139" i="11"/>
  <c r="AA139" i="11"/>
  <c r="AB139" i="11"/>
  <c r="AD139" i="11"/>
  <c r="AE139" i="11"/>
  <c r="AG139" i="11"/>
  <c r="AH139" i="11"/>
  <c r="AJ139" i="11"/>
  <c r="AK139" i="11"/>
  <c r="AM139" i="11"/>
  <c r="AN139" i="11"/>
  <c r="AP139" i="11"/>
  <c r="AQ139" i="11"/>
  <c r="AS139" i="11"/>
  <c r="AT139" i="11"/>
  <c r="AX139" i="11"/>
  <c r="AY139" i="11"/>
  <c r="BC139" i="11"/>
  <c r="BD139" i="11"/>
  <c r="BH139" i="11"/>
  <c r="BI139" i="11"/>
  <c r="K139" i="11"/>
  <c r="L139" i="11"/>
  <c r="M139" i="11"/>
  <c r="O135" i="11"/>
  <c r="P135" i="11"/>
  <c r="R135" i="11"/>
  <c r="S135" i="11"/>
  <c r="U135" i="11"/>
  <c r="V135" i="11"/>
  <c r="X135" i="11"/>
  <c r="Y135" i="11"/>
  <c r="AA135" i="11"/>
  <c r="AB135" i="11"/>
  <c r="AD135" i="11"/>
  <c r="AE135" i="11"/>
  <c r="AG135" i="11"/>
  <c r="AG15" i="11" s="1"/>
  <c r="AH135" i="11"/>
  <c r="AH15" i="11" s="1"/>
  <c r="AJ135" i="11"/>
  <c r="AK135" i="11"/>
  <c r="AM135" i="11"/>
  <c r="AN135" i="11"/>
  <c r="AP135" i="11"/>
  <c r="AQ135" i="11"/>
  <c r="AS135" i="11"/>
  <c r="AS15" i="11" s="1"/>
  <c r="AT135" i="11"/>
  <c r="AT15" i="11" s="1"/>
  <c r="AX135" i="11"/>
  <c r="AY135" i="11"/>
  <c r="BC135" i="11"/>
  <c r="BD135" i="11"/>
  <c r="BH135" i="11"/>
  <c r="BI135" i="11"/>
  <c r="K135" i="11"/>
  <c r="L135" i="11"/>
  <c r="M135" i="11"/>
  <c r="O124" i="11"/>
  <c r="P124" i="11"/>
  <c r="R124" i="11"/>
  <c r="S124" i="11"/>
  <c r="U124" i="11"/>
  <c r="V124" i="11"/>
  <c r="X124" i="11"/>
  <c r="Y124" i="11"/>
  <c r="AA124" i="11"/>
  <c r="AB124" i="11"/>
  <c r="AD124" i="11"/>
  <c r="AD118" i="11" s="1"/>
  <c r="AE124" i="11"/>
  <c r="AE118" i="11" s="1"/>
  <c r="AG124" i="11"/>
  <c r="AG118" i="11" s="1"/>
  <c r="AH124" i="11"/>
  <c r="AH118" i="11" s="1"/>
  <c r="AJ124" i="11"/>
  <c r="AJ118" i="11" s="1"/>
  <c r="AK124" i="11"/>
  <c r="AK118" i="11" s="1"/>
  <c r="AM124" i="11"/>
  <c r="AM118" i="11" s="1"/>
  <c r="AN124" i="11"/>
  <c r="AN118" i="11" s="1"/>
  <c r="AP124" i="11"/>
  <c r="AP118" i="11" s="1"/>
  <c r="AQ124" i="11"/>
  <c r="AQ118" i="11" s="1"/>
  <c r="AS124" i="11"/>
  <c r="AS118" i="11" s="1"/>
  <c r="AT124" i="11"/>
  <c r="AT118" i="11" s="1"/>
  <c r="AX124" i="11"/>
  <c r="AX118" i="11" s="1"/>
  <c r="AY124" i="11"/>
  <c r="AY118" i="11" s="1"/>
  <c r="BC124" i="11"/>
  <c r="BC118" i="11" s="1"/>
  <c r="BD124" i="11"/>
  <c r="BD118" i="11" s="1"/>
  <c r="BH124" i="11"/>
  <c r="BI124" i="11"/>
  <c r="K124" i="11"/>
  <c r="L124" i="11"/>
  <c r="M124" i="11"/>
  <c r="O119" i="11"/>
  <c r="P119" i="11"/>
  <c r="R119" i="11"/>
  <c r="S119" i="11"/>
  <c r="U119" i="11"/>
  <c r="V119" i="11"/>
  <c r="X119" i="11"/>
  <c r="Y119" i="11"/>
  <c r="AA119" i="11"/>
  <c r="AB119" i="11"/>
  <c r="K119" i="11"/>
  <c r="L119" i="11"/>
  <c r="M119" i="11"/>
  <c r="O111" i="11"/>
  <c r="P111" i="11"/>
  <c r="R111" i="11"/>
  <c r="S111" i="11"/>
  <c r="U111" i="11"/>
  <c r="V111" i="11"/>
  <c r="X111" i="11"/>
  <c r="Y111" i="11"/>
  <c r="AA111" i="11"/>
  <c r="AB111" i="11"/>
  <c r="AD111" i="11"/>
  <c r="AE111" i="11"/>
  <c r="AG111" i="11"/>
  <c r="AG87" i="11" s="1"/>
  <c r="AH111" i="11"/>
  <c r="AH87" i="11" s="1"/>
  <c r="AJ111" i="11"/>
  <c r="AK111" i="11"/>
  <c r="AM111" i="11"/>
  <c r="AN111" i="11"/>
  <c r="AP111" i="11"/>
  <c r="AQ111" i="11"/>
  <c r="AS111" i="11"/>
  <c r="AS87" i="11" s="1"/>
  <c r="AT111" i="11"/>
  <c r="AT87" i="11" s="1"/>
  <c r="AX111" i="11"/>
  <c r="AY111" i="11"/>
  <c r="BC111" i="11"/>
  <c r="BD111" i="11"/>
  <c r="BI111" i="11"/>
  <c r="K111" i="11"/>
  <c r="L111" i="11"/>
  <c r="M111" i="11"/>
  <c r="O88" i="11"/>
  <c r="P88" i="11"/>
  <c r="R88" i="11"/>
  <c r="S88" i="11"/>
  <c r="U88" i="11"/>
  <c r="V88" i="11"/>
  <c r="X88" i="11"/>
  <c r="Y88" i="11"/>
  <c r="AA88" i="11"/>
  <c r="AB88" i="11"/>
  <c r="AD88" i="11"/>
  <c r="AE88" i="11"/>
  <c r="AJ88" i="11"/>
  <c r="AK88" i="11"/>
  <c r="AM88" i="11"/>
  <c r="AN88" i="11"/>
  <c r="AP88" i="11"/>
  <c r="AQ88" i="11"/>
  <c r="AX88" i="11"/>
  <c r="AY88" i="11"/>
  <c r="BC88" i="11"/>
  <c r="BD88" i="11"/>
  <c r="BH88" i="11"/>
  <c r="BI88" i="11"/>
  <c r="K88" i="11"/>
  <c r="L88" i="11"/>
  <c r="M88" i="11"/>
  <c r="O83" i="11"/>
  <c r="P83" i="11"/>
  <c r="R83" i="11"/>
  <c r="S83" i="11"/>
  <c r="U83" i="11"/>
  <c r="V83" i="11"/>
  <c r="X83" i="11"/>
  <c r="Y83" i="11"/>
  <c r="AA83" i="11"/>
  <c r="AB83" i="11"/>
  <c r="AD83" i="11"/>
  <c r="AE83" i="11"/>
  <c r="AG83" i="11"/>
  <c r="AH83" i="11"/>
  <c r="AJ83" i="11"/>
  <c r="AK83" i="11"/>
  <c r="AM83" i="11"/>
  <c r="AN83" i="11"/>
  <c r="AP83" i="11"/>
  <c r="AQ83" i="11"/>
  <c r="AS83" i="11"/>
  <c r="AT83" i="11"/>
  <c r="AX83" i="11"/>
  <c r="AY83" i="11"/>
  <c r="BC83" i="11"/>
  <c r="BD83" i="11"/>
  <c r="BH83" i="11"/>
  <c r="BI83" i="11"/>
  <c r="K83" i="11"/>
  <c r="L83" i="11"/>
  <c r="M83" i="11"/>
  <c r="O80" i="11"/>
  <c r="P80" i="11"/>
  <c r="R80" i="11"/>
  <c r="S80" i="11"/>
  <c r="U80" i="11"/>
  <c r="V80" i="11"/>
  <c r="X80" i="11"/>
  <c r="Y80" i="11"/>
  <c r="AA80" i="11"/>
  <c r="AB80" i="11"/>
  <c r="AD80" i="11"/>
  <c r="AE80" i="11"/>
  <c r="AG80" i="11"/>
  <c r="AH80" i="11"/>
  <c r="AJ80" i="11"/>
  <c r="AK80" i="11"/>
  <c r="AM80" i="11"/>
  <c r="AN80" i="11"/>
  <c r="AP80" i="11"/>
  <c r="AQ80" i="11"/>
  <c r="AS80" i="11"/>
  <c r="AT80" i="11"/>
  <c r="AX80" i="11"/>
  <c r="AY80" i="11"/>
  <c r="BC80" i="11"/>
  <c r="BD80" i="11"/>
  <c r="BH80" i="11"/>
  <c r="BI80" i="11"/>
  <c r="K80" i="11"/>
  <c r="L80" i="11"/>
  <c r="M80" i="11"/>
  <c r="O76" i="11"/>
  <c r="P76" i="11"/>
  <c r="R76" i="11"/>
  <c r="S76" i="11"/>
  <c r="U76" i="11"/>
  <c r="V76" i="11"/>
  <c r="X76" i="11"/>
  <c r="Y76" i="11"/>
  <c r="AA76" i="11"/>
  <c r="AB76" i="11"/>
  <c r="AD76" i="11"/>
  <c r="AE76" i="11"/>
  <c r="AG76" i="11"/>
  <c r="AH76" i="11"/>
  <c r="AJ76" i="11"/>
  <c r="AK76" i="11"/>
  <c r="AM76" i="11"/>
  <c r="AN76" i="11"/>
  <c r="AP76" i="11"/>
  <c r="AQ76" i="11"/>
  <c r="AS76" i="11"/>
  <c r="AT76" i="11"/>
  <c r="AX76" i="11"/>
  <c r="AY76" i="11"/>
  <c r="BC76" i="11"/>
  <c r="BD76" i="11"/>
  <c r="BH76" i="11"/>
  <c r="BI76" i="11"/>
  <c r="K76" i="11"/>
  <c r="L76" i="11"/>
  <c r="M76" i="11"/>
  <c r="O67" i="11"/>
  <c r="P67" i="11"/>
  <c r="R67" i="11"/>
  <c r="S67" i="11"/>
  <c r="U67" i="11"/>
  <c r="V67" i="11"/>
  <c r="X67" i="11"/>
  <c r="Y67" i="11"/>
  <c r="AA67" i="11"/>
  <c r="AB67" i="11"/>
  <c r="AD67" i="11"/>
  <c r="AE67" i="11"/>
  <c r="AG67" i="11"/>
  <c r="AH67" i="11"/>
  <c r="AJ67" i="11"/>
  <c r="AK67" i="11"/>
  <c r="AM67" i="11"/>
  <c r="AN67" i="11"/>
  <c r="AP67" i="11"/>
  <c r="AQ67" i="11"/>
  <c r="AS67" i="11"/>
  <c r="AT67" i="11"/>
  <c r="AX67" i="11"/>
  <c r="AY67" i="11"/>
  <c r="BC67" i="11"/>
  <c r="BD67" i="11"/>
  <c r="BH67" i="11"/>
  <c r="BI67" i="11"/>
  <c r="K67" i="11"/>
  <c r="L67" i="11"/>
  <c r="M67" i="11"/>
  <c r="O61" i="11"/>
  <c r="P61" i="11"/>
  <c r="R61" i="11"/>
  <c r="S61" i="11"/>
  <c r="U61" i="11"/>
  <c r="V61" i="11"/>
  <c r="X61" i="11"/>
  <c r="Y61" i="11"/>
  <c r="AA61" i="11"/>
  <c r="AB61" i="11"/>
  <c r="AD61" i="11"/>
  <c r="AE61" i="11"/>
  <c r="AG61" i="11"/>
  <c r="AH61" i="11"/>
  <c r="AJ61" i="11"/>
  <c r="AK61" i="11"/>
  <c r="AM61" i="11"/>
  <c r="AN61" i="11"/>
  <c r="AP61" i="11"/>
  <c r="AQ61" i="11"/>
  <c r="AS61" i="11"/>
  <c r="AT61" i="11"/>
  <c r="AX61" i="11"/>
  <c r="AY61" i="11"/>
  <c r="BC61" i="11"/>
  <c r="BD61" i="11"/>
  <c r="BH61" i="11"/>
  <c r="BI61" i="11"/>
  <c r="K61" i="11"/>
  <c r="L61" i="11"/>
  <c r="M61" i="11"/>
  <c r="O45" i="11"/>
  <c r="P45" i="11"/>
  <c r="R45" i="11"/>
  <c r="S45" i="11"/>
  <c r="U45" i="11"/>
  <c r="V45" i="11"/>
  <c r="X45" i="11"/>
  <c r="Y45" i="11"/>
  <c r="AA45" i="11"/>
  <c r="AB45" i="11"/>
  <c r="AD45" i="11"/>
  <c r="AE45" i="11"/>
  <c r="AG45" i="11"/>
  <c r="AH45" i="11"/>
  <c r="AJ45" i="11"/>
  <c r="AK45" i="11"/>
  <c r="AM45" i="11"/>
  <c r="AN45" i="11"/>
  <c r="AP45" i="11"/>
  <c r="AQ45" i="11"/>
  <c r="AS45" i="11"/>
  <c r="AT45" i="11"/>
  <c r="AX45" i="11"/>
  <c r="AY45" i="11"/>
  <c r="BC45" i="11"/>
  <c r="BD45" i="11"/>
  <c r="BH45" i="11"/>
  <c r="BI45" i="11"/>
  <c r="K45" i="11"/>
  <c r="L45" i="11"/>
  <c r="M45" i="11"/>
  <c r="O21" i="11"/>
  <c r="P21" i="11"/>
  <c r="R21" i="11"/>
  <c r="S21" i="11"/>
  <c r="U21" i="11"/>
  <c r="V21" i="11"/>
  <c r="X21" i="11"/>
  <c r="Y21" i="11"/>
  <c r="AA21" i="11"/>
  <c r="AB21" i="11"/>
  <c r="AD21" i="11"/>
  <c r="AE21" i="11"/>
  <c r="AL21" i="11"/>
  <c r="AR21" i="11"/>
  <c r="AX21" i="11"/>
  <c r="AY21" i="11"/>
  <c r="BC21" i="11"/>
  <c r="BD21" i="11"/>
  <c r="BH21" i="11"/>
  <c r="BI21" i="11"/>
  <c r="K21" i="11"/>
  <c r="L21" i="11"/>
  <c r="M21" i="11"/>
  <c r="N12" i="13" l="1"/>
  <c r="AP15" i="11"/>
  <c r="AJ15" i="11"/>
  <c r="BE118" i="11"/>
  <c r="BE86" i="11" s="1"/>
  <c r="BE11" i="11" s="1"/>
  <c r="AU118" i="11"/>
  <c r="AU86" i="11" s="1"/>
  <c r="AU11" i="11" s="1"/>
  <c r="AI118" i="11"/>
  <c r="AI86" i="11" s="1"/>
  <c r="AM12" i="13"/>
  <c r="AO12" i="13" s="1"/>
  <c r="V12" i="13"/>
  <c r="X12" i="13" s="1"/>
  <c r="AJ20" i="11"/>
  <c r="AJ10" i="11" s="1"/>
  <c r="L179" i="11"/>
  <c r="L12" i="11" s="1"/>
  <c r="AN15" i="11"/>
  <c r="AP20" i="11"/>
  <c r="AP14" i="11" s="1"/>
  <c r="P179" i="11"/>
  <c r="P12" i="11" s="1"/>
  <c r="AZ118" i="11"/>
  <c r="AZ86" i="11" s="1"/>
  <c r="AZ11" i="11" s="1"/>
  <c r="BI20" i="11"/>
  <c r="AC119" i="11"/>
  <c r="AR118" i="11"/>
  <c r="AR86" i="11" s="1"/>
  <c r="AF21" i="11"/>
  <c r="Z21" i="11"/>
  <c r="T21" i="11"/>
  <c r="AZ21" i="11"/>
  <c r="AY20" i="11"/>
  <c r="AN20" i="11"/>
  <c r="AO118" i="11"/>
  <c r="AO86" i="11" s="1"/>
  <c r="AS20" i="11"/>
  <c r="AM20" i="11"/>
  <c r="AG20" i="11"/>
  <c r="AM15" i="11"/>
  <c r="BI118" i="11"/>
  <c r="AL118" i="11"/>
  <c r="AL86" i="11" s="1"/>
  <c r="AF118" i="11"/>
  <c r="AF86" i="11" s="1"/>
  <c r="Y13" i="13"/>
  <c r="AJ14" i="11"/>
  <c r="AT20" i="11"/>
  <c r="AH20" i="11"/>
  <c r="BD20" i="11"/>
  <c r="AQ20" i="11"/>
  <c r="AK20" i="11"/>
  <c r="AQ15" i="11"/>
  <c r="AK15" i="11"/>
  <c r="BH118" i="11"/>
  <c r="N21" i="11"/>
  <c r="BJ21" i="11"/>
  <c r="BJ20" i="11" s="1"/>
  <c r="BE21" i="11"/>
  <c r="AO21" i="11"/>
  <c r="AI21" i="11"/>
  <c r="AC21" i="11"/>
  <c r="W21" i="11"/>
  <c r="Q21" i="11"/>
  <c r="M179" i="11"/>
  <c r="M12" i="11" s="1"/>
  <c r="O179" i="11"/>
  <c r="O12" i="11" s="1"/>
  <c r="AE13" i="13"/>
  <c r="AK13" i="13"/>
  <c r="AH13" i="13"/>
  <c r="AJ13" i="13" s="1"/>
  <c r="T152" i="13"/>
  <c r="Y152" i="13"/>
  <c r="AK152" i="13"/>
  <c r="AE12" i="13"/>
  <c r="AK12" i="13"/>
  <c r="AH12" i="13"/>
  <c r="AJ12" i="13" s="1"/>
  <c r="AE8" i="13"/>
  <c r="AK8" i="13"/>
  <c r="AH8" i="13"/>
  <c r="AJ8" i="13" s="1"/>
  <c r="N14" i="13"/>
  <c r="AM14" i="13"/>
  <c r="AO14" i="13" s="1"/>
  <c r="AQ14" i="13"/>
  <c r="AS14" i="13" s="1"/>
  <c r="Q14" i="13"/>
  <c r="S14" i="13" s="1"/>
  <c r="AG6" i="13"/>
  <c r="AF6" i="13"/>
  <c r="Y8" i="13"/>
  <c r="N9" i="13"/>
  <c r="J6" i="13"/>
  <c r="Q6" i="13" s="1"/>
  <c r="S6" i="13" s="1"/>
  <c r="AQ9" i="13"/>
  <c r="AS9" i="13" s="1"/>
  <c r="AM9" i="13"/>
  <c r="AO9" i="13" s="1"/>
  <c r="T10" i="13"/>
  <c r="Y10" i="13"/>
  <c r="AK10" i="13"/>
  <c r="Q9" i="13"/>
  <c r="S9" i="13" s="1"/>
  <c r="T151" i="13"/>
  <c r="AK151" i="13"/>
  <c r="Y151" i="13"/>
  <c r="V9" i="13"/>
  <c r="X9" i="13" s="1"/>
  <c r="AE14" i="13"/>
  <c r="AK14" i="13"/>
  <c r="AH14" i="13"/>
  <c r="AJ14" i="13" s="1"/>
  <c r="AE9" i="13"/>
  <c r="AK9" i="13"/>
  <c r="AH9" i="13"/>
  <c r="AJ9" i="13" s="1"/>
  <c r="V14" i="13"/>
  <c r="X14" i="13" s="1"/>
  <c r="BD134" i="11"/>
  <c r="K87" i="11"/>
  <c r="V15" i="11"/>
  <c r="K134" i="11"/>
  <c r="U15" i="11"/>
  <c r="BD15" i="11"/>
  <c r="BI15" i="11"/>
  <c r="BC15" i="11"/>
  <c r="AA15" i="11"/>
  <c r="S15" i="11"/>
  <c r="BC134" i="11"/>
  <c r="L87" i="11"/>
  <c r="K118" i="11"/>
  <c r="BH134" i="11"/>
  <c r="AT134" i="11"/>
  <c r="AT86" i="11" s="1"/>
  <c r="AT11" i="11" s="1"/>
  <c r="AP134" i="11"/>
  <c r="AH134" i="11"/>
  <c r="AH86" i="11" s="1"/>
  <c r="AH11" i="11" s="1"/>
  <c r="V134" i="11"/>
  <c r="BH20" i="11"/>
  <c r="AY134" i="11"/>
  <c r="AS134" i="11"/>
  <c r="AS86" i="11" s="1"/>
  <c r="AS11" i="11" s="1"/>
  <c r="AK134" i="11"/>
  <c r="AG134" i="11"/>
  <c r="AG86" i="11" s="1"/>
  <c r="AG11" i="11" s="1"/>
  <c r="Y134" i="11"/>
  <c r="U134" i="11"/>
  <c r="M87" i="11"/>
  <c r="AD15" i="11"/>
  <c r="R15" i="11"/>
  <c r="M134" i="11"/>
  <c r="Y20" i="11"/>
  <c r="U20" i="11"/>
  <c r="U14" i="11" s="1"/>
  <c r="L134" i="11"/>
  <c r="BC20" i="11"/>
  <c r="BC14" i="11" s="1"/>
  <c r="M118" i="11"/>
  <c r="AB118" i="11"/>
  <c r="X118" i="11"/>
  <c r="P118" i="11"/>
  <c r="BI87" i="11"/>
  <c r="AQ87" i="11"/>
  <c r="AM87" i="11"/>
  <c r="AE87" i="11"/>
  <c r="AA87" i="11"/>
  <c r="S87" i="11"/>
  <c r="O87" i="11"/>
  <c r="L118" i="11"/>
  <c r="M15" i="11"/>
  <c r="M20" i="11"/>
  <c r="AA118" i="11"/>
  <c r="S118" i="11"/>
  <c r="O118" i="11"/>
  <c r="AY15" i="11"/>
  <c r="AI15" i="11"/>
  <c r="Y15" i="11"/>
  <c r="K20" i="11"/>
  <c r="K10" i="11" s="1"/>
  <c r="BH15" i="11"/>
  <c r="BI179" i="11"/>
  <c r="AQ179" i="11"/>
  <c r="AQ12" i="11" s="1"/>
  <c r="AM179" i="11"/>
  <c r="AM12" i="11" s="1"/>
  <c r="AE179" i="11"/>
  <c r="AE12" i="11" s="1"/>
  <c r="AA179" i="11"/>
  <c r="AA12" i="11" s="1"/>
  <c r="S179" i="11"/>
  <c r="S12" i="11" s="1"/>
  <c r="BC179" i="11"/>
  <c r="BC12" i="11" s="1"/>
  <c r="AY179" i="11"/>
  <c r="AY12" i="11" s="1"/>
  <c r="AS179" i="11"/>
  <c r="AS12" i="11" s="1"/>
  <c r="AK179" i="11"/>
  <c r="AK16" i="11" s="1"/>
  <c r="AG179" i="11"/>
  <c r="AG12" i="11" s="1"/>
  <c r="Y179" i="11"/>
  <c r="Y12" i="11" s="1"/>
  <c r="U179" i="11"/>
  <c r="U16" i="11" s="1"/>
  <c r="BH179" i="11"/>
  <c r="BD179" i="11"/>
  <c r="BD12" i="11" s="1"/>
  <c r="AT179" i="11"/>
  <c r="AT12" i="11" s="1"/>
  <c r="AP179" i="11"/>
  <c r="AP12" i="11" s="1"/>
  <c r="AH179" i="11"/>
  <c r="AH16" i="11" s="1"/>
  <c r="AD179" i="11"/>
  <c r="AD12" i="11" s="1"/>
  <c r="V179" i="11"/>
  <c r="V12" i="11" s="1"/>
  <c r="R179" i="11"/>
  <c r="R12" i="11" s="1"/>
  <c r="AX179" i="11"/>
  <c r="AX12" i="11" s="1"/>
  <c r="AN179" i="11"/>
  <c r="AN12" i="11" s="1"/>
  <c r="AJ179" i="11"/>
  <c r="AJ12" i="11" s="1"/>
  <c r="AB179" i="11"/>
  <c r="AB12" i="11" s="1"/>
  <c r="AC12" i="11" s="1"/>
  <c r="X179" i="11"/>
  <c r="X12" i="11" s="1"/>
  <c r="K179" i="11"/>
  <c r="K12" i="11" s="1"/>
  <c r="AX134" i="11"/>
  <c r="AN134" i="11"/>
  <c r="AJ134" i="11"/>
  <c r="AB134" i="11"/>
  <c r="X134" i="11"/>
  <c r="P134" i="11"/>
  <c r="BI134" i="11"/>
  <c r="AQ134" i="11"/>
  <c r="AM134" i="11"/>
  <c r="AE134" i="11"/>
  <c r="AA134" i="11"/>
  <c r="S134" i="11"/>
  <c r="O134" i="11"/>
  <c r="AD134" i="11"/>
  <c r="R134" i="11"/>
  <c r="V118" i="11"/>
  <c r="R118" i="11"/>
  <c r="Y118" i="11"/>
  <c r="U118" i="11"/>
  <c r="AE15" i="11"/>
  <c r="O15" i="11"/>
  <c r="AX15" i="11"/>
  <c r="AB15" i="11"/>
  <c r="X15" i="11"/>
  <c r="P15" i="11"/>
  <c r="K15" i="11"/>
  <c r="BH87" i="11"/>
  <c r="BD87" i="11"/>
  <c r="AP87" i="11"/>
  <c r="AD87" i="11"/>
  <c r="V87" i="11"/>
  <c r="R87" i="11"/>
  <c r="BC87" i="11"/>
  <c r="AY87" i="11"/>
  <c r="AK87" i="11"/>
  <c r="Y87" i="11"/>
  <c r="U87" i="11"/>
  <c r="AJ87" i="11"/>
  <c r="AB87" i="11"/>
  <c r="AN87" i="11"/>
  <c r="X87" i="11"/>
  <c r="AX87" i="11"/>
  <c r="P87" i="11"/>
  <c r="L15" i="11"/>
  <c r="R20" i="11"/>
  <c r="R10" i="11" s="1"/>
  <c r="AD20" i="11"/>
  <c r="AD14" i="11" s="1"/>
  <c r="V20" i="11"/>
  <c r="AX20" i="11"/>
  <c r="AX14" i="11" s="1"/>
  <c r="AB20" i="11"/>
  <c r="X20" i="11"/>
  <c r="X14" i="11" s="1"/>
  <c r="P20" i="11"/>
  <c r="AE20" i="11"/>
  <c r="AA20" i="11"/>
  <c r="AA14" i="11" s="1"/>
  <c r="S20" i="11"/>
  <c r="O20" i="11"/>
  <c r="O14" i="11" s="1"/>
  <c r="L20" i="11"/>
  <c r="L10" i="11" s="1"/>
  <c r="AR15" i="11" l="1"/>
  <c r="Y12" i="13"/>
  <c r="T12" i="13"/>
  <c r="AP10" i="11"/>
  <c r="AC118" i="11"/>
  <c r="AC86" i="11" s="1"/>
  <c r="AC15" i="11"/>
  <c r="BF21" i="11"/>
  <c r="BF20" i="11" s="1"/>
  <c r="BE20" i="11"/>
  <c r="AN16" i="11"/>
  <c r="AK10" i="11"/>
  <c r="AL10" i="11" s="1"/>
  <c r="AK14" i="11"/>
  <c r="AH10" i="11"/>
  <c r="AH14" i="11"/>
  <c r="AS10" i="11"/>
  <c r="AS18" i="11" s="1"/>
  <c r="AS14" i="11"/>
  <c r="T20" i="11"/>
  <c r="T15" i="11"/>
  <c r="AG16" i="11"/>
  <c r="AQ10" i="11"/>
  <c r="AQ14" i="11"/>
  <c r="AT10" i="11"/>
  <c r="AT18" i="11" s="1"/>
  <c r="AT14" i="11"/>
  <c r="AP16" i="11"/>
  <c r="N12" i="11"/>
  <c r="AQ16" i="11"/>
  <c r="AG14" i="11"/>
  <c r="AG10" i="11"/>
  <c r="AG18" i="11" s="1"/>
  <c r="AH12" i="11"/>
  <c r="AI12" i="11" s="1"/>
  <c r="AK12" i="11"/>
  <c r="AL12" i="11" s="1"/>
  <c r="AT16" i="11"/>
  <c r="AS16" i="11"/>
  <c r="AM16" i="11"/>
  <c r="AJ16" i="11"/>
  <c r="AL16" i="11" s="1"/>
  <c r="BJ118" i="11"/>
  <c r="BJ86" i="11" s="1"/>
  <c r="BJ11" i="11" s="1"/>
  <c r="AM14" i="11"/>
  <c r="AM10" i="11"/>
  <c r="AN10" i="11"/>
  <c r="AN14" i="11"/>
  <c r="BA21" i="11"/>
  <c r="AZ20" i="11"/>
  <c r="AF15" i="11"/>
  <c r="Q15" i="11"/>
  <c r="T12" i="11"/>
  <c r="AR12" i="11"/>
  <c r="Z12" i="11"/>
  <c r="Q12" i="11"/>
  <c r="AO12" i="11"/>
  <c r="AF12" i="11"/>
  <c r="AL15" i="11"/>
  <c r="AO15" i="11"/>
  <c r="Z15" i="11"/>
  <c r="W15" i="11"/>
  <c r="N15" i="11"/>
  <c r="BJ10" i="11"/>
  <c r="BJ14" i="11"/>
  <c r="BD14" i="11"/>
  <c r="AY10" i="11"/>
  <c r="AR20" i="11"/>
  <c r="V14" i="11"/>
  <c r="W14" i="11" s="1"/>
  <c r="W20" i="11"/>
  <c r="AI20" i="11"/>
  <c r="AL20" i="11"/>
  <c r="M14" i="11"/>
  <c r="N20" i="11"/>
  <c r="AB10" i="11"/>
  <c r="AC20" i="11"/>
  <c r="AE14" i="11"/>
  <c r="AF14" i="11" s="1"/>
  <c r="AF20" i="11"/>
  <c r="P10" i="11"/>
  <c r="Q20" i="11"/>
  <c r="AO20" i="11"/>
  <c r="Y10" i="11"/>
  <c r="Z20" i="11"/>
  <c r="BH12" i="11"/>
  <c r="BI12" i="11"/>
  <c r="K16" i="11"/>
  <c r="BI14" i="11"/>
  <c r="BH14" i="11"/>
  <c r="AE6" i="13"/>
  <c r="AH6" i="13"/>
  <c r="AJ6" i="13" s="1"/>
  <c r="Y9" i="13"/>
  <c r="T9" i="13"/>
  <c r="N6" i="13"/>
  <c r="AQ6" i="13"/>
  <c r="AS6" i="13" s="1"/>
  <c r="AM6" i="13"/>
  <c r="AO6" i="13" s="1"/>
  <c r="T14" i="13"/>
  <c r="Y14" i="13"/>
  <c r="V6" i="13"/>
  <c r="X6" i="13" s="1"/>
  <c r="BI16" i="11"/>
  <c r="U12" i="11"/>
  <c r="W12" i="11" s="1"/>
  <c r="K86" i="11"/>
  <c r="K11" i="11" s="1"/>
  <c r="K18" i="11" s="1"/>
  <c r="O10" i="11"/>
  <c r="L16" i="11"/>
  <c r="M86" i="11"/>
  <c r="M11" i="11" s="1"/>
  <c r="U10" i="11"/>
  <c r="M16" i="11"/>
  <c r="BD86" i="11"/>
  <c r="BD11" i="11" s="1"/>
  <c r="AP86" i="11"/>
  <c r="AP11" i="11" s="1"/>
  <c r="M10" i="11"/>
  <c r="N10" i="11" s="1"/>
  <c r="AJ86" i="11"/>
  <c r="AJ11" i="11" s="1"/>
  <c r="AJ18" i="11" s="1"/>
  <c r="BH86" i="11"/>
  <c r="O86" i="11"/>
  <c r="O11" i="11" s="1"/>
  <c r="AE86" i="11"/>
  <c r="AE11" i="11" s="1"/>
  <c r="BH10" i="11"/>
  <c r="K14" i="11"/>
  <c r="Y86" i="11"/>
  <c r="Y11" i="11" s="1"/>
  <c r="AB16" i="11"/>
  <c r="BC10" i="11"/>
  <c r="Y14" i="11"/>
  <c r="Z14" i="11" s="1"/>
  <c r="AN86" i="11"/>
  <c r="AN11" i="11" s="1"/>
  <c r="AN18" i="11" s="1"/>
  <c r="AA16" i="11"/>
  <c r="AM86" i="11"/>
  <c r="AM11" i="11" s="1"/>
  <c r="AM18" i="11" s="1"/>
  <c r="R16" i="11"/>
  <c r="O16" i="11"/>
  <c r="X10" i="11"/>
  <c r="V16" i="11"/>
  <c r="W16" i="11" s="1"/>
  <c r="L86" i="11"/>
  <c r="L11" i="11" s="1"/>
  <c r="L18" i="11" s="1"/>
  <c r="P86" i="11"/>
  <c r="P11" i="11" s="1"/>
  <c r="AY14" i="11"/>
  <c r="AD86" i="11"/>
  <c r="AD11" i="11" s="1"/>
  <c r="AE16" i="11"/>
  <c r="S86" i="11"/>
  <c r="S11" i="11" s="1"/>
  <c r="AX86" i="11"/>
  <c r="AX11" i="11" s="1"/>
  <c r="AA86" i="11"/>
  <c r="AA11" i="11" s="1"/>
  <c r="AQ86" i="11"/>
  <c r="AQ11" i="11" s="1"/>
  <c r="BI86" i="11"/>
  <c r="AB86" i="11"/>
  <c r="AB11" i="11" s="1"/>
  <c r="S16" i="11"/>
  <c r="V10" i="11"/>
  <c r="U86" i="11"/>
  <c r="U11" i="11" s="1"/>
  <c r="AK86" i="11"/>
  <c r="AK11" i="11" s="1"/>
  <c r="BC86" i="11"/>
  <c r="BC11" i="11" s="1"/>
  <c r="V86" i="11"/>
  <c r="V11" i="11" s="1"/>
  <c r="AD16" i="11"/>
  <c r="AX16" i="11"/>
  <c r="Y16" i="11"/>
  <c r="R14" i="11"/>
  <c r="BC16" i="11"/>
  <c r="BD16" i="11"/>
  <c r="AY16" i="11"/>
  <c r="P16" i="11"/>
  <c r="BH16" i="11"/>
  <c r="X16" i="11"/>
  <c r="X86" i="11"/>
  <c r="X11" i="11" s="1"/>
  <c r="AY86" i="11"/>
  <c r="AY11" i="11" s="1"/>
  <c r="R86" i="11"/>
  <c r="R11" i="11" s="1"/>
  <c r="R18" i="11" s="1"/>
  <c r="BD10" i="11"/>
  <c r="AB14" i="11"/>
  <c r="AC14" i="11" s="1"/>
  <c r="AD10" i="11"/>
  <c r="AE10" i="11"/>
  <c r="AA10" i="11"/>
  <c r="P14" i="11"/>
  <c r="Q14" i="11" s="1"/>
  <c r="AX10" i="11"/>
  <c r="L14" i="11"/>
  <c r="BI10" i="11"/>
  <c r="S14" i="11"/>
  <c r="S10" i="11"/>
  <c r="T10" i="11" s="1"/>
  <c r="AR10" i="11" l="1"/>
  <c r="AP18" i="11"/>
  <c r="AQ18" i="11"/>
  <c r="AI10" i="11"/>
  <c r="BJ18" i="11"/>
  <c r="AO16" i="11"/>
  <c r="AK18" i="11"/>
  <c r="AL18" i="11" s="1"/>
  <c r="BA20" i="11"/>
  <c r="BK20" i="11" s="1"/>
  <c r="BK10" i="11" s="1"/>
  <c r="BK21" i="11"/>
  <c r="AH18" i="11"/>
  <c r="AI18" i="11" s="1"/>
  <c r="T16" i="11"/>
  <c r="AF10" i="11"/>
  <c r="AI16" i="11"/>
  <c r="AR16" i="11"/>
  <c r="AC16" i="11"/>
  <c r="N16" i="11"/>
  <c r="Q16" i="11"/>
  <c r="Z16" i="11"/>
  <c r="AF16" i="11"/>
  <c r="AI11" i="11"/>
  <c r="AL11" i="11"/>
  <c r="AB18" i="11"/>
  <c r="AC11" i="11"/>
  <c r="AF11" i="11"/>
  <c r="N11" i="11"/>
  <c r="T11" i="11"/>
  <c r="AO11" i="11"/>
  <c r="Z11" i="11"/>
  <c r="W11" i="11"/>
  <c r="AR11" i="11"/>
  <c r="Q11" i="11"/>
  <c r="T14" i="11"/>
  <c r="W10" i="11"/>
  <c r="P18" i="11"/>
  <c r="Z10" i="11"/>
  <c r="BE10" i="11"/>
  <c r="BE18" i="11" s="1"/>
  <c r="BE14" i="11"/>
  <c r="AZ10" i="11"/>
  <c r="AZ18" i="11" s="1"/>
  <c r="AZ14" i="11"/>
  <c r="AY18" i="11"/>
  <c r="AO14" i="11"/>
  <c r="AI14" i="11"/>
  <c r="Y18" i="11"/>
  <c r="Q10" i="11"/>
  <c r="AC10" i="11"/>
  <c r="AL14" i="11"/>
  <c r="AU14" i="11"/>
  <c r="AU10" i="11"/>
  <c r="AU18" i="11" s="1"/>
  <c r="AO10" i="11"/>
  <c r="N14" i="11"/>
  <c r="AR14" i="11"/>
  <c r="BI11" i="11"/>
  <c r="AE18" i="11"/>
  <c r="BH11" i="11"/>
  <c r="O18" i="11"/>
  <c r="M18" i="11"/>
  <c r="N18" i="11" s="1"/>
  <c r="T6" i="13"/>
  <c r="Y6" i="13"/>
  <c r="AK6" i="13"/>
  <c r="U18" i="11"/>
  <c r="BD18" i="11"/>
  <c r="S18" i="11"/>
  <c r="T18" i="11" s="1"/>
  <c r="AD18" i="11"/>
  <c r="BC18" i="11"/>
  <c r="V18" i="11"/>
  <c r="AX18" i="11"/>
  <c r="X18" i="11"/>
  <c r="AA18" i="11"/>
  <c r="AR18" i="11" l="1"/>
  <c r="AC18" i="11"/>
  <c r="Q18" i="11"/>
  <c r="AO18" i="11"/>
  <c r="BF14" i="11"/>
  <c r="BF10" i="11"/>
  <c r="BF18" i="11" s="1"/>
  <c r="BA10" i="11"/>
  <c r="BA18" i="11" s="1"/>
  <c r="BA14" i="11"/>
  <c r="W18" i="11"/>
  <c r="AV10" i="11"/>
  <c r="AV18" i="11" s="1"/>
  <c r="AV14" i="11"/>
  <c r="AF18" i="11"/>
  <c r="Z18" i="11"/>
  <c r="BH18" i="11"/>
  <c r="BI18" i="11"/>
  <c r="BK14" i="11" l="1"/>
  <c r="BK18" i="11"/>
</calcChain>
</file>

<file path=xl/comments1.xml><?xml version="1.0" encoding="utf-8"?>
<comments xmlns="http://schemas.openxmlformats.org/spreadsheetml/2006/main">
  <authors>
    <author>vdadzite</author>
    <author>Evija Kvēpa-Vēbere</author>
  </authors>
  <commentList>
    <comment ref="F23" authorId="0">
      <text>
        <r>
          <rPr>
            <b/>
            <sz val="9"/>
            <color indexed="81"/>
            <rFont val="Tahoma"/>
            <family val="2"/>
            <charset val="186"/>
          </rPr>
          <t>vdadzite:</t>
        </r>
        <r>
          <rPr>
            <sz val="9"/>
            <color indexed="81"/>
            <rFont val="Tahoma"/>
            <family val="2"/>
            <charset val="186"/>
          </rPr>
          <t xml:space="preserve">
precizēts atbilstoši MK 09.10.2012. lemtajam (prot. Nr.56, paragr.37)</t>
        </r>
      </text>
    </comment>
    <comment ref="E39" authorId="0">
      <text>
        <r>
          <rPr>
            <b/>
            <sz val="9"/>
            <color indexed="81"/>
            <rFont val="Tahoma"/>
            <family val="2"/>
            <charset val="186"/>
          </rPr>
          <t>vdadzite:</t>
        </r>
        <r>
          <rPr>
            <sz val="9"/>
            <color indexed="81"/>
            <rFont val="Tahoma"/>
            <family val="2"/>
            <charset val="186"/>
          </rPr>
          <t xml:space="preserve">
S</t>
        </r>
        <r>
          <rPr>
            <sz val="14"/>
            <color indexed="81"/>
            <rFont val="Tahoma"/>
            <family val="2"/>
            <charset val="186"/>
          </rPr>
          <t xml:space="preserve">askaņā ar MK 22.01.2013. lemto (prot. Nr.5, 24.paragr.)
</t>
        </r>
        <r>
          <rPr>
            <b/>
            <sz val="14"/>
            <color indexed="81"/>
            <rFont val="Tahoma"/>
            <family val="2"/>
            <charset val="186"/>
          </rPr>
          <t xml:space="preserve">KFortina:
</t>
        </r>
        <r>
          <rPr>
            <sz val="14"/>
            <color indexed="81"/>
            <rFont val="Tahoma"/>
            <family val="2"/>
            <charset val="186"/>
          </rPr>
          <t>virssaistību summa - 1 781 261 lati - koriģēta par 325 000 latiem</t>
        </r>
        <r>
          <rPr>
            <b/>
            <sz val="14"/>
            <color indexed="81"/>
            <rFont val="Tahoma"/>
            <family val="2"/>
            <charset val="186"/>
          </rPr>
          <t xml:space="preserve"> </t>
        </r>
        <r>
          <rPr>
            <sz val="14"/>
            <color indexed="81"/>
            <rFont val="Tahoma"/>
            <family val="2"/>
            <charset val="186"/>
          </rPr>
          <t xml:space="preserve">saskaņā ar Finanšu ministrijas sagatavoto kārtējo MK informatīvo ziņojumu par Eiropas Savienības struktūrfondu un  Kohēzijas fonda, Eiropas Ekonomikas zonas finanšu instrumenta, Norvēģijas valdības divpusējā finanšu instrumenta un Latvijas un Šveices sadarbības programmas apguvi līdz 2012.gada 31.decembrim un tam pievienotā MK protokollēmuma projekta 7.punktu.
</t>
        </r>
      </text>
    </comment>
    <comment ref="L112" authorId="1">
      <text>
        <r>
          <rPr>
            <b/>
            <sz val="9"/>
            <color indexed="81"/>
            <rFont val="Tahoma"/>
            <family val="2"/>
            <charset val="186"/>
          </rPr>
          <t>Evija Kvēpa-Vēbere:</t>
        </r>
        <r>
          <rPr>
            <sz val="9"/>
            <color indexed="81"/>
            <rFont val="Tahoma"/>
            <family val="2"/>
            <charset val="186"/>
          </rPr>
          <t xml:space="preserve">
Cēsu PPA un Rīgas dome</t>
        </r>
      </text>
    </comment>
  </commentList>
</comments>
</file>

<file path=xl/comments2.xml><?xml version="1.0" encoding="utf-8"?>
<comments xmlns="http://schemas.openxmlformats.org/spreadsheetml/2006/main">
  <authors>
    <author>Gunta Līdaka</author>
    <author>es-pelse</author>
    <author>Diāna Bogorode</author>
    <author>Artūrs Šluburs</author>
    <author>pd-radvi</author>
  </authors>
  <commentList>
    <comment ref="K123" authorId="0">
      <text>
        <r>
          <rPr>
            <b/>
            <sz val="8"/>
            <color indexed="81"/>
            <rFont val="Tahoma"/>
            <family val="2"/>
            <charset val="186"/>
          </rPr>
          <t>Gunta Līdaka:</t>
        </r>
        <r>
          <rPr>
            <sz val="8"/>
            <color indexed="81"/>
            <rFont val="Tahoma"/>
            <family val="2"/>
            <charset val="186"/>
          </rPr>
          <t xml:space="preserve">
Nav ar EK saskaņota aktivitātes ieviešana.</t>
        </r>
      </text>
    </comment>
    <comment ref="F126" authorId="1">
      <text>
        <r>
          <rPr>
            <b/>
            <sz val="14"/>
            <color indexed="81"/>
            <rFont val="Times New Roman"/>
            <family val="1"/>
            <charset val="186"/>
          </rPr>
          <t>es-pelse:</t>
        </r>
        <r>
          <rPr>
            <sz val="14"/>
            <color indexed="81"/>
            <rFont val="Times New Roman"/>
            <family val="1"/>
            <charset val="186"/>
          </rPr>
          <t xml:space="preserve">
2.3.2.4.aktivitāte pārnesta uz 2.1.prioriāti ar MK 13.01.2009. rīkojumu Nr.11</t>
        </r>
      </text>
    </comment>
    <comment ref="L126" authorId="2">
      <text>
        <r>
          <rPr>
            <b/>
            <sz val="12"/>
            <color indexed="81"/>
            <rFont val="Tahoma"/>
            <family val="2"/>
            <charset val="186"/>
          </rPr>
          <t>Diāna Bogorode:</t>
        </r>
        <r>
          <rPr>
            <sz val="12"/>
            <color indexed="81"/>
            <rFont val="Tahoma"/>
            <family val="2"/>
            <charset val="186"/>
          </rPr>
          <t xml:space="preserve">
saskaņā ar 26.06.2012. MK noteikumiem Nr.434 ("LV", 101 (4704), 28.06.2012.) [stājas spēkā a</t>
        </r>
        <r>
          <rPr>
            <sz val="9"/>
            <color indexed="81"/>
            <rFont val="Tahoma"/>
            <family val="2"/>
            <charset val="186"/>
          </rPr>
          <t>r 29.06.2012.]</t>
        </r>
      </text>
    </comment>
    <comment ref="J127" authorId="0">
      <text>
        <r>
          <rPr>
            <b/>
            <sz val="10"/>
            <color indexed="81"/>
            <rFont val="Tahoma"/>
            <family val="2"/>
            <charset val="186"/>
          </rPr>
          <t>Gunta Līdaka:</t>
        </r>
        <r>
          <rPr>
            <sz val="10"/>
            <color indexed="81"/>
            <rFont val="Tahoma"/>
            <family val="2"/>
            <charset val="186"/>
          </rPr>
          <t xml:space="preserve">
Valdības š.g. 5.jūlija konceptuāls lēmums par 32 450 000 EUR pārdali 1DP</t>
        </r>
      </text>
    </comment>
    <comment ref="J140" authorId="3">
      <text>
        <r>
          <rPr>
            <b/>
            <sz val="9"/>
            <color indexed="81"/>
            <rFont val="Tahoma"/>
            <family val="2"/>
            <charset val="186"/>
          </rPr>
          <t>Artūrs Šluburs:</t>
        </r>
        <r>
          <rPr>
            <sz val="9"/>
            <color indexed="81"/>
            <rFont val="Tahoma"/>
            <family val="2"/>
            <charset val="186"/>
          </rPr>
          <t xml:space="preserve">
07.12.2012 ir veiktas DPP finansējuma pārdales</t>
        </r>
      </text>
    </comment>
    <comment ref="J141" authorId="3">
      <text>
        <r>
          <rPr>
            <b/>
            <sz val="9"/>
            <color indexed="81"/>
            <rFont val="Tahoma"/>
            <family val="2"/>
            <charset val="186"/>
          </rPr>
          <t>Artūrs Šluburs:</t>
        </r>
        <r>
          <rPr>
            <sz val="9"/>
            <color indexed="81"/>
            <rFont val="Tahoma"/>
            <family val="2"/>
            <charset val="186"/>
          </rPr>
          <t xml:space="preserve">
07.12.2012 ir veiktas DPP finansējuma pārdales</t>
        </r>
      </text>
    </comment>
    <comment ref="J241" authorId="4">
      <text>
        <r>
          <rPr>
            <b/>
            <sz val="8"/>
            <color indexed="81"/>
            <rFont val="Tahoma"/>
            <family val="2"/>
            <charset val="186"/>
          </rPr>
          <t>pd-radvi:</t>
        </r>
        <r>
          <rPr>
            <sz val="8"/>
            <color indexed="81"/>
            <rFont val="Tahoma"/>
            <family val="2"/>
            <charset val="186"/>
          </rPr>
          <t xml:space="preserve">
Saskaņā ar MK 2010.gada 12.janvāra MK protokollēmumu Nr.2 31.§, 3.4.1.2. aktivitāte tiek finansēta no KF un tiek noteikta kā 3.5.1.3.aktivitāte</t>
        </r>
      </text>
    </comment>
    <comment ref="J242" authorId="4">
      <text>
        <r>
          <rPr>
            <b/>
            <sz val="8"/>
            <color indexed="81"/>
            <rFont val="Tahoma"/>
            <family val="2"/>
            <charset val="186"/>
          </rPr>
          <t>pd-radvi:</t>
        </r>
        <r>
          <rPr>
            <sz val="8"/>
            <color indexed="81"/>
            <rFont val="Tahoma"/>
            <family val="2"/>
            <charset val="186"/>
          </rPr>
          <t xml:space="preserve">
Saskaņā ar MK 2010.gada 12.janvāra MK protokollēmumu Nr.2 31.§, 3.4.1.6. aktivitāte tiek finansēta no KF un tiek noteikta kā 3.5.1.4.aktivitāte</t>
        </r>
      </text>
    </comment>
  </commentList>
</comments>
</file>

<file path=xl/comments3.xml><?xml version="1.0" encoding="utf-8"?>
<comments xmlns="http://schemas.openxmlformats.org/spreadsheetml/2006/main">
  <authors>
    <author>Arvis Mucenieks</author>
    <author>Agnese Zariņa</author>
  </authors>
  <commentList>
    <comment ref="W3" authorId="0">
      <text>
        <r>
          <rPr>
            <b/>
            <sz val="9"/>
            <color indexed="81"/>
            <rFont val="Tahoma"/>
            <family val="2"/>
            <charset val="186"/>
          </rPr>
          <t>Arvis Mucenieks:</t>
        </r>
        <r>
          <rPr>
            <sz val="9"/>
            <color indexed="81"/>
            <rFont val="Tahoma"/>
            <family val="2"/>
            <charset val="186"/>
          </rPr>
          <t xml:space="preserve">
Likumā plānotais pret iesniegto prognozi</t>
        </r>
      </text>
    </comment>
    <comment ref="S27" authorId="1">
      <text>
        <r>
          <rPr>
            <b/>
            <sz val="9"/>
            <color indexed="81"/>
            <rFont val="Tahoma"/>
            <family val="2"/>
            <charset val="186"/>
          </rPr>
          <t>Agnese Zariņa:</t>
        </r>
        <r>
          <rPr>
            <sz val="9"/>
            <color indexed="81"/>
            <rFont val="Tahoma"/>
            <family val="2"/>
            <charset val="186"/>
          </rPr>
          <t xml:space="preserve">
Pārējo neapgūs???</t>
        </r>
      </text>
    </comment>
    <comment ref="S61" authorId="1">
      <text>
        <r>
          <rPr>
            <b/>
            <sz val="9"/>
            <color indexed="81"/>
            <rFont val="Tahoma"/>
            <family val="2"/>
            <charset val="186"/>
          </rPr>
          <t>Agnese Zariņa:</t>
        </r>
        <r>
          <rPr>
            <sz val="9"/>
            <color indexed="81"/>
            <rFont val="Tahoma"/>
            <family val="2"/>
            <charset val="186"/>
          </rPr>
          <t xml:space="preserve">
Tad neapgūs virssaistībaas???</t>
        </r>
      </text>
    </comment>
    <comment ref="S63" authorId="1">
      <text>
        <r>
          <rPr>
            <b/>
            <sz val="9"/>
            <color indexed="81"/>
            <rFont val="Tahoma"/>
            <family val="2"/>
            <charset val="186"/>
          </rPr>
          <t>Agnese Zariņa:</t>
        </r>
        <r>
          <rPr>
            <sz val="9"/>
            <color indexed="81"/>
            <rFont val="Tahoma"/>
            <family val="2"/>
            <charset val="186"/>
          </rPr>
          <t xml:space="preserve">
Neplāno apgūt???</t>
        </r>
      </text>
    </comment>
    <comment ref="S84" authorId="1">
      <text>
        <r>
          <rPr>
            <b/>
            <sz val="9"/>
            <color indexed="81"/>
            <rFont val="Tahoma"/>
            <family val="2"/>
            <charset val="186"/>
          </rPr>
          <t>Agnese Zariņa:</t>
        </r>
        <r>
          <rPr>
            <sz val="9"/>
            <color indexed="81"/>
            <rFont val="Tahoma"/>
            <family val="2"/>
            <charset val="186"/>
          </rPr>
          <t xml:space="preserve">
Piešķīrumu apgūs?</t>
        </r>
      </text>
    </comment>
    <comment ref="S88" authorId="1">
      <text>
        <r>
          <rPr>
            <b/>
            <sz val="9"/>
            <color indexed="81"/>
            <rFont val="Tahoma"/>
            <family val="2"/>
            <charset val="186"/>
          </rPr>
          <t>Agnese Zariņa:</t>
        </r>
        <r>
          <rPr>
            <sz val="9"/>
            <color indexed="81"/>
            <rFont val="Tahoma"/>
            <family val="2"/>
            <charset val="186"/>
          </rPr>
          <t xml:space="preserve">
kādos nākamos gados vajag ieplānot? Principā jau apgūs???</t>
        </r>
      </text>
    </comment>
  </commentList>
</comments>
</file>

<file path=xl/sharedStrings.xml><?xml version="1.0" encoding="utf-8"?>
<sst xmlns="http://schemas.openxmlformats.org/spreadsheetml/2006/main" count="3459" uniqueCount="1598">
  <si>
    <t>2.1.1.1.</t>
  </si>
  <si>
    <t>2.1.1.2.</t>
  </si>
  <si>
    <t>2.1.1.3.1.</t>
  </si>
  <si>
    <t>2.1.1.3.2.</t>
  </si>
  <si>
    <t>2.1.2.1.1.</t>
  </si>
  <si>
    <t>2.1.2.1.2.</t>
  </si>
  <si>
    <t>2.1.2.1.3.</t>
  </si>
  <si>
    <t>2.1.2.2.1.</t>
  </si>
  <si>
    <t>2.1.2.2.2.</t>
  </si>
  <si>
    <t>2.1.2.2.3.</t>
  </si>
  <si>
    <t>2.1.2.4.</t>
  </si>
  <si>
    <t>2.2.1.1.</t>
  </si>
  <si>
    <t>2.2.1.2.1.</t>
  </si>
  <si>
    <t>2.2.1.2.2.</t>
  </si>
  <si>
    <t>2.2.1.3.</t>
  </si>
  <si>
    <t>2.3.1.1.1.</t>
  </si>
  <si>
    <t>2.3.1.1.2.</t>
  </si>
  <si>
    <t>2.3.1.2.</t>
  </si>
  <si>
    <t>2.3.2.1.</t>
  </si>
  <si>
    <t>2.3.2.2.</t>
  </si>
  <si>
    <t>2.4.1.1.</t>
  </si>
  <si>
    <t>1.2.2.1.2.</t>
  </si>
  <si>
    <t>1.3.1.1.3.</t>
  </si>
  <si>
    <t>1.3.1.3.2.</t>
  </si>
  <si>
    <t>1.3.1.4.</t>
  </si>
  <si>
    <t>1.3.1.6.</t>
  </si>
  <si>
    <t>1.3.1.7.</t>
  </si>
  <si>
    <t>1.3.1.8.</t>
  </si>
  <si>
    <t>1.4.1.1.1.</t>
  </si>
  <si>
    <t>1.4.1.1.2.</t>
  </si>
  <si>
    <t>1.4.1.2.1.</t>
  </si>
  <si>
    <t>1.4.1.2.2.</t>
  </si>
  <si>
    <t>1.4.1.2.4.</t>
  </si>
  <si>
    <t>1.3.1.1.1.</t>
  </si>
  <si>
    <t>1.3.1.1.4.</t>
  </si>
  <si>
    <t>1.3.1.2.</t>
  </si>
  <si>
    <t>1.3.1.9.</t>
  </si>
  <si>
    <t>1.5.1.1.1.</t>
  </si>
  <si>
    <t>1.5.1.1.2.</t>
  </si>
  <si>
    <t>1.5.1.2.</t>
  </si>
  <si>
    <t>1.5.1.3.1.</t>
  </si>
  <si>
    <t>1.5.1.3.2.</t>
  </si>
  <si>
    <t>1.5.2.1.</t>
  </si>
  <si>
    <t>1.5.2.2.1.</t>
  </si>
  <si>
    <t>1.5.2.2.2.</t>
  </si>
  <si>
    <t>1.5.2.2.3.</t>
  </si>
  <si>
    <t>1.1.1.1.</t>
  </si>
  <si>
    <t>1.1.1.2.</t>
  </si>
  <si>
    <t>1.1.2.1.1.</t>
  </si>
  <si>
    <t>1.1.2.2.1.</t>
  </si>
  <si>
    <t>1.1.2.2.2.</t>
  </si>
  <si>
    <t>1.2.1.1.1.</t>
  </si>
  <si>
    <t>1.2.1.1.2.</t>
  </si>
  <si>
    <t>1.2.1.1.3.</t>
  </si>
  <si>
    <t>1.2.1.1.4.</t>
  </si>
  <si>
    <t>1.2.1.2.1.</t>
  </si>
  <si>
    <t>1.2.1.2.2.</t>
  </si>
  <si>
    <t>1.2.1.2.3.</t>
  </si>
  <si>
    <t>1.2.2.1.1.</t>
  </si>
  <si>
    <t>1.2.2.1.3.</t>
  </si>
  <si>
    <t>1.2.2.1.5</t>
  </si>
  <si>
    <t>1.2.2.2.1.</t>
  </si>
  <si>
    <t>1.2.2.2.2.</t>
  </si>
  <si>
    <t>1.2.2.3.1.</t>
  </si>
  <si>
    <t>1.2.2.3.2.</t>
  </si>
  <si>
    <t>1.2.2.4.1.</t>
  </si>
  <si>
    <t>1.2.2.4.2.</t>
  </si>
  <si>
    <t>1.3.2.1.</t>
  </si>
  <si>
    <t>1.3.2.2.</t>
  </si>
  <si>
    <t>1.3.2.3.</t>
  </si>
  <si>
    <t>1.5.3.1.</t>
  </si>
  <si>
    <t>1.5.3.2.</t>
  </si>
  <si>
    <t>1.6.1.1.</t>
  </si>
  <si>
    <t>1.1.2.1.2.</t>
  </si>
  <si>
    <t>3.4.2.1.1.</t>
  </si>
  <si>
    <t>3.4.2.1.2.</t>
  </si>
  <si>
    <t>3.4.2.1.3.</t>
  </si>
  <si>
    <t>3.4.2.2.</t>
  </si>
  <si>
    <t>3.4.4.1.</t>
  </si>
  <si>
    <t>3.4.4.2.</t>
  </si>
  <si>
    <t>3.1.1.1.</t>
  </si>
  <si>
    <t>3.1.1.2.</t>
  </si>
  <si>
    <t>3.1.2.1.1.</t>
  </si>
  <si>
    <t>3.1.2.1.2.</t>
  </si>
  <si>
    <t>3.1.3.1.</t>
  </si>
  <si>
    <t>3.1.3.2.</t>
  </si>
  <si>
    <t>3.1.3.3.1.</t>
  </si>
  <si>
    <t>3.1.3.3.2.</t>
  </si>
  <si>
    <t>3.2.2.1.2.</t>
  </si>
  <si>
    <t>3.7.1.1.</t>
  </si>
  <si>
    <t>3.2.1.1.</t>
  </si>
  <si>
    <t>3.2.1.2.</t>
  </si>
  <si>
    <t>3.2.1.3.1.</t>
  </si>
  <si>
    <t>3.2.1.3.2.</t>
  </si>
  <si>
    <t>3.2.1.4.</t>
  </si>
  <si>
    <t>3.2.1.5.</t>
  </si>
  <si>
    <t>3.2.2.3.</t>
  </si>
  <si>
    <t>3.2.2.4.1.</t>
  </si>
  <si>
    <t>3.2.2.4.2.</t>
  </si>
  <si>
    <t>3.4.1.1.</t>
  </si>
  <si>
    <t>3.4.1.3.</t>
  </si>
  <si>
    <t>3.4.1.4.</t>
  </si>
  <si>
    <t>3.4.1.5.1.</t>
  </si>
  <si>
    <t>3.4.1.5.2.</t>
  </si>
  <si>
    <t>3.1.4.3.</t>
  </si>
  <si>
    <t>3.2.2.1.1.</t>
  </si>
  <si>
    <t>3.2.2.2.</t>
  </si>
  <si>
    <t>3.6.1.1.</t>
  </si>
  <si>
    <t>3.6.1.2.</t>
  </si>
  <si>
    <t>3.1.5.1.1.</t>
  </si>
  <si>
    <t>3.1.5.1.2.</t>
  </si>
  <si>
    <t>3.1.5.2.</t>
  </si>
  <si>
    <t>3.1.5.3.1.</t>
  </si>
  <si>
    <t>3.1.5.3.2.</t>
  </si>
  <si>
    <t>3.4.3.1.</t>
  </si>
  <si>
    <t>3.4.3.2.</t>
  </si>
  <si>
    <t>3.4.3.3.</t>
  </si>
  <si>
    <t>3.1.4.1.1.</t>
  </si>
  <si>
    <t>3.1.4.1.2.</t>
  </si>
  <si>
    <t>3.1.4.1.3.</t>
  </si>
  <si>
    <t>3.1.4.1.4.</t>
  </si>
  <si>
    <t>3.1.4.1.5.</t>
  </si>
  <si>
    <t>3.1.4.2.</t>
  </si>
  <si>
    <t>3.5.1.1.</t>
  </si>
  <si>
    <t>3.5.1.2.1.</t>
  </si>
  <si>
    <t>3.5.1.2.2.</t>
  </si>
  <si>
    <t>3.5.1.2.3.</t>
  </si>
  <si>
    <t>3.3.1.1.</t>
  </si>
  <si>
    <t>3.3.1.2.</t>
  </si>
  <si>
    <t>3.3.1.3.</t>
  </si>
  <si>
    <t>3.3.1.4.</t>
  </si>
  <si>
    <t>3.3.1.5.</t>
  </si>
  <si>
    <t>3.3.2.1.</t>
  </si>
  <si>
    <t>3.5.2.2.</t>
  </si>
  <si>
    <t>3.5.2.3.</t>
  </si>
  <si>
    <t>3.5.2.4.</t>
  </si>
  <si>
    <t>3.8.1.1.</t>
  </si>
  <si>
    <t>1.1.1.3.</t>
  </si>
  <si>
    <t>3.6.2.1.</t>
  </si>
  <si>
    <t>3.3.1.6.</t>
  </si>
  <si>
    <t>3.5.1.3.</t>
  </si>
  <si>
    <t>3.5.1.4.</t>
  </si>
  <si>
    <t>2.3.2.3.</t>
  </si>
  <si>
    <t>Aktivitāte "Atbalsts darba vietu radīšanai"</t>
  </si>
  <si>
    <t>2.1.2.2.4.</t>
  </si>
  <si>
    <t>Apakšaktivitāte "MVK jaunu produktu un tehnoloģiju attīstības programma"</t>
  </si>
  <si>
    <t>2.1.2.3.1.</t>
  </si>
  <si>
    <t>2.2.1.4.1.</t>
  </si>
  <si>
    <t>2.2.1.4.2.</t>
  </si>
  <si>
    <t>3.5.2.1.2.</t>
  </si>
  <si>
    <t>3.5.2.1.1.</t>
  </si>
  <si>
    <t>2014.g.</t>
  </si>
  <si>
    <t>2015.g.</t>
  </si>
  <si>
    <t>Kopā</t>
  </si>
  <si>
    <t>Janvāris</t>
  </si>
  <si>
    <t>Februāris</t>
  </si>
  <si>
    <t>Marts</t>
  </si>
  <si>
    <t>Aprīlis</t>
  </si>
  <si>
    <t>Maijs</t>
  </si>
  <si>
    <t>Jūnijs</t>
  </si>
  <si>
    <t>Jūlijs</t>
  </si>
  <si>
    <t>Augusts</t>
  </si>
  <si>
    <t>Septembris</t>
  </si>
  <si>
    <t>Oktobris</t>
  </si>
  <si>
    <t>Novembris</t>
  </si>
  <si>
    <t>3.1.4.4.</t>
  </si>
  <si>
    <t>Komentāri</t>
  </si>
  <si>
    <t>1.3.1.1.5.</t>
  </si>
  <si>
    <t>1.3.1.3.1.</t>
  </si>
  <si>
    <t>1.3.1.1.6.</t>
  </si>
  <si>
    <t>Ministrija; Aktivitāte; Apakšaktivitāte</t>
  </si>
  <si>
    <t>Ieviesējinstitūcijas; Aktivitāte; Apakšaktivitāte; Finanšu instruments</t>
  </si>
  <si>
    <t>ES fondu daļa</t>
  </si>
  <si>
    <t>Kopējais finansējums (ieskaitot finanšu starpinst. līdzfin.)*</t>
  </si>
  <si>
    <t>VA/S "Latvijas Hipotēku un zemes banka"</t>
  </si>
  <si>
    <t>Aktivitāte "Atbalsts pašnodarbinātības un uzņēmējdarbības uzsākšanai"</t>
  </si>
  <si>
    <t>Aizdevumi</t>
  </si>
  <si>
    <t xml:space="preserve">Granti aizdevuma dzēšanai </t>
  </si>
  <si>
    <t xml:space="preserve">Granti saimnieciskās darbības uzsākšanai </t>
  </si>
  <si>
    <t>Apakšaktivitāte "Atbalsts aizdevumu veidā komersantu konkurētspējas uzlabošanai"</t>
  </si>
  <si>
    <t xml:space="preserve">SIA "Latvijas Garantiju aģentūra" </t>
  </si>
  <si>
    <t>Aizdevumu instrumenti kopā:</t>
  </si>
  <si>
    <t>Aktivitāte "Garantijas komersantu konkurētspējas uzlabošanai"</t>
  </si>
  <si>
    <t>Konkurētspējas garantijas</t>
  </si>
  <si>
    <t>Eksporta garantijas</t>
  </si>
  <si>
    <t>Apakšaktivitāte "Mezanīna aizdevumi investīcijām komersantu konkurētspējas uzlabošanai"</t>
  </si>
  <si>
    <t>* Kopējais finansējums = ES fondu daļa + Nacionālais publiskais fin. + finanšu starpniekinstitūcijas līdzfinansējums</t>
  </si>
  <si>
    <t>Uzsākšanas kapitāla instruments - Imprimatur (ieguldījumi)</t>
  </si>
  <si>
    <t>Riska kapitāla instrumenti kopā:</t>
  </si>
  <si>
    <t>Finanšu instrumenti kopā:</t>
  </si>
  <si>
    <t>S.Laugale - Volbaka</t>
  </si>
  <si>
    <t>67083964 Sintija.Laugale-Volbaka@fm.gov.lv</t>
  </si>
  <si>
    <t xml:space="preserve">AI mērķis maksājumiem fin. saņēmējiem (ES fondu daļa), LVL </t>
  </si>
  <si>
    <t xml:space="preserve">Eiropas Sociālais fonds </t>
  </si>
  <si>
    <t>Eiropas Reģionālās attīstības fonds</t>
  </si>
  <si>
    <t xml:space="preserve">Kohēzijas fonds </t>
  </si>
  <si>
    <t xml:space="preserve">DP "Cilvēkresursi un nodarbinātība" (ESF) </t>
  </si>
  <si>
    <t>DP "Uzņēmējdarbība un inovācijas" (ERAF)</t>
  </si>
  <si>
    <t>DP "Infrastruktūra un pakalpojumi" (ERAF/KF)</t>
  </si>
  <si>
    <t>Kopā:</t>
  </si>
  <si>
    <t>ESF kopā:</t>
  </si>
  <si>
    <t>Izglītības un zinātnes ministrija (ESF) )</t>
  </si>
  <si>
    <t xml:space="preserve">Aktivitāte "Zinātnes un inovāciju politikas veidošanas un administratīvās kapacitātes stiprināšana" </t>
  </si>
  <si>
    <t>Aktivitāte "Cilvēkresursu piesaiste zinātnei"</t>
  </si>
  <si>
    <t>Aktivitāte "Motivācijas veicināšana zinātniskajai darbībai"</t>
  </si>
  <si>
    <t>Apakšaktivitāte "Atbalsts maģistra studiju programmu īstenošanai"</t>
  </si>
  <si>
    <t xml:space="preserve">Apakšaktivitāte "Atbalsts doktora studiju programmu īstenošanai" </t>
  </si>
  <si>
    <t>Apakšaktivitāte "Studiju programmu satura un īstenošanas uzlabošana un akadēmiskā personāla kompetences pilnveidošana"</t>
  </si>
  <si>
    <t> Apakšaktivitāte "Boloņas procesa principu ieviešana augstākajā izglītībā"</t>
  </si>
  <si>
    <t xml:space="preserve">Apakšaktivitāte "Nacionālās kvalifikāciju sistēmas pilnveide, profesionālās izglītības satura un profesionālajā izglītībā iesaistīto pušu sadarbības uzlabošana" </t>
  </si>
  <si>
    <t xml:space="preserve">Apakšaktivitāte "Profesionālajā izglītībā iesaistīto pedagogu kompetences paaugstināšana" </t>
  </si>
  <si>
    <t>Apakšaktivitāte "Atbalsts sākotnējās profesionālās izglītības programmu īstenošanas kvalitātes uzlabošanai un īstenošanai"</t>
  </si>
  <si>
    <t xml:space="preserve">Apakšaktivitāte "Sākotnējās profesionālās izglītības pievilcības veicināšana" </t>
  </si>
  <si>
    <t xml:space="preserve">Apakšaktivitāte "Vispārējās vidējās izglītības satura reforma, mācību priekšmetu, metodikas un mācību sasniegumu vērtēšanas sistēmas uzlabošana" </t>
  </si>
  <si>
    <t>Apakšaktivitāte "Atbalsts vispārējās izglītības pedagogu nodrošināšanai prioritārajos mācību priekšmetos"</t>
  </si>
  <si>
    <t>Apakšaktivitāte "Vispārējās izglītības pedagogu kompetences paaugstināšana un prasmju atjaunošana"</t>
  </si>
  <si>
    <t xml:space="preserve">Apakšaktivitāte " Mūžizglītības pārvaldes struktūras izveide nacionālā līmenī un inovatīvu mūžizglītības politikas instrumentu izstrāde" </t>
  </si>
  <si>
    <t>Apakšaktivitāte „Īpašu mūžizglītības politikas jomu atbalsts"</t>
  </si>
  <si>
    <t>Apakšaktivitāte "Pedagogu konkurētspējas veicināšana izglītības sistēmas optimizācijas apstākļos"</t>
  </si>
  <si>
    <t xml:space="preserve">Apakšaktivitāte "Profesionālās orientācijas un karjeras izglītības attīstība izglītības sistēmā" </t>
  </si>
  <si>
    <t>Apakšaktivitāte "Profesionālās orientācijas un karjeras izglītības pieejamības palielināšana jauniešiem, profesionāli orientētās izglītības attīstība"</t>
  </si>
  <si>
    <t xml:space="preserve">Apakšaktivitāte „Atbalsts izglītības pētījumiem” </t>
  </si>
  <si>
    <t xml:space="preserve">Apakšaktivitāte "Iekļaujošas izglītības un sociālās atstumtības riskam pakļauto jauniešu atbalsta sistēmas izveide, nepieciešamā personāla sagatavošana, nodrošināšana un kompetences paaugstināšana" </t>
  </si>
  <si>
    <t>Apakšaktivitāte "Atbalsta pasākumu īstenošana jauniešu sociālās atstumtības riska mazināšanai un jauniešu ar funkcionālajiem traucējumiem integrācijai izglītībā"</t>
  </si>
  <si>
    <t>Labklājības ministrija (ESF)</t>
  </si>
  <si>
    <t>Apakšaktivitāte "Atbalsts Mūžizglītības politikas pamatnostādņu īstenošanai"</t>
  </si>
  <si>
    <t xml:space="preserve">Apakšaktivitāte "Bezdarbnieku un darba meklētāju apmācība" </t>
  </si>
  <si>
    <t xml:space="preserve">Apakšaktivitāte "Darba attiecību un darba drošības normatīvo aktu uzraudzības pilnveidošana" </t>
  </si>
  <si>
    <t>Apakšaktivitāte "Darba attiecību un darba drošības normatīvo aktu praktiska piemērošana nozarēs un uzņēmumos"</t>
  </si>
  <si>
    <t xml:space="preserve">Aktivitāte "Kapacitātes stiprināšana darba tirgus institūcijām" </t>
  </si>
  <si>
    <t>Aktivitāte "Vietējo nodarbinātības veicināšanas pasākumu plānu ieviešanas atbalsts"</t>
  </si>
  <si>
    <t>Aktivitāte "Atbalsts dzimumu līdztiesības veicināšanai darba tirgū"</t>
  </si>
  <si>
    <t xml:space="preserve">Aktivitāte "Darba tirgus pieprasījuma īstermiņa un ilgtermiņa prognozēšanas un uzraudzības sistēmas attīstība" </t>
  </si>
  <si>
    <t xml:space="preserve">Aktivitāte "Atbalsts labāko inovatīvo risinājumu meklējumiem un labas prakses piemēru integrēšanai darba tirgus politikās un ieviešanas instrumentārijos" </t>
  </si>
  <si>
    <t>Apakšaktivitāte "Kompleksi atbalsta pasākumi iedzīvotāju integrēšanai darba tirgū"</t>
  </si>
  <si>
    <t>Apakšaktivitāte "Atbalstītās nodarbinātības pasākumi mērķgrupu bezdarbniekiem"</t>
  </si>
  <si>
    <t>Apakšaktivitāte "Darbspēju vērtēšanas sistēmas pilnveidošana"</t>
  </si>
  <si>
    <t>Apakšaktivitāte "Sociālās rehabilitācijas pakalpojumu attīstība personām ar redzes un dzirdes traucējumiem"</t>
  </si>
  <si>
    <t xml:space="preserve">Sociālās rehabilitācijas un institūcijām alternatīvu sociālās aprūpes pakalpojumu attīstība reģionos" </t>
  </si>
  <si>
    <t xml:space="preserve">Ekonomikas ministrija (ESF) </t>
  </si>
  <si>
    <t>Apakšaktivitāte "Atbalsts nodarbināto apmācībām komersantu konkurētspējas veicināšanai - atbalsts komersantu individuāli organizētām apmācībām"</t>
  </si>
  <si>
    <t>Aktivitāte "Augstas kvalifikācijas darbinieku piesaiste"</t>
  </si>
  <si>
    <t>Valsts Kanceleja (ESF)</t>
  </si>
  <si>
    <t>Apakšaktivitāte "Politikas pētījumu veikšana"</t>
  </si>
  <si>
    <t xml:space="preserve">Aktivitāte "Administratīvo šķēršļu samazināšana un publisko pakalpojumu kvalitātes uzlabošana" </t>
  </si>
  <si>
    <t>Apakšaktivitāte "Kvalitātes vadības sistēmas izveide un ieviešana"</t>
  </si>
  <si>
    <t xml:space="preserve">Apakšaktivitāte "Publisko pakalpojumu kvalitātes paaugstināšana valsts, reģionālā un vietējā līmenī" </t>
  </si>
  <si>
    <t>Aktivitāte "Publiskās pārvaldes cilvēkresursu plānošanas un vadības sistēmas attīstība"</t>
  </si>
  <si>
    <t>Apakšaktivitāte "Sociālo partneru administratīvās kapacitātes stiprināšana"</t>
  </si>
  <si>
    <t>Apakšaktivitāte "NVO administratīvās kapacitātes stiprināšana"</t>
  </si>
  <si>
    <t xml:space="preserve">Veselības ministrija(ESF) </t>
  </si>
  <si>
    <t>Aktivitāte "Veselības uzlabošana darbavietā, veicinot ilgtspējīgu nodarbinātību"</t>
  </si>
  <si>
    <t>Aktivitāte "Pētījumi un aptaujas par veselību darbā"</t>
  </si>
  <si>
    <t>Aktivitāte "Veselības aprūpes un veicināšanas procesā iesaistīto institūciju personāla kompetences, prasmju un iemaņu līmeņa paaugstināšana"</t>
  </si>
  <si>
    <t>Finanšu ministrija(ESF)</t>
  </si>
  <si>
    <t xml:space="preserve">Apakšaktivitāte "Politikas veidošanas, ieviešanas un tās ietekmes izvērtēšanas pilnveidošana" </t>
  </si>
  <si>
    <t>Aktivitāte "Programmas vadības un atbalsta funkciju nodrošināšana"</t>
  </si>
  <si>
    <t>Vides aizsardzības un reģionālās attīstības ministrija (ESF)</t>
  </si>
  <si>
    <t xml:space="preserve">Aktivitāte "Speciālistu piesaiste plānošanas reģioniem, pilsētām un novadiem" </t>
  </si>
  <si>
    <t>Aktivitāte "Plānošanas reģionu un vietējo pašvaldību attīstības plānošanas kapacitātes paaugstināšana"</t>
  </si>
  <si>
    <t>ERAF kopā:</t>
  </si>
  <si>
    <t>Ekonomikas ministrija (ERAF)</t>
  </si>
  <si>
    <t xml:space="preserve">Ekonomikas ministrija (2DP) </t>
  </si>
  <si>
    <t>Apakšaktivitāte "Kompetences centri"</t>
  </si>
  <si>
    <t>Apakšaktivitāte "Tehnoloģiju pārneses kontaktpunkti"</t>
  </si>
  <si>
    <t>Apakšaktivitāte "Tehnoloģiju pārneses centri"</t>
  </si>
  <si>
    <t>Apakšaktivitāte "Jaunu produktu un tehnoloģiju izstrāde"</t>
  </si>
  <si>
    <t>Apakšaktivitāte "Jaunu produktu un tehnoloģiju izstrāde - atbalsts jaunu produktu un tehnoloģiju ieviešanai ražošanā"</t>
  </si>
  <si>
    <t>Apakšaktivitāte "Jaunu produktu un tehnoloģiju izstrāde - atbalsts rūpnieciskā īpašuma tiesību nostiprināšanai"</t>
  </si>
  <si>
    <t>Apakšaktivitāte "Rīgas zinātnes un tehnoloģiju parka (ZTP) attīstība"</t>
  </si>
  <si>
    <t>Aktivitāte "Augstas pievienotās vērtības investīcijas"</t>
  </si>
  <si>
    <t xml:space="preserve"> Aktivitāte "Ieguldījumu fonds investīcijām garantijās, paaugstināta riska aizdevumos, riska kapitāla fondos un cita veida finanšu instrumentos" </t>
  </si>
  <si>
    <t>Apakšaktivitāte "Biznesa eņģeļu tīkls"</t>
  </si>
  <si>
    <t>Apakšaktivitāte "Vērtspapīru birža MVK"</t>
  </si>
  <si>
    <t>Apakšaktivitāte „Ārējo tirgu apgūšana - ārējais mārketings”</t>
  </si>
  <si>
    <t>Apakšaktivitāte „Ārējo tirgu apgūšana – nozaru starptautiskās konkurētspējas stiprināšana”</t>
  </si>
  <si>
    <t>Aktivitāte "Pasākumi motivācijas celšanai inovācijām un uzņēmējdarbības uzsākšanai"</t>
  </si>
  <si>
    <t>Aktivitāte "Biznesa inkubatori"</t>
  </si>
  <si>
    <t>Aktivitāte "Atbalsts ieguldījumiem mikro, maziem un vidējiem komersantiem īpaši atbalstāmajās teritorijās (ĪAT)"</t>
  </si>
  <si>
    <t>Aktivitāte "Klasteru programma"</t>
  </si>
  <si>
    <t>Aktivitāte "Tehniskā palīdzība (KF)"</t>
  </si>
  <si>
    <t>Finanšu ministrija(KF)</t>
  </si>
  <si>
    <t>Aktivitāte "Daugavas hidroelektrostaciju aizsprostu pārgāžņu rekonstrukcija"</t>
  </si>
  <si>
    <t>Aktivitāte "Vēja elektrostaciju attīstība"</t>
  </si>
  <si>
    <t xml:space="preserve">Aktivitāte "Atjaunojamo energoresursu izmantojošu koģenerācijas elektrostaciju attīstība" </t>
  </si>
  <si>
    <t>Apakšaktivitāte "Pasākumi uzņēmumu siltumapgādes sistēmu efektivitātes paaugstināšanai"</t>
  </si>
  <si>
    <t>Apakšaktivitāte "Pasākumi centralizētās siltumapgādes sistēmu efektivitātes paaugstināšanai"</t>
  </si>
  <si>
    <t xml:space="preserve">Ekonomikas ministrija(KF) </t>
  </si>
  <si>
    <t>Aktivitāte "Ilgtspējīga sabiedriskā transporta sistēmas attīstība"</t>
  </si>
  <si>
    <t>Aktivitāte "Pilsētu infrastruktūras uzlabojumi sasaistei ar TEN-T"</t>
  </si>
  <si>
    <t xml:space="preserve">Aktivitāte "Lidostu infrastruktūras attīstība" </t>
  </si>
  <si>
    <t>Aktivitāte "Lielo ostu infrastruktūras attīstība „Jūras maģistrāļu” ietvaros"</t>
  </si>
  <si>
    <t>Aktivitāte "TEN-T dzelzceļa posmu rekonstrukcija un attīstība (Austrumu-Rietumu dzelzceļa koridora infrastruktūras attīstība un Rail Baltica)"</t>
  </si>
  <si>
    <t>Aktivitāte "TEN-T autoceļu tīkla uzlabojumi 3"</t>
  </si>
  <si>
    <t>Satiksmes ministrija(KF)</t>
  </si>
  <si>
    <t xml:space="preserve">Aktivitāte "Vides monitoringa un kontroles sistēmas attīstība" </t>
  </si>
  <si>
    <t>Aktivitāte "Infrastruktūras izveide natura 2000 teritorijās"</t>
  </si>
  <si>
    <t>Apakšaktivitāte "Dalītās atkritumu apsaimniekošanas sistēmas attīstība"</t>
  </si>
  <si>
    <t>Apakšaktivitāte "Normatīvo aktu prasībām neatbilstošo izgāztuvju rekultivācija"</t>
  </si>
  <si>
    <t>Aktivitāte "Ūdenssaimniecības infrastruktūras attīstība aglomerācijās ar cilvēku ekvivalentu lielāku par 2000"</t>
  </si>
  <si>
    <t>Aktvitiāte "Liepājas Karostas ilgtspējīgas attīstības priekšnoteikumu nodrošināšana"</t>
  </si>
  <si>
    <t xml:space="preserve">Vides aizsardzības un reģionālās attīstības ministrija (KF) </t>
  </si>
  <si>
    <t>KF kopā:</t>
  </si>
  <si>
    <t>Aktivitāte "Darba tirgus institūciju infrastruktūras pilnveidošana"</t>
  </si>
  <si>
    <t>Apakšaktivitāte "Reģionālu atkritumu apsaimniekošanas sistēmu attīstība</t>
  </si>
  <si>
    <t xml:space="preserve">Apakšaktivitāte "Infrastruktūras pilnveidošana sociālās rehabilitācijas pakalpojumu sniegšanai personām ar garīga rakstura traucējumiem" </t>
  </si>
  <si>
    <t>Apakšaktivitāte "Jaunu filiāļu izveide tehnisko palīglīdzekļu nodrošināšanai"</t>
  </si>
  <si>
    <t>Apakšaktivitāte "Infrastruktūras pilnveidošana sociālās rehabilitācijas pakalpojumu sniegšanai personām ar redzes un dzirdes traucējumiem"</t>
  </si>
  <si>
    <t xml:space="preserve">Apakšaktivitāte "Infrastruktūras pilnveidošana profesionālās rehabilitācijas pakalpojumu sniegšanai" </t>
  </si>
  <si>
    <t>Aktivitāte "Atbalsts kultūras pieminekļu privātīpašniekiem kultūras pieminekļu saglabāšanā un to sociālekonomiskā potenciāla efektīvā izmantošanā"</t>
  </si>
  <si>
    <t>Aktivitāte "Sociālekonomiski nozīmīgu kultūrvēstursikā mantojuma objektu atjaunošana"</t>
  </si>
  <si>
    <t>Aktivitāte "Nacionālas un reģionālas nozīmes daudzfunkcionālu centru izveide"</t>
  </si>
  <si>
    <t>Apakšaktivitāte "Onkoloģijas slimnieku radioterapijas ārstēšanas attīstība"</t>
  </si>
  <si>
    <t xml:space="preserve">Apakšaktivitāte "Stacionārās veselības aprūpes attīstība" </t>
  </si>
  <si>
    <t>Aktivitāte "Neatliekamās medicīniskās palīdzības attīstība"</t>
  </si>
  <si>
    <t>Aktivitāte "Atbalsts novadu pašvaldību kompleksai attīstībai"</t>
  </si>
  <si>
    <t xml:space="preserve">Veselības ministrija(ERAF) </t>
  </si>
  <si>
    <t xml:space="preserve">Kultūras ministrija(ERAF) </t>
  </si>
  <si>
    <t>Labklājības ministrija(ERAF)</t>
  </si>
  <si>
    <t>Apakšaktivitāte "Veselības aprūpes centru attīstība"</t>
  </si>
  <si>
    <t>Apakšaktivitāte "Ģimenes ārstu tīkla attīstība"</t>
  </si>
  <si>
    <t xml:space="preserve">Aktivitāte "Rīgas pilsētas ilgtspējīga attīstība" </t>
  </si>
  <si>
    <t xml:space="preserve">Aktivitāte "Nacionālas un reģionālas nozīmes attīstības centru izaugsmes veicināšana līdzsvarotai valsts attīstībai" </t>
  </si>
  <si>
    <t>Aktivitāte "Publisko interneta pieejas punktu attīstība"</t>
  </si>
  <si>
    <t>Apakšaktivitāte "Informācijas sistēmu un elektronisko pakalpojumu attīstība"</t>
  </si>
  <si>
    <t>Aktivitāte "Atbalsts alternatīvās aprūpes pakalpojumu pieejamības attīstībai"</t>
  </si>
  <si>
    <t>Aktivitāte "Pirmsskolas izglītības iestāžu infrastruktūras attīstība nacionālas un reģionālas nozīmes attīstības centros"</t>
  </si>
  <si>
    <t>Apakšaktivitāte "Hidrotehnisko būvju rekonstrukcija plūdu draudu risku novēršanai un samazināšanai"</t>
  </si>
  <si>
    <t xml:space="preserve">Aktivitāte "Vēsturiski piesārņoto vietu sanācija" </t>
  </si>
  <si>
    <t>Aktivitāte "Bioloģiskās daudzveidības saglabāšanas ex situ infrastruktūras izveide"</t>
  </si>
  <si>
    <t>Aktivitāte "Ūdenssaimniecības attīstība apdzīvotās vietās ar iedzīvotāju skaitu līdz 2000"</t>
  </si>
  <si>
    <t>Vides aizsardzības un reģionālās attīstības ministrija (ERAF)</t>
  </si>
  <si>
    <t xml:space="preserve">Apakšaktivitāte "Informācijas datu pārraides drošības nodrošināšana" </t>
  </si>
  <si>
    <t xml:space="preserve">Apakšaktivitāte "Valsts nozīmes elektronisko sakaru tīklu izveide, attīstība un pilnveidošana" </t>
  </si>
  <si>
    <t>Aktivitāte "Elektronisko sakaru pakalpojumu vienlīdzīgas pieejamības nodrošināšana visā valsts teritorijā (platjoslas tīkla attīstība)"</t>
  </si>
  <si>
    <t xml:space="preserve">Aktivitāte "Publiskais transports ārpus Rīgas" </t>
  </si>
  <si>
    <t xml:space="preserve">Aktivitāte "Mazo ostu infrastruktūras uzlabošana" </t>
  </si>
  <si>
    <t xml:space="preserve">Apakšaktivitāte "Satiksmes drošības uzlabojumi Rīgā" </t>
  </si>
  <si>
    <t>Apakšktivitāte "Satiksmes drošības uzlabojumi apdzīvotās vietās ārpus Rīgas"</t>
  </si>
  <si>
    <t xml:space="preserve">Aktivitāte "Tranzītielu sakārtošana pilsētu teritorijās" </t>
  </si>
  <si>
    <t xml:space="preserve">Aktivitāte "Valsts 1.šķiras autoceļu maršrutu sakārtošana" </t>
  </si>
  <si>
    <t>Satiksmes ministrija (ERAF)</t>
  </si>
  <si>
    <t>Aktivitāte "Tehniskā palīdzība (ERAF)"</t>
  </si>
  <si>
    <t xml:space="preserve">Finanšu ministrija (3DP) </t>
  </si>
  <si>
    <t xml:space="preserve">Ekonomikas ministrija (3DP) </t>
  </si>
  <si>
    <t xml:space="preserve">Apakšaktivitāte "Valsts nozīmes pilsētbūvniecības pieminekļu saglabāšana, atjaunošana un infrastruktūras pielāgošana tūrisma produkta attīstībai" </t>
  </si>
  <si>
    <t>Apakšaktivitāte "Nacionālās nozīmes velotūrisma produkta attīstība"</t>
  </si>
  <si>
    <t>Apakšaktivitāte "Nacionālās nozīmes kultūras, aktīvā, veselības un rekreatīvā tūrisma produkta attīstība "</t>
  </si>
  <si>
    <t xml:space="preserve">Aktivitāte "Tūrisma informācijas sistēmas attīstība" </t>
  </si>
  <si>
    <t>Aktivitāte "Daudzdzīvokļu māju siltumnoturības uzlabošanas pasākumi"</t>
  </si>
  <si>
    <t xml:space="preserve">Aktivitāte "Sociālo dzīvojamo māju siltumnoturības uzlabošanas pasākumi" </t>
  </si>
  <si>
    <t>Izglītības un zinātnes ministrija (ERAF)</t>
  </si>
  <si>
    <t>Izglītības un zinātnes ministrija (2DP)</t>
  </si>
  <si>
    <t xml:space="preserve">Aktivitāte "Atbalsts zinātnei un pētniecībai" </t>
  </si>
  <si>
    <t xml:space="preserve">Aktivitāte "Atbalsts starptautiskās sadarbības projektiem zinātnē un tehnoloģijās (EUREKA, 7.IP un citi)" </t>
  </si>
  <si>
    <t xml:space="preserve">Apakšaktivitāte "Zinātnes infrastruktūras attīstība" </t>
  </si>
  <si>
    <t xml:space="preserve">Apakšaktivitāte "Informācijas tehnoloģiju infrastruktūras un informācijas sistēmu uzlabošana zinātniskajai darbībai" </t>
  </si>
  <si>
    <t xml:space="preserve">Izglītības un zinātnes ministrija (3DP) </t>
  </si>
  <si>
    <t>Aktivitāte "Mācību aprīkojuma modernizācija un infrastruktūras uzlabošana profesionālās izglītības programmu īstenošanai "</t>
  </si>
  <si>
    <t>Aktivitāte "Profesionālās izglītības infrastruktūras attīstība un mācību aprīkojuma modernizācija ieslodzījuma vietās"</t>
  </si>
  <si>
    <t>Apakšaktivitāte "Augstākās izglītības iestāžu telpu un iekārtu modernizēšana studiju programmu kvalitātes uzlabošanai, tajā skaitā, nodrošinot izglītības programmu apgūšanas iespējas arī personām ar funkcionāliem traucējumiem"</t>
  </si>
  <si>
    <t xml:space="preserve">Aktivitāte "Kvalitatīvai dabaszinātņu apguvei atbilstošas materiālās bāzes nodrošināšana" </t>
  </si>
  <si>
    <t>Apakšaktivitāte "Speciālās izglītības iestāžu infrastruktūras un aprīkojuma uzlabošana"</t>
  </si>
  <si>
    <t xml:space="preserve">Aktivitāte "Atbalsts vispārējās izglītības iestāžu tīkla optimizācijai" </t>
  </si>
  <si>
    <t xml:space="preserve">Apakšaktivitāte "Vispārējās izglītības iestāžu infrastruktūras uzlabošana izglītojamajiem ar funkcionāliem traucējumiem" </t>
  </si>
  <si>
    <t xml:space="preserve">Apakšaktivitāte "Izglītības iestāžu informatizācija" </t>
  </si>
  <si>
    <t xml:space="preserve">Finanšu ministrija (ERAF) </t>
  </si>
  <si>
    <t xml:space="preserve">Finanšu ministrija (2DP) </t>
  </si>
  <si>
    <t>Apakšaktivitāte "Infrastruktūras pilnveidošana un zinātniski tehniskās bāzes nodrošināšana darbspēju un funkcionālo traucējumu izvērtēšanai"</t>
  </si>
  <si>
    <t xml:space="preserve">Aktivitāte "Par izglītības un mūžizglītības politiku atbildīgo institūciju rīcībspējas un sadarbības stiprināšana" </t>
  </si>
  <si>
    <t xml:space="preserve">Apakšaktivitāte "Atbalsts potenciālo bezdarbnieku apmācībai" </t>
  </si>
  <si>
    <t xml:space="preserve">Apakšktivitāte "Jaunu koledžas studiju programmu attīstība vai jaunu koledžu izveide" </t>
  </si>
  <si>
    <t>1.3.1.5.*</t>
  </si>
  <si>
    <t>Aktivitāte "Ieguldījumu fonds investīcijām garantijās, paaugstināta riska aizdevumos, riska kapitāla fondos un cita veida finanšu instrumentos"</t>
  </si>
  <si>
    <t>Aizdevumu instruments - SEB</t>
  </si>
  <si>
    <t>Aizdevumu instruments - Swedbank</t>
  </si>
  <si>
    <t>Riska kapitāla instruments - Baltcap</t>
  </si>
  <si>
    <t>Sēklas kapitāla instruments - Imprimatur</t>
  </si>
  <si>
    <t>ES fonda finansējums atbilstoši DPP, LVL</t>
  </si>
  <si>
    <t>Apakšaktivitāte "Atbalsts nodarbināto apmācībām komersantu konkurētspējas veicināšanai - atbalsts partnerībās organizētām apmācībām "</t>
  </si>
  <si>
    <t xml:space="preserve">Apakšaktivitāte "Plūdu risku samazināšana grūti prognozējamu vižņu-ledus parādību gadījumos" </t>
  </si>
  <si>
    <t>Aktivitātes; Apakš-aktivitātes Nr.</t>
  </si>
  <si>
    <t xml:space="preserve">Apakšaktivitāte "Atbalsts pašvaldībām kapacitātes stiprināšanā Eiropas Savienības politiku instrumentu un pārējās ārvalstu finanšu palīdzības līdzfinansēto projektu un pasākumu īstenošanai" </t>
  </si>
  <si>
    <t>Veiktie maksājumi / investīcijas/ izsniegtās garantijas līdz 31.12.2012., LVL**</t>
  </si>
  <si>
    <t>Konceptuāli pielemtās virssaistības (ES fondu finansējums - indikatīvi) atbilstoši apst. MK p/l, LVL</t>
  </si>
  <si>
    <t xml:space="preserve">Veikti maksājumi līdz 31.12.2012., (ieskaitot virssaistības)  (ES fondu daļa), LVL </t>
  </si>
  <si>
    <t>Apmācības, administratīvās izmaksas</t>
  </si>
  <si>
    <t>2.1.</t>
  </si>
  <si>
    <r>
      <t xml:space="preserve">**** Saskaņā ar plānošanas dokumentiem, ieviešot ES fondu garantiju komersantu konkurētspējas uzlabošanai aktivitāti,  tiek izmantots multiplikators x4. (Finansējuma gala saņēmējam (komersantam) piesaistītais ES fondu finansējums garantiju aktivitātes ietvaros aprēķināts pēc formulas: Faktiski izsniegto garantiju apjoms / multiplikators </t>
    </r>
    <r>
      <rPr>
        <i/>
        <sz val="12"/>
        <color theme="1"/>
        <rFont val="Times New Roman"/>
        <family val="1"/>
        <charset val="186"/>
      </rPr>
      <t>x4</t>
    </r>
    <r>
      <rPr>
        <sz val="12"/>
        <color theme="1"/>
        <rFont val="Times New Roman"/>
        <family val="2"/>
        <charset val="186"/>
      </rPr>
      <t>)</t>
    </r>
  </si>
  <si>
    <t>Aktivitāte "Garantijas komersantu konkurētspējas uzlabošanai"****</t>
  </si>
  <si>
    <t>***MVK pieejamā atbalsta apjoms finanšu instrumentu ietvaros, neiekļaujot ieviesējinstitūciju un finanšu starpnieku vadības izmaksām paredzēto finansējumu.</t>
  </si>
  <si>
    <t>Konceptuāli pielemtās virssaistības (ES fondu fin. + valsts budžeta daļa (neskaitot pašvaldību līdzifn.) atbilstoši apst. MK p/l, LVL</t>
  </si>
  <si>
    <t>ES fonda finansējums atbilstoši EK apstiprinātajai DP, LVL</t>
  </si>
  <si>
    <t>ES fonda finansējums atbilstoši konceptuāli apst. MK p/l, LVL</t>
  </si>
  <si>
    <t xml:space="preserve">Kopā piešķīrums (ES fonda finansējums atbilstoši konceptuāli apst. MK p/l + virssaistību ES fondu daļa), LVL </t>
  </si>
  <si>
    <r>
      <t>2007.-2013.gada plānošanas perioda ES fondu ieviešanas statuss (uz 31.12.2012., salīdzinot ar 30.11.2012.)</t>
    </r>
    <r>
      <rPr>
        <b/>
        <vertAlign val="superscript"/>
        <sz val="16"/>
        <rFont val="Times New Roman"/>
        <family val="1"/>
        <charset val="204"/>
      </rPr>
      <t xml:space="preserve">1 </t>
    </r>
    <r>
      <rPr>
        <b/>
        <sz val="16"/>
        <rFont val="Times New Roman"/>
        <family val="1"/>
        <charset val="204"/>
      </rPr>
      <t>/ 2007-2013 planning period EU Funds implementation progress  (as to 31.12.2012., comparing with 30.11.2012)</t>
    </r>
    <r>
      <rPr>
        <b/>
        <vertAlign val="superscript"/>
        <sz val="16"/>
        <rFont val="Times New Roman"/>
        <family val="1"/>
        <charset val="204"/>
      </rPr>
      <t>1</t>
    </r>
  </si>
  <si>
    <t>Provizoriska informācija pēc vadības informācijas sistēmas datiem  (pārskati veidoti 09.01.2013.) / Provisional data according to Management informational system on 09.01.2013</t>
  </si>
  <si>
    <t>Prioritātes/Pasākuma/Aktivitātes numurs / Priority/Measure/Activity No.</t>
  </si>
  <si>
    <t>Prioritātes/Pasākuma/ Aktivitātes nosaukums / Priority/Measure/Activity</t>
  </si>
  <si>
    <t>Fonds / Fund</t>
  </si>
  <si>
    <r>
      <t>Ministrija</t>
    </r>
    <r>
      <rPr>
        <b/>
        <vertAlign val="superscript"/>
        <sz val="13"/>
        <rFont val="Times New Roman"/>
        <family val="1"/>
        <charset val="204"/>
      </rPr>
      <t>2</t>
    </r>
    <r>
      <rPr>
        <b/>
        <sz val="13"/>
        <rFont val="Times New Roman"/>
        <family val="1"/>
        <charset val="204"/>
      </rPr>
      <t>/ Ministry</t>
    </r>
    <r>
      <rPr>
        <b/>
        <vertAlign val="superscript"/>
        <sz val="13"/>
        <rFont val="Times New Roman"/>
        <family val="1"/>
        <charset val="204"/>
      </rPr>
      <t>2</t>
    </r>
  </si>
  <si>
    <t>ES fonda finansējums atbilstoši EK apstiprinātajai DP, EUR</t>
  </si>
  <si>
    <t>ES fonda finansējums atbilstoši EK apstiprinātajai DP, LVL / EU funding according to EC approved OP, LVL</t>
  </si>
  <si>
    <t>ES fonda finansējums atbilstoši MK apstiprinātajam DPP, EUR</t>
  </si>
  <si>
    <t xml:space="preserve">ES fonda finansējums atbilstoši MK apstiprinātajam DPP, LVL  </t>
  </si>
  <si>
    <t>ES fonda finansējums atbilstoši konceptuāli apst. MK p/liem, LVL2 / EU funding 2 , EUR</t>
  </si>
  <si>
    <r>
      <t>ES fonda finansējums atbilstoši konceptuāli apst. MK p/l, LVL</t>
    </r>
    <r>
      <rPr>
        <b/>
        <vertAlign val="superscript"/>
        <sz val="13"/>
        <rFont val="Times New Roman"/>
        <family val="1"/>
        <charset val="204"/>
      </rPr>
      <t xml:space="preserve">3 / </t>
    </r>
    <r>
      <rPr>
        <b/>
        <sz val="13"/>
        <rFont val="Times New Roman"/>
        <family val="1"/>
        <charset val="204"/>
      </rPr>
      <t xml:space="preserve">EU funding according to decisions of Cabinet of Ministers </t>
    </r>
    <r>
      <rPr>
        <b/>
        <vertAlign val="superscript"/>
        <sz val="13"/>
        <rFont val="Times New Roman"/>
        <family val="1"/>
        <charset val="204"/>
      </rPr>
      <t xml:space="preserve">3 </t>
    </r>
    <r>
      <rPr>
        <b/>
        <sz val="13"/>
        <rFont val="Times New Roman"/>
        <family val="1"/>
        <charset val="204"/>
      </rPr>
      <t>, LVL</t>
    </r>
  </si>
  <si>
    <t>Skaidrojums par atšķirību starp DP un MK konceptuāli apst. Finansējumu / Explanation about differences of EU Funding</t>
  </si>
  <si>
    <t>Kopā piešķīrums (ES fonda finansējums atbilstoši konceptuāli apst. MK p/l + virssaistību ES fondu daļa), LVL / Total available financing, incl. overcommittments, LVL</t>
  </si>
  <si>
    <t>Aktivitātēm piešķirtais budžets 2007.-2012.gadā LVL / Available budget 2007-2012, LVL ****</t>
  </si>
  <si>
    <t>Apstiprinātie projekti 
(ES fondu fin.), LVL / Approved projects (EU funding), LVL</t>
  </si>
  <si>
    <t>Apstiprinātie projekti , % no ES fondu fin., % / Approved projects (EU funding), % of EU funding, %</t>
  </si>
  <si>
    <t>Apstiprinātie projekti , % no ES fondu fin. / Approved projects, % of EU funding</t>
  </si>
  <si>
    <t>Progress par apstiprin. projektiem, % no ES fondu fin. / Approved projects, % of EU funding (progress), %</t>
  </si>
  <si>
    <t>Apstiprinātie projekti , % no kopējā piešķīruma, % / Approved projects (EU funding), % of Total available financing, %</t>
  </si>
  <si>
    <t>Noslēgtie līgumi (ES fondu fin.), 
LVL / Contracted 
(EU funding), 
LVL</t>
  </si>
  <si>
    <t>Noslēgtie līgumi , % no ES fondu fin., % / Contracted, % of EU funding, %</t>
  </si>
  <si>
    <t>Progress par noslēgtajiem līgumiem, % no ES fondu fin., % / Contracted, % of EU funding (progress), %</t>
  </si>
  <si>
    <t>Noslēgtie līgumi , % no kopējā piešķīruma, % / Contracted, % of Total available financing, %</t>
  </si>
  <si>
    <r>
      <t xml:space="preserve">Izmaksāts  finansējuma saņēmējam 
(starpposma/gala maksājumi), LVL </t>
    </r>
    <r>
      <rPr>
        <b/>
        <vertAlign val="superscript"/>
        <sz val="13"/>
        <rFont val="Times New Roman"/>
        <family val="1"/>
        <charset val="186"/>
      </rPr>
      <t xml:space="preserve"> / </t>
    </r>
    <r>
      <rPr>
        <b/>
        <sz val="13"/>
        <rFont val="Times New Roman"/>
        <family val="1"/>
        <charset val="186"/>
      </rPr>
      <t xml:space="preserve">Interim/final payments to final beneficiaries 
(EU funding), 
LVL </t>
    </r>
    <r>
      <rPr>
        <sz val="12"/>
        <color theme="1"/>
        <rFont val="Times New Roman"/>
        <family val="2"/>
        <charset val="186"/>
      </rPr>
      <t/>
    </r>
  </si>
  <si>
    <r>
      <t>Izmaksāts  finansējuma saņēmējam 
(deklarējamie avansa maks.), LVL</t>
    </r>
    <r>
      <rPr>
        <b/>
        <vertAlign val="superscript"/>
        <sz val="13"/>
        <rFont val="Times New Roman"/>
        <family val="1"/>
        <charset val="186"/>
      </rPr>
      <t xml:space="preserve"> / </t>
    </r>
    <r>
      <rPr>
        <b/>
        <sz val="13"/>
        <rFont val="Times New Roman"/>
        <family val="1"/>
        <charset val="186"/>
      </rPr>
      <t xml:space="preserve">Advanced payments to final beneficiaries, that can be declared 
(EU funding), 
LVL </t>
    </r>
    <r>
      <rPr>
        <sz val="12"/>
        <color theme="1"/>
        <rFont val="Times New Roman"/>
        <family val="2"/>
        <charset val="186"/>
      </rPr>
      <t/>
    </r>
  </si>
  <si>
    <r>
      <t>Izmaksāts  finansējuma saņēmējam 
(nedeklarējamie avansa maks.), LVL</t>
    </r>
    <r>
      <rPr>
        <b/>
        <vertAlign val="superscript"/>
        <sz val="13"/>
        <rFont val="Times New Roman"/>
        <family val="1"/>
        <charset val="186"/>
      </rPr>
      <t xml:space="preserve"> / </t>
    </r>
    <r>
      <rPr>
        <b/>
        <sz val="13"/>
        <rFont val="Times New Roman"/>
        <family val="1"/>
        <charset val="186"/>
      </rPr>
      <t xml:space="preserve">Advance payments to final beneficiaries that can not be declared
(EU funding), 
LVL </t>
    </r>
    <r>
      <rPr>
        <sz val="12"/>
        <color theme="1"/>
        <rFont val="Times New Roman"/>
        <family val="2"/>
        <charset val="186"/>
      </rPr>
      <t/>
    </r>
  </si>
  <si>
    <t>Dzēstie avansi / Discharged advance payments</t>
  </si>
  <si>
    <t>Atgūtie maksājumi</t>
  </si>
  <si>
    <t>Veiktie maksājumi finansējuma saņēmējiem bez atgūtajiem maksājumiem, LVL / Payments to the final beneficiaries without recovered amount, LVL</t>
  </si>
  <si>
    <t>EK deklarējamie maksājumi finansējuma saņēmējiem / Payments to final beneficiaries that can be declared to EC</t>
  </si>
  <si>
    <r>
      <t xml:space="preserve">Izmaksāts  finansējuma saņēmējam 
(ES fondu fin.), LVL </t>
    </r>
    <r>
      <rPr>
        <b/>
        <vertAlign val="superscript"/>
        <sz val="13"/>
        <rFont val="Times New Roman"/>
        <family val="1"/>
        <charset val="186"/>
      </rPr>
      <t xml:space="preserve">4 / </t>
    </r>
    <r>
      <rPr>
        <b/>
        <sz val="13"/>
        <rFont val="Times New Roman"/>
        <family val="1"/>
        <charset val="186"/>
      </rPr>
      <t xml:space="preserve">Payments to final beneficiaries 
(EU funding), 
LVL </t>
    </r>
    <r>
      <rPr>
        <b/>
        <vertAlign val="superscript"/>
        <sz val="13"/>
        <rFont val="Times New Roman"/>
        <family val="1"/>
        <charset val="186"/>
      </rPr>
      <t>4</t>
    </r>
  </si>
  <si>
    <t>Izmaksāts  finansējuma saņēmējam, % no ES fondu fin., % / Payments to final beneficiaries, % of EU funding, 
%</t>
  </si>
  <si>
    <t>Progress par izmaksāto  finansējuma saņēmējam, % no ES fondu fin., % / Payments to final beneficiaries, % of EU funding, (progress)
%</t>
  </si>
  <si>
    <t>Izmaksāts  finansējuma saņēmējam, % no kopējā piešķīruma / Payments to final beneficiaries, % of Total available EU financing</t>
  </si>
  <si>
    <t>Eiropas Komisijā iesniegtie starpposma pieprasījumi, LVL / Interrim payment claims submited to EC (EU funding), 
LVL</t>
  </si>
  <si>
    <t>EK iesniegtie starpposma pieprasījumi , % no ES fondu fin., 
% / Interrim payment claims submited to EC, % of EU funding, 
%</t>
  </si>
  <si>
    <t>Eiropas Komisijā iesniegtie starpposma pieprasījumi , % no ES fondu fin., 
% / Interrim payment claims submited to EC, % of EU funding, 
%</t>
  </si>
  <si>
    <t>Progress par EK iesniegtajiem starpposma pieprasījumiem, % no ES fondu fin., 
% / Interrim payment claims submited to EC, % of EU funding (progress), 
%</t>
  </si>
  <si>
    <t>Saņemtie maksājumi no EK (avansi + starpposma), LVL / Received advance and interim payments from EC, LVL</t>
  </si>
  <si>
    <t>Saņemtie maksājumi no EK (avansi + starpposma), % / Received advance and interim payments from EC, % of EU funding, 
%</t>
  </si>
  <si>
    <t>Saņemtie maksājumi no Eiropas Komisijas (avansi + starpposma), % / Received advance and interim payments from EC, % of EU funding, 
%</t>
  </si>
  <si>
    <t>Progress par saņemtajiem maksājumiem no EK (avansi + starpposma), % / Received advance and interim payments from EC, % of EU funding (progress), 
%</t>
  </si>
  <si>
    <t>5a</t>
  </si>
  <si>
    <t>5.1.</t>
  </si>
  <si>
    <t>5b</t>
  </si>
  <si>
    <t>6.1.</t>
  </si>
  <si>
    <t>6.2.=5.1.+6</t>
  </si>
  <si>
    <t>8.1.=8/5.1.</t>
  </si>
  <si>
    <t>8.1=8/5</t>
  </si>
  <si>
    <t>8.2.</t>
  </si>
  <si>
    <t>8.3.=8/6.2.</t>
  </si>
  <si>
    <t>9.1.=9/5.1.</t>
  </si>
  <si>
    <t>9.2.</t>
  </si>
  <si>
    <t>9.3.=9/6.2.</t>
  </si>
  <si>
    <t>10.1.</t>
  </si>
  <si>
    <t>10.2.</t>
  </si>
  <si>
    <t>10.3.</t>
  </si>
  <si>
    <t>10.4.</t>
  </si>
  <si>
    <t>10.5.</t>
  </si>
  <si>
    <t>12=11/5.1.</t>
  </si>
  <si>
    <t>14=12/6.2.</t>
  </si>
  <si>
    <t>9.1=9/5</t>
  </si>
  <si>
    <t>10.1=10/5</t>
  </si>
  <si>
    <t>Kopā VISI fondi / Total funds</t>
  </si>
  <si>
    <t>Kopā ESF /Total ESF **</t>
  </si>
  <si>
    <t>Kopā ERAF/Total ERDF</t>
  </si>
  <si>
    <t>Kopā KF/Total CF</t>
  </si>
  <si>
    <t>I DP / I OP **</t>
  </si>
  <si>
    <t xml:space="preserve">II DP / II OP </t>
  </si>
  <si>
    <t>III DP / III OP</t>
  </si>
  <si>
    <r>
      <t xml:space="preserve">I darbības programma  "Cilvēkreursi un nodarbinātība" </t>
    </r>
    <r>
      <rPr>
        <b/>
        <i/>
        <vertAlign val="superscript"/>
        <sz val="13"/>
        <rFont val="Times New Roman"/>
        <family val="1"/>
        <charset val="186"/>
      </rPr>
      <t>5</t>
    </r>
    <r>
      <rPr>
        <b/>
        <i/>
        <sz val="13"/>
        <rFont val="Times New Roman"/>
        <family val="1"/>
        <charset val="204"/>
      </rPr>
      <t xml:space="preserve">/ I Operational programme  "Human resources and employment" </t>
    </r>
    <r>
      <rPr>
        <b/>
        <i/>
        <vertAlign val="superscript"/>
        <sz val="13"/>
        <rFont val="Times New Roman"/>
        <family val="1"/>
        <charset val="186"/>
      </rPr>
      <t>5</t>
    </r>
  </si>
  <si>
    <t>ESF</t>
  </si>
  <si>
    <t>-</t>
  </si>
  <si>
    <t>N/A</t>
  </si>
  <si>
    <t>1.1.</t>
  </si>
  <si>
    <t>Prioritāte "Augstākā izglītība un zinātne" / Priority "Higher Education and Science"</t>
  </si>
  <si>
    <t>1.1.1.</t>
  </si>
  <si>
    <t>Pasākums "Zinātnes un pētniecības potenciāla attīstība" / Measure "Development of Scientific and Research Potential"</t>
  </si>
  <si>
    <t>Aktivitāte "Zinātnes un inovāciju politikas veidošanas un administratīvās kapacitātes stiprināšana" / Activity "Strengthening of Research and Innovation Policy Development and Administrative Capacity"</t>
  </si>
  <si>
    <t>IZM / MoES</t>
  </si>
  <si>
    <t>Aktivitāte "Cilvēkresursu piesaiste zinātnei" / Activity "Attraction of Human Resources to Science"</t>
  </si>
  <si>
    <t>Aktivitāte "Motivācijas veicināšana zinātniskajai darbībai"/ Activity "Reinforcing Motivation for Scientific Activities"</t>
  </si>
  <si>
    <t>1.1.2.</t>
  </si>
  <si>
    <t>Pasākums "Augstākās izglītības attīstība"/ Measure "Development of Tertiary (Higher) Education"</t>
  </si>
  <si>
    <t>1.1.2.1.</t>
  </si>
  <si>
    <t>Aktivitāte "Atbalsts doktora un maģistra studiju īstenošanai" / Activity "Support to Doctor’s and Master’s study programmes"</t>
  </si>
  <si>
    <t>1.1.2.1.1.*</t>
  </si>
  <si>
    <t>Apakšaktivitāte "Atbalsts maģistra studiju programmu īstenošanai" / Sub-activity "Support to master’s studies"</t>
  </si>
  <si>
    <t xml:space="preserve">1.1.2.1.2. </t>
  </si>
  <si>
    <t>Apakšaktivitāte "Atbalsts doktora studiju programmu īstenošanai" / Sub-activity "Support to doctor’s studies"</t>
  </si>
  <si>
    <t>1.1.2.2.</t>
  </si>
  <si>
    <t>Aktivitāte "Atbalsts augstākās izglītības studiju uzlabošanai"/ Activity "Support to improvement of tertiary education studies"</t>
  </si>
  <si>
    <t xml:space="preserve">Apakšaktivitāte "Studiju programmu satura un īstenošanas uzlabošana un akadēmiskā personāla kompetences pilnveidošana"/Sub-activity "Improvement of Study Programme Contents, Its Implementation and Competence of Academic Personnel" </t>
  </si>
  <si>
    <t> Apakšaktivitāte "Boloņas procesa principu ieviešana augstākajā izglītībā" / Sub-activity "Implementation of Bologna Process Principles in Tertiary Education"</t>
  </si>
  <si>
    <t>1.2.</t>
  </si>
  <si>
    <t>Prioritāte "Izglītība un prasmes" / Priority "Education and Skills"</t>
  </si>
  <si>
    <t>1.2.1.</t>
  </si>
  <si>
    <t xml:space="preserve">Pasākums "Profesionālās izglītības un vispārējo prasmju attīstība"/ Measure "Development of Vocational Education and General Skills" </t>
  </si>
  <si>
    <t>1.2.1.1.</t>
  </si>
  <si>
    <t xml:space="preserve">Aktivitāte "Profesionālās izglītības sistēmas attīstība, kvalitātes, atbilstības un pievilcības uzlabošana"/ Activity "Development of vocational educational system, improvement of quality, conformity and attraction" </t>
  </si>
  <si>
    <t xml:space="preserve">Apakšaktivitāte "Nozaru kvalifikāciju sistēmas izveide un profesionālās izglītības pārstrukturizācija"/ Sub-activity "Improvement of National Qualification System, Vocational Education Contents and Cooperation among the Bodies Involved in Vocational Education" </t>
  </si>
  <si>
    <t>Apakšaktivitāte "Profesionālajā izglītībā iesaistīto pedagogu kompetences paaugstināšana"/ Sub-activity "Competence Promotion of the Educators Involved in Vocational Education"</t>
  </si>
  <si>
    <t xml:space="preserve">Apakšaktivitāte "Atbalsts sākotnējās profesionālās izglītības programmu īstenošanas kvalitātes uzlabošanai un īstenošanai"/ Sub-activity "Support to improvement and Implementation of Primary Vocational Education Programme Quality" </t>
  </si>
  <si>
    <t>Apakšaktivitāte "Sākotnējās profesionālās izglītības pievilcības veicināšana" / Sub-activity "Promotion of Primary Vocational Education Attraction"</t>
  </si>
  <si>
    <t>1.2.1.2.</t>
  </si>
  <si>
    <t>Aktivitāte "Vispārējo zināšanu un prasmju uzlabošana" / Activity "Improvement of general knowledge and skills"</t>
  </si>
  <si>
    <t>Apakšaktivitāte "Vispārējās vidējās izglītības satura reforma, mācību priekšmetu, metodikas un mācību sasniegumu vērtēšanas sistēmas uzlabošana" / Sub-activity "Reform of General Secondary Education Contents, Improvement of Study Subjects, Methodology and Evaluation System"</t>
  </si>
  <si>
    <t>Apakšaktivitāte "Atbalsts vispārējās izglītības pedagogu nodrošināšanai prioritārajos mācību priekšmetos" / Sub-activity "Support to Ensure Sufficiency of General Secondary Education Educators in Priority Subjects"</t>
  </si>
  <si>
    <t>1.2.1.2.3.*</t>
  </si>
  <si>
    <t>Apakšaktivitāte "Vispārējās izglītības pedagogu kompetences paaugstināšana un prasmju atjaunošana" / Sub-activity "Competence Promotion of General Educators and Renewal of Skills"</t>
  </si>
  <si>
    <t>1.2.2.</t>
  </si>
  <si>
    <t>Pasākums "Mūžizglītības attīstība un izglītībā un mūžizglītībā iesaistīto institūciju rīcībspējas un sadarbības uzlabošana" / Measure "Development of Lifelong Learning and Cooperation and Capacity Strengthening of Institutions responsible for Education and Lifelong Learning Policy"</t>
  </si>
  <si>
    <t>1.2.2.1.</t>
  </si>
  <si>
    <t>Aktivitāte "Mūžizglītības attīstība"/ Activity "Development of lifelong education"</t>
  </si>
  <si>
    <t>Apakšaktivitāte " Mūžizglītības pārvaldes struktūras izveide nacionālā līmenī un inovatīvu mūžizglītības politikas instrumentu izstrāde"/ Sub-activity "Lifelong learning administrating system foundation on national level and output of  innovative lifelong learning policy instruments"</t>
  </si>
  <si>
    <t xml:space="preserve">Apakšaktivitāte "Atbalsts Mūžizglītības politikas pamatnostādņu īstenošanai"/ Sub-activity "Support to Implement Lifelong Learning Policy Guidelines" </t>
  </si>
  <si>
    <t>LM / MoW</t>
  </si>
  <si>
    <t xml:space="preserve">Apakšaktivitāte „Īpašu mūžizglītības politikas jomu atbalsts/ Sub-activity „Support for specific spheres of lifelong Learning Policy” </t>
  </si>
  <si>
    <t xml:space="preserve">Apakšaktivitāte "Pedagogu konkurētspējas veicināšana izglītības sistēmas optimizācijas apstākļos" / Sub-activity "Promotion of Educators’ Competitiveness within the Optimization of Educational System" </t>
  </si>
  <si>
    <t>1.2.2.2.</t>
  </si>
  <si>
    <t>Aktivitāte "Profesionālās orientācijas un karjeras izglītības attīstība, profesionāli orientētās izglītības attīstība" / Sub-activity "Support to Implement Lifelong Learning Policy Guidelines"</t>
  </si>
  <si>
    <t>Apakšaktivitāte "Profesionālās orientācijas un karjeras izglītības attīstība izglītības sistēmā" / Sub-activity "Development of Professional Orientation and Career-Related Education in the Educational System"</t>
  </si>
  <si>
    <t xml:space="preserve">Apakšaktivitāte "Profesionālās orientācijas un karjeras izglītības pieejamības palielināšana jauniešiem, profesionāli orientētās izglītības attīstība"/ Sub-activity "Increase of Youth Access to Professional Orientation and Career Education, Development of Profession-Related Education" </t>
  </si>
  <si>
    <t>1.2.2.3.</t>
  </si>
  <si>
    <t>Aktivitāte "Par izglītības un mūžizglītības politiku atbildīgo institūciju rīcībspējas un sadarbības stiprināšana" / Improvement of cooperation and capacity strengthening of institutions responsible for the education and lifelong learning policy</t>
  </si>
  <si>
    <t>Aktivitāte "Par izglītības un mūžizglītības politiku atbildīgo institūciju rīcībspējas un sadarbības stiprināšana"/ Activity "Improvement of cooperation and capacity strengthening of institutions responsible for the education and lifelong learning policy"</t>
  </si>
  <si>
    <t>Apakšaktivitāte „Atbalsts izglītības pētījumiem” / Sub-activity „Support for education research”</t>
  </si>
  <si>
    <t>1.2.2.4.</t>
  </si>
  <si>
    <t>Aktivitāte "Izglītības pieejamības nodrošināšana sociālās atstumtības riskam pakļautajiem jauniešiem un iekļaujošas izglītības attīstība"/ Activity "Improvement of education accessibility for young people groups at risk of social exclusion and development of inclusive education"</t>
  </si>
  <si>
    <t>Apakšaktivitāte "Iekļaujošas izglītības un sociālās atstumtības riskam pakļauto jauniešu atbalsta sistēmas izveide, nepieciešamā personāla sagatavošana, nodrošināšana un kompetences paaugstināšana" / Sub-activity "Formation of Support System for Inclusive Education and Youth at Risk of Social Exclusion, Training, Ensuring and Competence Promoting of the Necessary Personnel"</t>
  </si>
  <si>
    <t>Apakšaktivitāte "Atbalsta pasākumu īstenošana jauniešu sociālās atstumtības riska mazināšanai un jauniešu ar funkcionālajiem traucējumiem integrācijai izglītībā"/ Sub-activity "Implementation of Support Measures for Social Exclusion Decrease of Youth and Integration of Disabled Youth into Education"</t>
  </si>
  <si>
    <t>IZM</t>
  </si>
  <si>
    <t xml:space="preserve">1.3. </t>
  </si>
  <si>
    <t>Prioritāte "Nodarbinātības veicināšana un veselība darbā" / Priority "Promotion of Employment and Health at Work"</t>
  </si>
  <si>
    <t>1.3.1.</t>
  </si>
  <si>
    <t>Pasākums "Nodarbinātība" / Measure "Employment"</t>
  </si>
  <si>
    <t>1.3.1.1.</t>
  </si>
  <si>
    <t>Aktivitāte "Darbaspējas vecuma iedzīvotāju konkurētspējas paaugstināšana darba tirgū, t.sk., nodarbināto pārkvalifikācija un aktīvie nodarbinātības pasākumi / Activity "Enhancement of the competitiveness of residents in working age, including retraining and active employment measures"</t>
  </si>
  <si>
    <t>Apakšaktivitāte "Atbalsts nodarbināto apmācībām komersantu konkurētspējas veicināšanai - atbalsts partnerībās organizētām apmācībām "/ Sub-activity "Support to training for employed in partnership"</t>
  </si>
  <si>
    <t>EM / MoE</t>
  </si>
  <si>
    <t>1.3.1.1.3.*</t>
  </si>
  <si>
    <t>Apakšaktivitāte "Bezdarbnieku un darba meklētāju apmācība"/ Sub-activity "Training of unemployed and job seekers"</t>
  </si>
  <si>
    <t>Apakšaktivitāte "Atbalsts nodarbināto apmācībām komersantu konkurētspējas veicināšanai - atbalsts komersantu individuāli organizētām apmācībām"/ Sub-activity - "Support to training for employed for enhancing competitiveness of enterprises - support to individually organized training by enterprises"</t>
  </si>
  <si>
    <t xml:space="preserve">1.3.1.1.5. </t>
  </si>
  <si>
    <t>Apakšaktivitāte "Atbalsts potenciālo bezdarbnieku apmācībai" / Sub-activity "Support to people at risk of unemployment"</t>
  </si>
  <si>
    <t xml:space="preserve">1.3.1.1.6. </t>
  </si>
  <si>
    <t>Aktivitāte "Atbalsts darba vietu radīšanai" / Activity "Support to create new jobs"</t>
  </si>
  <si>
    <t>Aktivitāte "Atbalsts pašnodarbinātības un uzņēmējdarbības uzsākšanai"/ Activity "Support for self-employment and business start-ups"</t>
  </si>
  <si>
    <t>1.3.1.3.</t>
  </si>
  <si>
    <t>Aktivitāte "Darba attiecību un darba drošības normatīvo aktu  praktiska piemērošana un uzraudzības pilnveidošana"/ Activity "Practical application of the legislation on labour relations, occupational safety and health, and improvement of supervision"</t>
  </si>
  <si>
    <t xml:space="preserve">1.3.1.3.1. </t>
  </si>
  <si>
    <t>Apakšaktivitāte "Darba attiecību un darba drošības normatīvo aktu uzraudzības pilnveidošana" / Sub-activity "Improvement of supervision of labour relations and occupational safety and health legislation implementation"</t>
  </si>
  <si>
    <t>Apakšaktivitāte "Darba attiecību un darba drošības normatīvo aktu praktiska piemērošana nozarēs un uzņēmumos" / Sub-activity "Practical application of the legislation on occupational safety and health and labour relations in sectors and enterprises"</t>
  </si>
  <si>
    <t>Aktivitāte "Kapacitātes stiprināšana darba tirgus institūcijām"/ Activity "Capacity building of labour market institutions"</t>
  </si>
  <si>
    <t>1.3.1.5.</t>
  </si>
  <si>
    <t>Aktivitāte "Vietējo nodarbinātības veicināšanas pasākumu plānu ieviešanas atbalsts" / Activity "Support for the implementation of regional action plans for promotion of employment"</t>
  </si>
  <si>
    <t xml:space="preserve">Aktivitāte "Atbalsts dzimumu līdztiesības veicināšanai darba tirgū"/ Activity "Promotion of gender equality in the labour market" </t>
  </si>
  <si>
    <t>Aktivitāte "Darba tirgus pieprasījuma īstermiņa un ilgtermiņa prognozēšanas un uzraudzības sistēmas attīstība"/ Activity "Forecasting short-term and long-term labour market demands and the development of a monitoring system"</t>
  </si>
  <si>
    <t>Aktivitāte "Atbalsts labāko inovatīvo risinājumu meklējumiem un labas prakses piemēru integrēšanai darba tirgus politikās un ieviešanas instrumentārijos" / Activity "Support for seeking the best innovative solutions and for integrating the best practices in the labour market policies and implementation instruments"</t>
  </si>
  <si>
    <t>Aktivitāte "Augstas kvalifikācijas darbinieku piesaiste" / Activity "Attraction of highly qualified employees"</t>
  </si>
  <si>
    <t>1.3.2.</t>
  </si>
  <si>
    <t>Pasākums "Veselība darbā"/ Measure "Health at work"</t>
  </si>
  <si>
    <t>VeM / MoH</t>
  </si>
  <si>
    <t>Aktivitāte "Veselības uzlabošana darbavietā, veicinot ilgtspējīgu nodarbinātību"/ Activity "Better Health at Work and Sustaining Employment"</t>
  </si>
  <si>
    <t>Aktivitāte "Pētījumi un aptaujas par veselību darbā"/ Activity "Studies and surveys in health at work"</t>
  </si>
  <si>
    <t>Aktivitāte "Veselības aprūpes un veicināšanas procesā iesaistīto institūciju personāla kompetences, prasmju un iemaņu līmeņa paaugstināšana"/ Activitity "Enhancement of competencies, qualification and skills of health care and health promotion professionals"</t>
  </si>
  <si>
    <t>1.4.</t>
  </si>
  <si>
    <t>Prioritāte "Sociālās iekļaušanas veicināšana"/ Priority "Promotion of Social Inclusion"</t>
  </si>
  <si>
    <t>1.4.1.</t>
  </si>
  <si>
    <t>Pasākums "Sociālā iekļaušana"/ Measure "Social Inclusion"</t>
  </si>
  <si>
    <t>1.4.1.1.</t>
  </si>
  <si>
    <t xml:space="preserve">Aktivitāte "Iedzīvotāju ekonomiskās aktivitātes stimulēšana"/ Activity "Stimulating economic activity of the population" </t>
  </si>
  <si>
    <t>LM /MoW</t>
  </si>
  <si>
    <t>Apakšaktivitāte "Kompleksi atbalsta pasākumi iedzīvotāju integrēšanai darba tirgū"/ Sub-activity „Complex supporting activities for inhabitants’ integration in labour market”</t>
  </si>
  <si>
    <t>Apakšaktivitāte "Atbalstītās nodarbinātības pasākumi mērķgrupu bezdarbniekiem"/ Activity "Supported employment measures for unemployed persons from specific target groups"</t>
  </si>
  <si>
    <t>1.4.1.2.</t>
  </si>
  <si>
    <t>Aktivitāte "Darbspēju vērtēšanas sistēmas un sociālo pakalpojumu ieviešanas sistēmas pilnveidošana"/ Activity "Improvement of the working capacity evaluation system and the system of introducing social services"</t>
  </si>
  <si>
    <t xml:space="preserve">1.4.1.2.1. </t>
  </si>
  <si>
    <t>Apakšaktivitāte "Darbspēju vērtēšanas sistēmas pilnveidošana"/ Sub-activity „Development of the system for working ability assesment”</t>
  </si>
  <si>
    <t>Apakšaktivitāte "Sociālās rehabilitācijas pakalpojumu attīstība personām ar redzes un dzirdes traucējumiem"/ Sub-activity „The development of social rehabilitation services for persons with sight and hearing disorders”</t>
  </si>
  <si>
    <t>1.4.1.2.4.*</t>
  </si>
  <si>
    <t>Sociālās rehabilitācijas un institūcijām alternatīvu sociālās aprūpes pakalpojumu attīstība reģionos/ Sub-activity „Development of social rehabilitation and alternative social care services in regions“</t>
  </si>
  <si>
    <t>1.5.</t>
  </si>
  <si>
    <t xml:space="preserve">Prioritāte "Administratīvās kapacitātes stiprināšana"/ Priority "Administrative Capacity Building" </t>
  </si>
  <si>
    <t>1.5.1.</t>
  </si>
  <si>
    <t>Pasākums "Labāka regulējuma politika"/ Measure "Better Regulation Policy"</t>
  </si>
  <si>
    <t>1.5.1.1.</t>
  </si>
  <si>
    <t>Aktivitāte "Politikas ietekmes novērtēšana un politikas pētījumu veikšana"/ Activity "Policy Impact Assessment and Conducting Policy Research"</t>
  </si>
  <si>
    <t>Apakšaktivitāte "Atbalsts strukturālo reformu īstenošanai un analītisko spēju stiprināšanai valsts pārvaldē"/ Sub-activity "Improvement of Policy Planning, Policy Implementation and Policy Impact Assessment"</t>
  </si>
  <si>
    <t>FM/MoF</t>
  </si>
  <si>
    <t>Apakšaktivitāte "Politikas pētījumu veikšana"/ Sub-activity "Conducting Policy Research"</t>
  </si>
  <si>
    <t>Vkanceleja/State Chancellery</t>
  </si>
  <si>
    <t>Aktivitāte "Administratīvo šķēršļu samazināšana un publisko pakalpojumu kvalitātes uzlabošana"/ Activity "Reduction of Administrative Barriers and Quality Improvement of Public Services"</t>
  </si>
  <si>
    <t>1.5.1.3.</t>
  </si>
  <si>
    <t>Aktivitāte "Publisko varu realizējošo institūciju darbības kvalitātes un efektivitātes paaugstināšana"/ Activity "Increasing Operational Quality and Efficiency of Public Administration Institutions"</t>
  </si>
  <si>
    <t xml:space="preserve">1.5.1.3.1. </t>
  </si>
  <si>
    <t>Apakšaktivitāte "Kvalitātes vadības sistēmas izveide un ieviešana"/ Sub-activity "Development and Introduction of the Quality Management System"</t>
  </si>
  <si>
    <t>Apakšaktivitāte "Publisko pakalpojumu kvalitātes paaugstināšana valsts, reģionālā un vietējā līmenī"/ Sub-activity "Improvement of Quality of Public Services at the National, Regional and Local Level"</t>
  </si>
  <si>
    <t>1.5.2.</t>
  </si>
  <si>
    <t>Pasākums "Cilvēkresursu kapacitātes stiprināšana" / Measure "Capacity Building of Human Resources"   </t>
  </si>
  <si>
    <t>Aktivitāte "Publiskās pārvaldes cilvēkresursu plānošanas un vadības IT sistēmas izstrāde un ieviešana" / Activity "Development of Human Resource Planning and Management System in Public Administration"</t>
  </si>
  <si>
    <t>1.5.2.2.</t>
  </si>
  <si>
    <t>Aktivitāte "Sociālo partneru, nevalstisko organizāciju un pašvaldību kapacitātes stiprināšana"/ Activity "Capacity Building of Social Partners, Non-Governmental Organisations and Municipalities"</t>
  </si>
  <si>
    <t>Apakšaktivitāte "Sociālo partneru administratīvās kapacitātes stiprināšana"/ Sub-activity "Administrative Capacity Building of Social Partners"</t>
  </si>
  <si>
    <t>1.5.2.2.2.*</t>
  </si>
  <si>
    <t>Apakšaktivitāte "NVO administratīvās kapacitātes stiprināšana"/ Sub-activity "Administrative Capacity Building of NGOs"</t>
  </si>
  <si>
    <t>1.5.2.2.3.*</t>
  </si>
  <si>
    <t>Apakšaktivitāte "Atbalsts pašvaldībām kapacitātes stiprināšanā Eiropas Savienības struktūrfondu finansēto pasākumu ieviešanā" / Sub-activity "Support to Municipalities in Building their Capacities to Implement Measures financed by the Structural Funds"</t>
  </si>
  <si>
    <t>1.5.3.</t>
  </si>
  <si>
    <t xml:space="preserve">Pasākums "Plānošanas reģionu un vietējo pašvaldību administratīvās un attīstības plānošanas kapacitātes stiprināšana"/ Measure "Administrative Capacity and Development Planning Capacity Building of Planning Regions and Local Governments" </t>
  </si>
  <si>
    <t>VARAM/ MoEPRD</t>
  </si>
  <si>
    <t>1.5.3.1.*</t>
  </si>
  <si>
    <t>Aktivitāte "Speciālistu piesaiste plānošanas reģioniem, pilsētām un novadiem" / Activity "Attracting Specialists to Planning Regions, Towns and Amalgamated Municipalities"</t>
  </si>
  <si>
    <t>1.5.3.2.*</t>
  </si>
  <si>
    <t>Aktivitāte "Plānošanas reģionu un vietējo pašvaldību attīstības plānošanas kapacitātes paaugstināšana" / Activity "Development Planning Capacity Building of Planning Regions and Local Governments"</t>
  </si>
  <si>
    <t>1.6.</t>
  </si>
  <si>
    <t>Prioritāte "Tehniskā palīdzība"/ Technical Assistance</t>
  </si>
  <si>
    <t>1.6.1.</t>
  </si>
  <si>
    <t xml:space="preserve">Pasākums "Atbalsts darbības programmas "Cilvēkresursi un nodarbinātība" vadībai"/ Measure “Assistance for the Management of the Operational Programme „Human Resources and Employment”” </t>
  </si>
  <si>
    <t>Aktivitāte "Programmas vadības un atbalsta funkciju nodrošināšana"/ Activity "Assistance for the Management of the Operational Programme"</t>
  </si>
  <si>
    <r>
      <t xml:space="preserve">Darbības programma "Uzņēmējdarbība un inovācijas" </t>
    </r>
    <r>
      <rPr>
        <b/>
        <i/>
        <vertAlign val="superscript"/>
        <sz val="13"/>
        <rFont val="Times New Roman"/>
        <family val="1"/>
        <charset val="204"/>
      </rPr>
      <t>6</t>
    </r>
    <r>
      <rPr>
        <b/>
        <i/>
        <vertAlign val="superscript"/>
        <sz val="13"/>
        <rFont val="Times New Roman"/>
        <family val="1"/>
        <charset val="186"/>
      </rPr>
      <t xml:space="preserve"> * </t>
    </r>
    <r>
      <rPr>
        <b/>
        <i/>
        <sz val="13"/>
        <rFont val="Times New Roman"/>
        <family val="1"/>
        <charset val="204"/>
      </rPr>
      <t xml:space="preserve">/ II Operational programme "Entrepreneurship and Innovations" </t>
    </r>
    <r>
      <rPr>
        <b/>
        <i/>
        <vertAlign val="superscript"/>
        <sz val="13"/>
        <rFont val="Times New Roman"/>
        <family val="1"/>
        <charset val="204"/>
      </rPr>
      <t xml:space="preserve">6 </t>
    </r>
    <r>
      <rPr>
        <b/>
        <i/>
        <vertAlign val="superscript"/>
        <sz val="13"/>
        <rFont val="Times New Roman"/>
        <family val="1"/>
        <charset val="186"/>
      </rPr>
      <t>*</t>
    </r>
  </si>
  <si>
    <t>ERAF / ERDF</t>
  </si>
  <si>
    <t>Atšķirības DP un  DPP finanšu plānos ir izskaidrojamas ar to, ka grozījumi DP, kas ir veikti, vēl nav saskaņoti ar EK.</t>
  </si>
  <si>
    <t>Prioritāte "Zinātne un inovācijas"/ Priority „Science and Innovations”</t>
  </si>
  <si>
    <t>Since October 30, 2009 there is discussion with EC going on about the necessity of OP amendments and amount.</t>
  </si>
  <si>
    <t>2.1.1.</t>
  </si>
  <si>
    <t>Pasākums "Zinātne, pētniecība un attīstība"/ Measure „Science, Research and Development”</t>
  </si>
  <si>
    <t xml:space="preserve">Decrease of funding within the measure 2.1.1. “Science, Research and Development”,  is due to reduced funding from the sub-activity 2.1.1.3.2.“Improvement of IT Infrastructure and IT System for the Research Needs”. </t>
  </si>
  <si>
    <t xml:space="preserve">2.1.1.1. </t>
  </si>
  <si>
    <t>Aktivitāte "Atbalsts zinātnei un pētniecībai"/ Activity "Support to Science and Research"</t>
  </si>
  <si>
    <t>Reallocated from the activity 2.1.1.2.</t>
  </si>
  <si>
    <t xml:space="preserve">2.1.1.2. </t>
  </si>
  <si>
    <t>Aktivitāte "Atbalsts starptautiskās sadarbības projektiem zinātnē un tehnoloģijās (EUREKA, 7.IP un citi)" / Activity "Support to International Cooperation Projects in Research and Technologies (EUREKA, 7th FP, etc.)"</t>
  </si>
  <si>
    <r>
      <t xml:space="preserve">Community funding available within the activity 2.1.1.2. </t>
    </r>
    <r>
      <rPr>
        <sz val="12"/>
        <color rgb="FFFF0000"/>
        <rFont val="Times New Roman"/>
        <family val="1"/>
        <charset val="186"/>
      </rPr>
      <t>was reduced and at the same time reallocated to the activity 2.1.1.1. “Support to Science and Research” in order to implement second call of project proposals</t>
    </r>
  </si>
  <si>
    <t>2.1.1.3.</t>
  </si>
  <si>
    <t>Aktivitāte "Zinātnes un pētniecības infrastruktūras attīstība"/ Activity "Development of the scientific and research infrastructure"</t>
  </si>
  <si>
    <t>Please see coments for the sub-activities 2.1.1.3.1. and 2.1.1.3.2.</t>
  </si>
  <si>
    <t xml:space="preserve">2.1.1.3.1. </t>
  </si>
  <si>
    <t>Apakšaktivitāte "Zinātnes infrastruktūras attīstība"/ Sub-activity "Development of  Research Infrastructure"</t>
  </si>
  <si>
    <t>ERAF</t>
  </si>
  <si>
    <t>Funding was re-allocated from the activity 2.1.1.3.2.</t>
  </si>
  <si>
    <t>Apakšaktivitāte "Informācijas tehnoloģiju infrastruktūras un informācijas sistēmu uzlabošana zinātniskajai darbībai" / Sub-activity "Improvement of IT Infrastructure and IT System for the Research Needs"</t>
  </si>
  <si>
    <t xml:space="preserve">Due to the budged consolidation in year 2010 there was reduction of national public funding. Community funding did not change. </t>
  </si>
  <si>
    <t>2.1.2.</t>
  </si>
  <si>
    <t>Pasākums "Inovācijas"/Measure „Innovations”</t>
  </si>
  <si>
    <t xml:space="preserve">Re-allocation of the funding among the activities within the same measure - 2.1.2.“Innovations”, and reallocation  of the funding available within the measure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</si>
  <si>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2.1.2.1.</t>
  </si>
  <si>
    <t xml:space="preserve"> Aktivitāte "Zinātnes komercializācija un tehnoloģiju pārnese"/ Activity "Commercialisation of science and transfer of technologies"</t>
  </si>
  <si>
    <t>Re-allocation of the funding from the activity 2.1.2.2.</t>
  </si>
  <si>
    <t>Apakšaktivitāte "Kompetences centri" / Sub-activity "Competence centres"</t>
  </si>
  <si>
    <t>Re-allocation of the free funding from the sub-activity 2.1.2.1.2., sub-activity 2.1.2.2.1. and sub-activity 2.1.2.2.3. to the sub-activity 2.1.2.1.1.</t>
  </si>
  <si>
    <t>Apakšaktivitāte "Tehnoloģiju pārneses kontaktpunkti"/ Sub-activity "Contact Points of Transfer of Technologies"</t>
  </si>
  <si>
    <t>Re-allocation of the funding from the subactivity 2.1.2.1.2. to the activity 2.1.2.4.</t>
  </si>
  <si>
    <t>Apakšaktivitāte "Tehnoloģiju pārneses centri"/ Sub-activity "Centres of transfer of Technologies"</t>
  </si>
  <si>
    <t>2.1.2.2.</t>
  </si>
  <si>
    <t>Aktivitāte "Jaunu produktu un tehnoloģiju izstrāde"/ Activity "Development of new products and technologies"</t>
  </si>
  <si>
    <t>Reallocation of funding not committed within activity 2.1.2.2. “Development of new products and technologies” , firstly, to the activity 2.1.2.4. “High-value investments”; secondly, to the sub-activity 2.1.2.2.4. “New product and technology development in SME’s”.</t>
  </si>
  <si>
    <t>2.1.2.2.1.*</t>
  </si>
  <si>
    <t>Apakšaktivitāte "Jaunu produktu un tehnoloģiju izstrāde" / Sub-activity "Development of new products and technologies"</t>
  </si>
  <si>
    <t>Reallocation of funding not committed within 2.1.2.2. “Development of new products and technologies” activity, firstly, to the activity 2.1.2.4. “High-value investments”; secondly, to the sub-activity 2.1.2.2.4. “New product and technology development in SME’s”.</t>
  </si>
  <si>
    <t>2.1.2.2.2. *</t>
  </si>
  <si>
    <t xml:space="preserve">Apakšaktivitāte "Jaunu produktu un tehnoloģiju izstrāde - atbalsts jaunu produktu un tehnoloģiju ieviešanai ražošanā"/Sub-activity "Development of new products and technologies - aid for implementation of new products and Technologies in production" </t>
  </si>
  <si>
    <t>Apakšaktivitāte "Jaunu produktu un tehnoloģiju izstrāde - atbalsts rūpnieciskā īpašuma tiesību nostiprināšanai" /Sub-activity "Development of new products and technologies -  aid for industrial property rights"</t>
  </si>
  <si>
    <t>Apakšaktivitāte "MVK jaunu produktu un tehnoloģiju attīstības programma"/ Sub-activity "New product and technology development in SMEs"</t>
  </si>
  <si>
    <t>Activity was created in 2011.</t>
  </si>
  <si>
    <t>2.1.2.3.</t>
  </si>
  <si>
    <t>Aktivitāte "Zinātnes un tehnoloģiju parks" /Activity "Science and Technology park"</t>
  </si>
  <si>
    <t xml:space="preserve">Activity 2.1.2.3.“Science and Technology Park” was suspended due to the overlapping with the sub-activity 2.1.2.3.1.“Development of Research Infrastructure”. </t>
  </si>
  <si>
    <t>Apakšaktivitāte "Rīgas zinātnes un tehnoloģiju parka (ZTP) attīstība"/Sub-activity "Development of Science and Technology park of Riga"</t>
  </si>
  <si>
    <t xml:space="preserve">2.1.2.4. </t>
  </si>
  <si>
    <t xml:space="preserve">Aktivitāte "Augstas pievienotās vērtības investīcijas"/Activity "High value-added investments" </t>
  </si>
  <si>
    <t>Increase of funding within the avtivity was done by several re-allocations: 1) from activity 2.1.2.3.; 2) several mutual amendments from and to activity 2.1.2.2.2. 3)  from activities 2.1.2.2.1. and 2.1.2.2.3. from OP "Infrastructure and services.</t>
  </si>
  <si>
    <t>2.2.</t>
  </si>
  <si>
    <t>Prioritāte "Finanšu pieejamība"/Priority “Access to Finances”</t>
  </si>
  <si>
    <t xml:space="preserve">Reallocation  of the funding available within the measure 2.1.2.“Innovations”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</si>
  <si>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2.2.1.</t>
  </si>
  <si>
    <t>Pasākums "Finanšu resursu pieejamība"/Measure „Accessability of Financial Resources”</t>
  </si>
  <si>
    <t xml:space="preserve">Reallocation  of the funding available within the measure 2.1.2.“Innovations” to the priority 2.2 “Access to Finances”. </t>
  </si>
  <si>
    <t xml:space="preserve"> Aktivitāte "Ieguldījumu fonds investīcijām garantijās, paaugstināta riska aizdevumos, riska kapitāla fondos un cita veida finanšu instrumentos"/Activity "Holding fund for the investment in guarantee, high-risk loans, and venture capital funds and other financial instruments" </t>
  </si>
  <si>
    <t xml:space="preserve">Reallocation  of the funding available within the measure 2.1.2.“Innovations” to the  activity 2.2.1.1. “Holding fund for the investment in guarantee, high-risk loans, and venture capital funds and other financial instruments” </t>
  </si>
  <si>
    <t>2.2.1.2.</t>
  </si>
  <si>
    <t>Aktivitāte "Stratēģisko investoru piesaiste"/Activity "Attraction of strategic investors"</t>
  </si>
  <si>
    <t>Apakšaktivitāte "Biznesa eņģeļu tīkls"/Sub-activity "Business angels network"</t>
  </si>
  <si>
    <t>Apakšaktivitāte "Vērtspapīru birža MVK"/Sub-activity "Stock Exchange for SMEs"</t>
  </si>
  <si>
    <t xml:space="preserve">2.2.1.3. </t>
  </si>
  <si>
    <t xml:space="preserve">Aktivitāte "Garantijas komersantu konkurētspējas uzlabošanai" /Activity "Guarantees for development of enterprise competitiveness" </t>
  </si>
  <si>
    <t xml:space="preserve">2.2.1.4. </t>
  </si>
  <si>
    <t xml:space="preserve">Aktivitāte "Aizdevumi komersantu konkurētspējas uzlabošanai"/Activity "Loans for development of enterprise competitiveness" </t>
  </si>
  <si>
    <t>Reallocation  of the funding available within the measure 2.1.2.“Innovations” to the sub-activity 2.2.1.4.2.“Mezzanine investment loans for development of enterprise competitiveness”</t>
  </si>
  <si>
    <t>Apakšaktivitāte "Atbalsts aizdevumu veidā komersantu konkurētspējas uzlabošanai"/Sub-activity "Support in a way of loans for development of enterprise competitiveness"</t>
  </si>
  <si>
    <t>Apakšaktivitāte "Mezanīna aizdevumi investīcijām komersantu konkurētspējas uzlabošanai"/ Sub-activity "Mezzanine investment loans for development of enterprise copmpetitiveness"</t>
  </si>
  <si>
    <t>Activity was introduced in 2011 and funding was re-allocated by reducing funding from activity 2.2.1.3."Guarantees for development of enterprise competitiveness" (due to the fact tha the EC did not approve the increase of funding within the Guarantee programme).</t>
  </si>
  <si>
    <t>2.3.</t>
  </si>
  <si>
    <t>Prioritāte "Uzņēmējdarbības veicināšana"/Priority “Promotion of Entrepreneurship”</t>
  </si>
  <si>
    <t>2.3.1.</t>
  </si>
  <si>
    <t>Pasākums "Uzņēmējdarbības atbalsta aktivitātes"/Measure „Business Support Activities”</t>
  </si>
  <si>
    <t>Realocation of the funding form the measure 2.3.2. to the measure 2.3.1.</t>
  </si>
  <si>
    <t>2.3.1.1.</t>
  </si>
  <si>
    <t>Aktivitāte "Ārējo tirgu apgūšana"/Activity "Access to international trade markets"</t>
  </si>
  <si>
    <t>2.3.1.1.1. *</t>
  </si>
  <si>
    <t xml:space="preserve">Apakšaktivitāte „Ārējo tirgu apgūšana - ārējais mārketings” /Sub-activity  ”Access to international trade markets-external marketing” </t>
  </si>
  <si>
    <t xml:space="preserve">Reallocation of the financing available within 2.3.2.2.2. activity to the sub-activity 2.3.1.1.1.“Access to international trade markets” and sub-activity 2.3.1.1.2.“Access to international trade markets-strengthening international competitiveness of industry sector” </t>
  </si>
  <si>
    <t>Apakšaktivitāte „Ārējo tirgu apgūšana – nozaru starptautiskās konkurētspējas stiprināšana” /Sub-activity “Access to international trade markets-strengthening international competitiveness  of industry sector”</t>
  </si>
  <si>
    <t>Aktivitāte "Pasākumi motivācijas celšanai inovācijām un uzņēmējdarbības uzsākšanai"/Activity "Measures to encourage innovations and business start-ups"</t>
  </si>
  <si>
    <t>2.3.2.</t>
  </si>
  <si>
    <t>Pasākums "Uzņēmējdarbības infrastruktūras un aprīkojuma uzlabojumi"/Measure „Business Infrastructure and Improvements to Equipment”</t>
  </si>
  <si>
    <t>Aktivitāte "Biznesa inkubatori"/Activity "Business incubators"</t>
  </si>
  <si>
    <t xml:space="preserve">2.3.2.2. </t>
  </si>
  <si>
    <t>Aktivitāte "Atbalsts ieguldījumiem mikro, maziem un vidējiem komersantiem īpaši atbalstāmajās teritorijās (ĪAT)"/Activity "Co-financing to the investments in micro, small and medium-sized entreprises operating in the specially assisted arears"</t>
  </si>
  <si>
    <t>Reallocation of the financing available within 2.3.2.2.2. activity to the sub-activity 2.3.1.1.1.“Access to international trade markets” and sub-activity 2.3.1.1.2.“Access to international trade markets-strengthening international competitiveness of industry sector” , as well as to the activity 2.3.2.3.</t>
  </si>
  <si>
    <t>2.3.2.2.2.*</t>
  </si>
  <si>
    <t>Apakšaktivitāte "Atbalsts ieguldījumiem ražošanas telpu izveidei vai rekonstrukcijai"/ Sub-activity "Support for construction or reconstruction of industrial premises"</t>
  </si>
  <si>
    <t>Activity is not implemented</t>
  </si>
  <si>
    <t>Aktivitāte "Klasteru programma"/Activity "Cluster programm"</t>
  </si>
  <si>
    <t>In April 2009 the implementation of the activity was suspended  and funding was taken out and re-allocated to the sub-activity 2.3.1.1.1.). In July 2011 Cabinet of Ministers took a decision to start again the implementation of the activity and ERDF funding within the amount of 3 407 289 lats was reallocated from activity 2.3.2.2.</t>
  </si>
  <si>
    <t>2.4.***</t>
  </si>
  <si>
    <t>Prioritāte "Tehniskā palīdzība"/Priority “Technical Assistance”</t>
  </si>
  <si>
    <t>FM / MoF</t>
  </si>
  <si>
    <t xml:space="preserve">10% of the national public financing and 10% of the ERDF funding previously allocated to the priority 2.4.“Technical Assistance” is allocated to the priority 2.2. “Access to Finances”, neminot, ka pārdale uz mezanīnu. </t>
  </si>
  <si>
    <r>
      <t>2.4.1.</t>
    </r>
    <r>
      <rPr>
        <b/>
        <vertAlign val="superscript"/>
        <sz val="13"/>
        <rFont val="Times New Roman"/>
        <family val="1"/>
        <charset val="186"/>
      </rPr>
      <t>8</t>
    </r>
  </si>
  <si>
    <t>Pasākums "Atbalsts darbības programmas "Uzņēmējdarbība un inovācijas" vadībai"/Measure “Assistance for the Management of the Operational Programme „Entrepreneurship and Innovations””</t>
  </si>
  <si>
    <t>Aktivitāte "Programmas vadības un atbalsta funkciju nodrošināšana"/Activity "Ensuring programme management and support"</t>
  </si>
  <si>
    <t xml:space="preserve">10% of the national public financing and 10% of the ERDF funding previously allocated to the priority 2.4.“Technical Assistance” is allocated to the priority 2.2. “Access to Finances”, in particular to the new sub-activity 2.2.1.4.2.“Mezzanine investment loans for development of enterprise competitiveness” </t>
  </si>
  <si>
    <t>3.</t>
  </si>
  <si>
    <r>
      <t xml:space="preserve">III darbības programma "Infrastruktūra un pakalpojumi" </t>
    </r>
    <r>
      <rPr>
        <b/>
        <i/>
        <vertAlign val="superscript"/>
        <sz val="13"/>
        <rFont val="Times New Roman"/>
        <family val="1"/>
        <charset val="186"/>
      </rPr>
      <t>7</t>
    </r>
    <r>
      <rPr>
        <b/>
        <i/>
        <sz val="13"/>
        <rFont val="Times New Roman"/>
        <family val="1"/>
        <charset val="204"/>
      </rPr>
      <t xml:space="preserve">/ III Operational programme "Infrastructure and Services" </t>
    </r>
    <r>
      <rPr>
        <b/>
        <i/>
        <vertAlign val="superscript"/>
        <sz val="13"/>
        <rFont val="Times New Roman"/>
        <family val="1"/>
        <charset val="186"/>
      </rPr>
      <t>7</t>
    </r>
  </si>
  <si>
    <t>ERAF/KF / ERDF/CF</t>
  </si>
  <si>
    <t>III DP - ERAF/III OP - ERDF</t>
  </si>
  <si>
    <t>III DP - KF/ III OP - CF</t>
  </si>
  <si>
    <t>KF/CF</t>
  </si>
  <si>
    <t>3.1.</t>
  </si>
  <si>
    <t>Prioritāte "Infrastruktūra cilvēku kapitāla nostiprināšanai" / Priority "Infrastructure for Strengthening Human Capital"</t>
  </si>
  <si>
    <t>3.1.1.</t>
  </si>
  <si>
    <t xml:space="preserve">Pasākums "Profesionālās izglītības infrastruktūra"/Measure "Vocational Education Infrastructure" </t>
  </si>
  <si>
    <t>Aktivitāte "Mācību aprīkojuma modernizācija un infrastruktūras uzlabošana profesionālās izglītības programmu īstenošanai"/Modernisation of Equipment and Improvement of Infrastructure for Implementation of Vocational Education Programmes</t>
  </si>
  <si>
    <t>Aktivitāte "Profesionālās izglītības infrastruktūras attīstība un mācību aprīkojuma modernizācija ieslodzījuma vietās"/Improvement of Vocational Education Infrastructure and Modernisation of Equipment in Places of Imprisonment</t>
  </si>
  <si>
    <t>3.1.2.</t>
  </si>
  <si>
    <t>Pasākums "Augstākās izglītības infrastruktūra"/Measure "Tertiary (Higher) Education Infrastructure"</t>
  </si>
  <si>
    <t>3.1.2.1.1.*</t>
  </si>
  <si>
    <t>Apakšaktivitāte "Augstākās izglītības iestāžu telpu un iekārtu modernizēšana studiju programmu kvalitātes uzlabošanai, tajā skaitā, nodrošinot izglītības programmu apgūšanas iespējas arī personām ar funkcionāliem traucējumiem"/Modernization of Premises and Devices for Improvement of Study Programme Quality at Higher Educational Establishments, including Provision of Education Opportunities for Individuals with Functional Disabilities</t>
  </si>
  <si>
    <t>Apakšaktivitāte "Jaunu koledžas studiju programmu attīstība aviācijas nozarē"/Improvement of New Study Programme at Colleges or Establishment of New Colleges</t>
  </si>
  <si>
    <t>3.1.3.</t>
  </si>
  <si>
    <t>Pasākums "Izglītības infrastruktūra vispārējo prasmju nodrošināšanai"/Measure "Ensuring Educational Infrastructure for General Skills" </t>
  </si>
  <si>
    <r>
      <t>Aktivitāte "Kvalitatīvai dabaszinātņu apguvei atbilstošas materiālās bāzes nodrošināšana"</t>
    </r>
    <r>
      <rPr>
        <vertAlign val="superscript"/>
        <sz val="13"/>
        <rFont val="Times New Roman"/>
        <family val="1"/>
        <charset val="186"/>
      </rPr>
      <t xml:space="preserve"> </t>
    </r>
    <r>
      <rPr>
        <sz val="13"/>
        <rFont val="Times New Roman"/>
        <family val="1"/>
        <charset val="204"/>
      </rPr>
      <t>/ Provision of Appropriate Material Supplies Required for the Implementation of High-quality Natural Science Programmes</t>
    </r>
  </si>
  <si>
    <t>Aktivitāte "Atbalsts vispārējās izglītības iestāžu tīkla optimizācijai"/Support for optimization of general educational establishments</t>
  </si>
  <si>
    <t>3.1.3.3.*</t>
  </si>
  <si>
    <t>Aktivitāte "Speciālās izglītības iestāžu un vispārējās izglītības iestāžu infrastruktūras uzlabošana izglītojamajiem ar speciālām vajadzībām"/Improvement of Infrastructure for Students with Special Needs in Comprehensive and Special Education Establishments</t>
  </si>
  <si>
    <t>3.1.3.3.1.*</t>
  </si>
  <si>
    <t xml:space="preserve">Apakšaktivitāte "Speciālās izglītības iestāžu infrastruktūras un aprīkojuma uzlabošana"/ Improvement of Infrastructure and Equipment in Special Educational Establishments </t>
  </si>
  <si>
    <t>Apakšaktivitāte "Vispārējās izglītības iestāžu infrastruktūras uzlabošana izglītojamajiem ar funkcionāliem traucējumiem"/Improvement of Infrastructure in General Educational Establishments for the Students with Functional Disabilities and other Disorders</t>
  </si>
  <si>
    <t>3.1.4.</t>
  </si>
  <si>
    <t>Pasākums "Nodarbinātības un sociālo pakalpojumu infrastruktūra"/Measure "Employment and Social Services Infrastructure"</t>
  </si>
  <si>
    <t>3.1.4.1.</t>
  </si>
  <si>
    <t>Aktivitāte "Darbspēju vērtēšanas un sociālo pakalpojumu ieviešanas institūciju infrastruktūras pilnveidošana"/Improvement of Infrastructure in Institutions Assessing Capacity for Work and Providing Social Services</t>
  </si>
  <si>
    <t>Apakšaktivitāte "Infrastruktūras pilnveidošana un zinātniski tehniskās bāzes nodrošināšana darbspēju un funkcionālo traucējumu izvērtēšanai" /Sub-activity "Improvement of Infrastructure and Providing Scientific and Technical Base  to Estimate  a  Work Capacity and Functional Disorders)"</t>
  </si>
  <si>
    <t>Aktivitāte "Infrastruktūras pilnveidošana profesionālās rehabilitācijas pakalpojumu sniegšanai"/Improvement of Infrastructure for Providing a Professional Rehabilitation Services</t>
  </si>
  <si>
    <t>Apakšaktivitāte "Infrastruktūras pilnveidošana sociālās rehabilitācijas pakalpojumu sniegšanai personām ar redzes un dzirdes traucējumiem"/Improvement of Infrastructure to Develop Social Rehabilitation Services for Persons with Hearing  and  Seeing Disorders</t>
  </si>
  <si>
    <t>Apakšaktivitāte "Jaunu filiāļu izveide tehnisko palīglīdzekļu nodrošināšanai"/Establishment of New Branch for Providing Technical Aid</t>
  </si>
  <si>
    <t>Apakšaktivitāte "Infrastruktūras pilnveidošana sociālās rehabilitācijas pakalpojumu sniegšanai personām ar garīga rakstura traucējumiem"/Improvement of Infrastructure to Develop Social Rehabilitation Services for Persons With Mental Disorders</t>
  </si>
  <si>
    <t>Aktivitāte "Darba tirgus institūciju infrastruktūras pilnveidošana/Improvement of Infrastructure in Labour Market Institutions</t>
  </si>
  <si>
    <t>Aktivitāte "Pirmsskolas izglītības iestāžu infrastruktūras attīstība nacionālas un reģionālas nozīmes attīstības centros"/ Development Pre-school Educational Establishments’ Infrastructure in Development Centers of National and Regional Importance</t>
  </si>
  <si>
    <t>Aktivitāte "Atbalsts alternatīvās aprūpes pakalpojumu pieejamības attīstībai"/Supporting of Improved Accessibility to Alternative Care Services</t>
  </si>
  <si>
    <t>3.1.5.</t>
  </si>
  <si>
    <t>Pasākums "Veselības aprūpes infrastruktūra" /Measure "Health Care Infrastructure"</t>
  </si>
  <si>
    <t>3.1.5.1.</t>
  </si>
  <si>
    <t>Ambulatorās veselības aprūpes attīstība/Development of Ambulatory Health Care</t>
  </si>
  <si>
    <t>Ģimenes ārstu tīkla attīstība / Developemnt of Primary Health Care Physician Network</t>
  </si>
  <si>
    <t>Veselības aprūpes centru attīstība/Development of the Health Care Centres</t>
  </si>
  <si>
    <t>Neatliekamās medicīniskās palīdzības attīstība/Development of Emergency Medical Assistance</t>
  </si>
  <si>
    <t>3.1.5.3.</t>
  </si>
  <si>
    <t>Stacionārās veselības aprūpes pakalpojumu sniedzēju attīstība/Development of providers of stationary health care</t>
  </si>
  <si>
    <t>Stacionārās veselības aprūpes attīstība /Development of Stationary Health Care</t>
  </si>
  <si>
    <t>Onkoloģijas slimnieku radioterapijas ārstēšanas attīstība / Development of Radiotherapy Treatments of Oncology Patients</t>
  </si>
  <si>
    <t>3.2.</t>
  </si>
  <si>
    <t>Prioritāte "Teritoriju pieejamības un sasniedzamības veicināšana"/Priority "Promotion of Territorial Accessability"</t>
  </si>
  <si>
    <t xml:space="preserve"> -</t>
  </si>
  <si>
    <t>3.2.1.</t>
  </si>
  <si>
    <t>Pasākums "Pieejamības un transporta sistēmas attīstība" / Measure "Promotion of Accessibility and Transport System"</t>
  </si>
  <si>
    <t>SM / MoT</t>
  </si>
  <si>
    <t>Aktivitāte "Valsts 1.šķiras autoceļu maršrutu sakārtošana" / Improvement of State Category 1 Motorway Network</t>
  </si>
  <si>
    <t>Aktivitāte "Tranzītielu sakārtošana pilsētu teritorijās"/Improvement of Transit Streets in Cities</t>
  </si>
  <si>
    <t>3.2.1.3.</t>
  </si>
  <si>
    <t xml:space="preserve">Aktivitāte "Satiksmes drošības uzlabojumi apdzīvotās vietās un Rīgā"/Traffic Safety Improvement in Populated Areas and Riga </t>
  </si>
  <si>
    <t>Apakšaktivitāte "Satiksmes drošības uzlabojumi apdzīvotās vietās ārpus Rīgas"/Traffic Safety Improvement in Populated Areas Outside Riga</t>
  </si>
  <si>
    <t>Apakšaktivitāte "Satiksmes drošības uzlabojumi Rīgā"/Traffic safety improvement in Riga</t>
  </si>
  <si>
    <t>3.2.1.4.*</t>
  </si>
  <si>
    <t>Aktivitāte "Mazo ostu infrastruktūras uzlabošana"/Improvement of Infrastructure in Small Ports</t>
  </si>
  <si>
    <t>Aktivitāte "Publiskais transports ārpus Rīgas"/Public Transport Outside Riga</t>
  </si>
  <si>
    <t>3.2.2.</t>
  </si>
  <si>
    <t>Pasākums "IKT infrastruktūra un pakalpojumi" /Measure "ICT Infrastructure and Services"</t>
  </si>
  <si>
    <t>3.2.2.1.</t>
  </si>
  <si>
    <t>Aktivitāte "Publiskās pārvaldes elektronisko pakalpojumu un informācijas sistēmu attīstība"/Development of Electronic Services and Information Systems of Public Administration</t>
  </si>
  <si>
    <t>Apakšaktivitāte "Informācijas sistēmu un elektronisko pakalpojumu attīstība"/Development of Information Systems and Electronic Services</t>
  </si>
  <si>
    <t>Apakšaktivitāte "Izglītības iestāžu informatizācija"/ Informatisation of Educational Institutions</t>
  </si>
  <si>
    <t>Aktivitāte "Publisko interneta pieejas punktu attīstība"/Development of Public Internet Access Points</t>
  </si>
  <si>
    <t>Aktivitāte "Elektronisko sakaru pakalpojumu vienlīdzīgas pieejamības nodrošināšana visā valsts teritorijā (platjoslas tīkla attīstība)"/Provision of Equal Access Opportunities to Electronic Communications Services in the Whole Territory of the Country (Development of Broadband Network)</t>
  </si>
  <si>
    <t>3.2.2.4.</t>
  </si>
  <si>
    <t>Aktivitāte "Valsts nozīmes elektronisko sakaru tīklu izveide, attīstība un pilnveidošana, informācijas datu pārraides drošības nodrošināšana"/Establishment, Development and Improvement of Electronic Communications Network of National Significance and Ensuring Security of Information Data Transmission</t>
  </si>
  <si>
    <t>Apakšaktivitāte "Valsts nozīmes elektronisko sakaru tīklu izveide, attīstība un pilnveidošana"/Establishment, Development and Improvement of Electronic Communications Network of National Significance</t>
  </si>
  <si>
    <t>Apakšaktivitāte "Informācijas datu pārraides drošības nodrošināšana"/Ensuarance of information data transmission safety</t>
  </si>
  <si>
    <t>3.3.</t>
  </si>
  <si>
    <t xml:space="preserve">Prioritāte "Eiropas nozīmes transporta tīklu attīstība un ilgtspējīga transporta veicināšana" /Priority "Development of Transport Network of European Significance and Promotion of Sustainable Transport" </t>
  </si>
  <si>
    <t>3.3.1.</t>
  </si>
  <si>
    <t>Pasākums "Liela mēroga transporta infrastruktūras uzlabojumi un attīstība" /Measure "Improvements and Development of Large Scale Transport Infrastructure"</t>
  </si>
  <si>
    <t xml:space="preserve">Aktivitāte "TEN-T autoceļu tīkla uzlabojumi" /Improvement of the TEN-T Road Network </t>
  </si>
  <si>
    <t>Aktivitāte "TEN-T dzelzceļa posmu rekonstrukcija un attīstība (Austrumu-Rietumu dzelzceļa koridora infrastruktūras attīstība un Rail Baltica)"/Reconstruction and Development of the TEN-T Railway Segments (Development of the East-west Rail Corridor Infrastructure and Rail Baltica)</t>
  </si>
  <si>
    <t>Aktivitāte "Lielo ostu infrastruktūras attīstība „Jūras maģistrāļu” ietvaros"/ Development of Infrastructure of Large Ports within the Framework of the "Motorways of the Sea"</t>
  </si>
  <si>
    <t>Aktivitāte "Lidostu infrastruktūras attīstība"/Development of airport infrastructure</t>
  </si>
  <si>
    <t>Aktivitāte "Pilsētu infrastruktūras uzlabojumi sasaistei ar TEN-T"/City Infrastructure Improvements for Linkage with the TEN-T</t>
  </si>
  <si>
    <t>Aktvitiāte "Liepājas Karostas ilgtspējīgas attīstības priekšnoteikumu nodrošināšana"/(Provision of preconditions for Liepāja Karosta sustainable development)</t>
  </si>
  <si>
    <t>3.3.2.</t>
  </si>
  <si>
    <t>Pasākums "Ilgtspējīgas transporta sistēmas attīstība" / Measure "Development of Sustainable Transport System"</t>
  </si>
  <si>
    <t>3.3.2.1.*</t>
  </si>
  <si>
    <t>Aktivitāte "Ilgtspējīga sabiedriskā transporta sistēmas attīstība" / Development of Sustainable Public Transport System</t>
  </si>
  <si>
    <t>3.4.</t>
  </si>
  <si>
    <t xml:space="preserve">    Prioritāte "Kvalitatīvas vides dzīvei un ekonomiskai aktivitātei nodrošināšana"/Priority "Quality Environment for Life and Economic Activity" </t>
  </si>
  <si>
    <t>3.4.1.</t>
  </si>
  <si>
    <t>      Pasākums "Vide" / Measure "Environment"</t>
  </si>
  <si>
    <t xml:space="preserve">Aktivitāte "Ūdenssaimniecības infrastruktūras attīstība apdzīvotās vietās ar iedzīvotāju skaitu līdz 2000" / Activity Development of Water Management Infrastructure in Populated Areas where Number of Residents is up to 2000 </t>
  </si>
  <si>
    <t>Aktivitāte "Bioloģiskās daudzveidības saglabāšanas ex situ infrastruktūras izveide" /Development of Infrastructure for Conservation of Biological Diversity</t>
  </si>
  <si>
    <t>Aktivitāte "Vēsturiski piesārņoto vietu sanācija"/Rehabilitation of Inherited Contaminated Sites</t>
  </si>
  <si>
    <t>3.4.1.5.</t>
  </si>
  <si>
    <t>Aktivitāte "Vides risku samazināšana"/Reduction of Environmental Risks</t>
  </si>
  <si>
    <t>Apakšaktivitāte "Plūdu risku samazināšana grūti prognozējamu vižņu-ledus parādību gadījumos"/Elimination of flood risk caused by hardly predictable phenomena of ice jams</t>
  </si>
  <si>
    <t>3.4.1.5.2.*</t>
  </si>
  <si>
    <t>Apakšaktivitāte "Hidrotehnisko būvju rekonstrukcija plūdu draudu risku novēršanai un samazināšanai"/Reconstruction of hydro technical structures for the education and prevention of the flood risk</t>
  </si>
  <si>
    <t>3.4.2.</t>
  </si>
  <si>
    <t>Pasākums "Tūrisms"/Measure "Tourism"</t>
  </si>
  <si>
    <t>3.4.2.1.</t>
  </si>
  <si>
    <t>Aktivitāte "Nacionālās nozīmes tūrisma produkta attīstība"/Development of Tourism Product of National importance</t>
  </si>
  <si>
    <t>Apakšaktivitāte "Valsts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</si>
  <si>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Apakšaktivitāte "Nacionālās nozīmes velotūrisma produkta attīstība"/Cycling Tourism Product of National Importance</t>
  </si>
  <si>
    <t>Apakšaktivitāte "Nacionālās nozīmes kultūras, aktīvā, veselības un rekreatīvā tūrisma produkta attīstība"/Development of Cultural, Active and Recreative Tourism Product of National Importance</t>
  </si>
  <si>
    <t>Aktivitāte "Tūrisma informācijas sistēmas attīstība"/Development of Tourism Information System</t>
  </si>
  <si>
    <t>3.4.3.</t>
  </si>
  <si>
    <t xml:space="preserve">Pasākums "Kultūrvides sociālekonomiskā ietekme"/Measure "Socio-economic Impact of Cultural Environment" </t>
  </si>
  <si>
    <t>KM / MoC</t>
  </si>
  <si>
    <t>Aktivitāte "Nacionālas un reģionālas nozīmes daudzfunkcionālu centru izveide"/Establishment of a Network of Multifunctional Culture Halls of National and Regional Importance</t>
  </si>
  <si>
    <t>Aktivitāte "Sociālekonomiski nozīmīgu kultūras mantojuma objektu atjaunošana"/Renovation of Objects of Important Cultural and Historical Heritage</t>
  </si>
  <si>
    <t>Aktivitāte "Atbalsts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</si>
  <si>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3.4.4.</t>
  </si>
  <si>
    <t>Pasākums "Mājokļa energoefektivitāte"  / Measure "Energy Efficiency of Housing" </t>
  </si>
  <si>
    <t xml:space="preserve">Aktivitāte "Daudzdzīvokļu māju siltumnoturības uzlabošanas pasākumi" /Improvement of Heat Insulation of Multi-apartment Residential Buildings </t>
  </si>
  <si>
    <t>3.4.4.2.*</t>
  </si>
  <si>
    <r>
      <t>Aktivitāte "Sociālo dzīvojamo māju siltumnoturības uzlabošanas pasākumi"</t>
    </r>
    <r>
      <rPr>
        <vertAlign val="superscript"/>
        <sz val="13"/>
        <rFont val="Times New Roman"/>
        <family val="1"/>
        <charset val="186"/>
      </rPr>
      <t>4</t>
    </r>
    <r>
      <rPr>
        <sz val="13"/>
        <rFont val="Times New Roman"/>
        <family val="1"/>
        <charset val="204"/>
      </rPr>
      <t>/Improvement of Heat Insulation of Social Residential Buildings</t>
    </r>
  </si>
  <si>
    <t>3.5.</t>
  </si>
  <si>
    <t>Prioritāte "Vides infrastruktūras un videi draudzīgas enerģētikas veicināšana"  /Priority "Promotion of Environmental Infrastructure And Environmentally Friendly Energy"</t>
  </si>
  <si>
    <t>3.5.1.</t>
  </si>
  <si>
    <t>Pasākums "Vides aizsardzības infrastruktūra"/Measure "Infrastructure of Environmental Protection"</t>
  </si>
  <si>
    <t>3.5.1.1.*</t>
  </si>
  <si>
    <t xml:space="preserve">Aktivitāte "Ūdenssaimniecības infrastruktūras attīstība aglomerācijās ar cilvēku ekvivalentu lielāku par 2000"/Development of water management infrastructure in agglomerations with more than 2000 residents </t>
  </si>
  <si>
    <t>3.5.1.2.</t>
  </si>
  <si>
    <t>Aktivitāte "Reģionālu atkritumu apsaimniekošanas sistēmu attīstība"/Activity "Development of regional systems for waste management"</t>
  </si>
  <si>
    <t>Apakšaktivitāte "Normatīvo aktu prasībām neatbilstošo izgāztuvju rekultivācija"/Remediation of with legaslation non-coplying dumpsites</t>
  </si>
  <si>
    <t>Apakšaktivitāte "Reģionālu atkritumu apsaimniekošanas sistēmu attīstība"/Development of the regional waste managment systems</t>
  </si>
  <si>
    <t>Apakšaktivitāte "Dalītās atkritumu apsaimniekošanas sistēmas attīstība"/Development of separate WASTE collection system</t>
  </si>
  <si>
    <t>Aktivitāte "Infrastruktūras izveide Natura 2000 teritorijās"/(Developing infrastructure in the areas of Natura 2000)</t>
  </si>
  <si>
    <t xml:space="preserve">Aktivitāte "Vides monitoringa un kontroles sistēmas attīstība"/(Development of a System of Environmental Monitoring and Control) </t>
  </si>
  <si>
    <t>3.5.2.</t>
  </si>
  <si>
    <t>Pasākums "Enerģētika"  /Measure "Energy"</t>
  </si>
  <si>
    <t>3.5.2.1.</t>
  </si>
  <si>
    <t>Aktivitāte "Pasākumi siltumapgādes sistēmu efektivitātes paaugstināšanai"  / Measures Regarding The Increase of Efficiency of Centralised Heat Supply Systems</t>
  </si>
  <si>
    <t>3.5.2.1.1.*</t>
  </si>
  <si>
    <t>Apakšaktivitāte "Pasākumi centralizētās siltumapgādes sistēmu efektivitātes paaugstināšanai"  / Measures Regarding The Increase of Efficiency of Centralised Heat Supply Systems</t>
  </si>
  <si>
    <t>Apakšaktivitāte "Pasākumi uzņēmumu siltumapgādes sistēmu efektivitātes paaugstināšanai" / Measures regarding the increase of efficiency of heat supply systems for entrepreneurs</t>
  </si>
  <si>
    <t xml:space="preserve">Aktivitāte "Atjaunojamo energoresursu izmantojošu koģenerācijas elektrostaciju attīstība"/Development of Cogeneration Power Plants Utilising Renewable Energy Sources </t>
  </si>
  <si>
    <t>Aktivitāte "Vēja elektrostaciju attīstība"/ Development of Wind Power Stations</t>
  </si>
  <si>
    <t>Aktivitāte "Daugavas hidroelektrostaciju aizsprostu pārgāžņu rekonstrukcija"/Development of Dam Spillways for Daugava Hydroelectric Power Plant</t>
  </si>
  <si>
    <t>3.6.</t>
  </si>
  <si>
    <t>Prioritāte "Policentriska attīstība"/Priority "Polycentric Development"</t>
  </si>
  <si>
    <t>3.6.1.</t>
  </si>
  <si>
    <t>Pasākums "Atbalsts ilgtspējīgai pilsētvides un pilsētreģionu attīstībai"/Measure "Support for Sustainable Urban Environment and Urban Area Development"</t>
  </si>
  <si>
    <t>Aktivitāte "Nacionālas un reģionālas nozīmes attīstības centru izaugsmes veicināšana līdzsvarotai valsts attīstībai"/ Growth of National and Regional Development Centres for Sustainable and Balanced Development of the Country</t>
  </si>
  <si>
    <t>Aktivitāte "Rīgas pilsētas ilgtspējīga attīstība"/Sustainable Development of Riga</t>
  </si>
  <si>
    <t>3.6.2.</t>
  </si>
  <si>
    <t>Pasākums "Komplekss atbalsts novadu pašvaldību izaugsmes sekmēšanai"/Complex support to promote growth of amalgamated municipalities</t>
  </si>
  <si>
    <t xml:space="preserve"> - </t>
  </si>
  <si>
    <t>Aktivitāte "Atbalsts novadu pašvaldību kompleksai attīstībai"/Support of amalgamated municipalities to promote complex growth</t>
  </si>
  <si>
    <t>3.7.***</t>
  </si>
  <si>
    <t>Prioritāte "Tehniskā palīdzība ERAF ieviešanai"/ Priority “Technical Assistance of ERDF”</t>
  </si>
  <si>
    <t>3.7.1.</t>
  </si>
  <si>
    <t>Pasākums "Atbalsts darbības programmas "Infrastruktūra un pakalpojumi" vadībai" / Measure 3.7.1 “Assistance for Management of the Operational Programme “Infrastructure and Services” ERDF Co-financed Measures”</t>
  </si>
  <si>
    <t>Aktivitāte "Programmas vadības un atbalsta funkciju nodrošināšana" / Technical assistance of ERDF</t>
  </si>
  <si>
    <t>3.8.***</t>
  </si>
  <si>
    <t>Prioritāte "Tehniskā palīdzība KF ieviešanai"/Priority “Technical Assistance of CF”</t>
  </si>
  <si>
    <t>3.8.1.</t>
  </si>
  <si>
    <t>Pasākums "Atbalsts Kohēzijas fonda vadībai" / Measure 3.8.1 “Assistance to Management of the CF Co-financed Measures”</t>
  </si>
  <si>
    <t>Aktivitāte "Programmas vadības un atbalsta funkciju nodrošināšana"/ Technical assistance of CF</t>
  </si>
  <si>
    <t>Rezerve 80.00.00. programmā****</t>
  </si>
  <si>
    <r>
      <rPr>
        <i/>
        <vertAlign val="superscript"/>
        <sz val="13"/>
        <rFont val="Times New Roman"/>
        <family val="1"/>
        <charset val="186"/>
      </rPr>
      <t xml:space="preserve">1 </t>
    </r>
    <r>
      <rPr>
        <i/>
        <sz val="13"/>
        <rFont val="Times New Roman"/>
        <family val="1"/>
        <charset val="204"/>
      </rPr>
      <t>1 EUR = 0,702804 LVL</t>
    </r>
  </si>
  <si>
    <t>MoES - Ministry of Education and Science</t>
  </si>
  <si>
    <t>MoE - Ministry of Economics</t>
  </si>
  <si>
    <t>MoW - Ministry of Wealfare</t>
  </si>
  <si>
    <t>MoH - Ministry of Health</t>
  </si>
  <si>
    <t xml:space="preserve">MoEPRD - Ministry of Environment Protection and Regional Development </t>
  </si>
  <si>
    <t>MoF - Ministry of Finances</t>
  </si>
  <si>
    <t>MoT - Ministry of Transport</t>
  </si>
  <si>
    <t>MoC - Ministry of Culture</t>
  </si>
  <si>
    <r>
      <rPr>
        <i/>
        <vertAlign val="superscript"/>
        <sz val="13"/>
        <rFont val="Times New Roman"/>
        <family val="1"/>
        <charset val="186"/>
      </rPr>
      <t xml:space="preserve">3 </t>
    </r>
    <r>
      <rPr>
        <i/>
        <sz val="13"/>
        <rFont val="Times New Roman"/>
        <family val="1"/>
        <charset val="186"/>
      </rPr>
      <t>Atbilstoši MK apstiprinātajiem protokollēmumiem par aktivitāšu finansējuma pārdalēm /  According to the amendments in the financial plans of activities approved by the Cabinet of Ministers decisions</t>
    </r>
  </si>
  <si>
    <r>
      <rPr>
        <i/>
        <vertAlign val="superscript"/>
        <sz val="13"/>
        <rFont val="Times New Roman"/>
        <family val="1"/>
        <charset val="186"/>
      </rPr>
      <t>4</t>
    </r>
    <r>
      <rPr>
        <i/>
        <sz val="13"/>
        <rFont val="Times New Roman"/>
        <family val="1"/>
        <charset val="186"/>
      </rPr>
      <t xml:space="preserve"> Norādīti starpposma, gala maksājumi, deklarējamie un nedeklarējamie avansi. / Payments to final beneficiaries here are interim, final payments and advance payments that can be declared and advance payments that are not allowed to declare to EC. </t>
    </r>
  </si>
  <si>
    <r>
      <rPr>
        <b/>
        <i/>
        <u/>
        <vertAlign val="superscript"/>
        <sz val="13"/>
        <rFont val="Times New Roman"/>
        <family val="1"/>
        <charset val="186"/>
      </rPr>
      <t xml:space="preserve">5 </t>
    </r>
    <r>
      <rPr>
        <b/>
        <i/>
        <u/>
        <sz val="13"/>
        <rFont val="Times New Roman"/>
        <family val="1"/>
        <charset val="186"/>
      </rPr>
      <t>Piebildes par darbības programmu "Cilvēkresursi un nodarbinātība" / Notes on Operational programme "Human resources and Employment"</t>
    </r>
  </si>
  <si>
    <t>* 1.1.2.1.1., 1.2.1.2.3.,1.4.1.2.4., 1.5.2.2.2., 1.5.2.2.3.,1.5.3.1. un 1.5.3.2. aktivitātēs/apakšaktivitātēs samazinājies gan apstiprināto projektu finansējums, gan arī noslēgto līgumu summa, jo veikti līgumu grozījumi jau pabeigtiem projektiem, kā rezultātā samazinājušās attiecināmās izmaksas (ietaupījums)/ In activities/subactivities 1.1.2.1.1., 1.2.1.2.3.,1.4.1.2.4., 1.5.2.2.2., 1.5.2.2.3.,1.5.3.1. and 1.5.3.2.  total amount of eligible expenditures of approved projects and contracts signed decreased due decrease of eligible expenditure (amendments of the contracts)</t>
  </si>
  <si>
    <t>*1.3.1.1.3. aktivitātēs/apakšaktivitātēs samazinājies gan apstiprināto projektu finansējums, gan arī noslēgto līgumu summa, jo veikti līgumu grozījumi, precizējot attiecināmo izmaksu sadalījums starp finansējuma avotiem/ In activities/subactivities 1.3.1.1.3.total amount of eligible expenditures of approved projects and contracts signed decreased due to specified distribution of eligible expenditure between sources of financing (amendments of the contracts)</t>
  </si>
  <si>
    <t xml:space="preserve">*Apakšaktivitāšu 1.3.1.3.1. un 1.5.1.3.1. izmaksātajā finansējumā tiek ieskaitīti arī atgūtie maksājumi. Reāli veikto maksājumu apjoms aktivitātē atbilst aktivitātes piešķīrumam./ The Payments to final beneficiaries within subactivities 1.3.1.3.1. and 1.5.1.3.1 .include also recovered payments. The volume of actual payments made correspond to allocation in activity. </t>
  </si>
  <si>
    <t>*Apakšaktivitātē 1.5.2.2.2. progress izmaksātajam finansējumam ir pieaugošs, bet % tiek uzrādīts ar negatīvu tendenci, jo % aprēķinos tiek izmantots aktivitātei pieejamais  ES fonda finansējums atbilstoši konceptuāli apst. MK, kas šajā mēnesī ir palielinājies/ In subactivity 1.5.2.2.2. the progress of payments made to final beneficiaries is growing because of increased ESF funding in subactivity notwithstanding that proportion indicates negative trend.</t>
  </si>
  <si>
    <r>
      <rPr>
        <b/>
        <i/>
        <u/>
        <vertAlign val="superscript"/>
        <sz val="13"/>
        <rFont val="Times New Roman"/>
        <family val="1"/>
        <charset val="186"/>
      </rPr>
      <t xml:space="preserve">6 </t>
    </r>
    <r>
      <rPr>
        <b/>
        <i/>
        <u/>
        <sz val="13"/>
        <rFont val="Times New Roman"/>
        <family val="1"/>
        <charset val="186"/>
      </rPr>
      <t>Piebildes par darbības programmu "Uzņēmējdarbība un inovācijas" / Notes on Operational programme  "Entrepreneurship and Innovations"</t>
    </r>
  </si>
  <si>
    <t>* Noslēgto līgumu un apstiprināto projektu apjoms 2.1.2.2.1., 2.1.2.2.2. un 2.3.1.1.1. apakšaktivitātēs samazinājies, jo veikti finansēšanas plānu grozījumi, samazinot sākotnēji plānotās projekta izmaksas, kā arī ir pārtrauktu projektu dēļ / Amount of approved projects and contracted amount in activities 2.1.2.2.1., 2.1.2.2.2. and 2.3.1.1.1. has decreased due to modifications of financial plans and project discharging</t>
  </si>
  <si>
    <t>* Nav veikti grozījumi darbības programmas „Uzņēmējdarbība un inovācijas” papildinājumā, kas paredz 2.3.2.2.2.apakšaktivitātes izveidi/ There are no amendments in  supplement of the operational programme  "Entrepreneurship and Innovations" regarding 2.3.2.2.2.sub-activity</t>
  </si>
  <si>
    <r>
      <rPr>
        <b/>
        <i/>
        <u/>
        <vertAlign val="superscript"/>
        <sz val="13"/>
        <rFont val="Times New Roman"/>
        <family val="1"/>
        <charset val="186"/>
      </rPr>
      <t xml:space="preserve">7 </t>
    </r>
    <r>
      <rPr>
        <b/>
        <i/>
        <u/>
        <sz val="13"/>
        <rFont val="Times New Roman"/>
        <family val="1"/>
        <charset val="186"/>
      </rPr>
      <t>Piebildes par darbības programmu "Infrastruktūra un pakalpojumi" / Notes on Operational programme  "Infrastructure and Services"</t>
    </r>
  </si>
  <si>
    <t>*3.1.2.1.1. un 3.1.3.3.1. (3.1.3.3.) apakšaktivitātēs ir samazinājies apstiprināto projektu un noslēgto līgumu apjoms, jo ir veikti projektu līgumu grozījumi atbilstoši faktiskajām izmaksām/ in the subactivities 3.1.2.1.1. and 3.1.3.3.1. (3.1.3.3.) the financial amount of approved projects and contract decrease due to decrease of eligible expenditure (amendments of the contracts)</t>
  </si>
  <si>
    <t>* 3.2.1.4. aktivitātei  izmaksātais finasējuma apjoms finansējuma saņēmējam neiekļauj valūtas konvertācijas svārstības, kas radušās piemērojot ECB noteiktā valūtas kursa / in the activity 3.2.1.4. the amount of financing for the final beneficiary does not include the result of the currency exchange, taking into account EIB rate.</t>
  </si>
  <si>
    <t xml:space="preserve">* 3.3.2.1. aktivitātē AS "Pasažieru vilciens" š.g. 25.oktobrī ir atmaksājis avansu 22 274 836 LVL apmērā, ņemot vērā, ka plānots šo projektu neīstenot/ In 3.3.2.1. activity  on October 25, 2012  “Passenger Train" has repaid the advance payment 22 274 836 LVL because it is not planned to implement this project. </t>
  </si>
  <si>
    <t>* 3.4.1.5.2  apakšaktivitātē projektiem veikti līgumu grozījumi, samazinot finansējuma apmēru/ decrease in the amount of financing due to contract amendments</t>
  </si>
  <si>
    <t xml:space="preserve">* 3.5.1.1. aktivitātē projektiem veikti līgumu grozījumi, samazinot finansējuma apmēru/ decrease in the amount of financing due to contract amendments </t>
  </si>
  <si>
    <t>*3.4.4.2. aktivitātēprojektiem veikti līgumu grozījumi, samazinot finansējuma apmēru/ decrease in the amount of financing due to contract amendments</t>
  </si>
  <si>
    <t>*3.5.2.1.1 apakšaktivitātē koriģēts finansējuma apmērs sakarā ar projektu iesniedzēju precizējumiem/ amount of financing has been corrected due to adjustments made by project beneficiaries</t>
  </si>
  <si>
    <r>
      <rPr>
        <vertAlign val="superscript"/>
        <sz val="13"/>
        <rFont val="Times New Roman"/>
        <family val="1"/>
        <charset val="186"/>
      </rPr>
      <t>8</t>
    </r>
    <r>
      <rPr>
        <sz val="13"/>
        <rFont val="Times New Roman"/>
        <family val="1"/>
        <charset val="186"/>
      </rPr>
      <t xml:space="preserve"> 2.4.1.1.aktivitātē ES fonda finansējums atbilstoši EK apstiprinātajai DP un ES fonda finansējums atbilstoši konceptuāli apst. MK p/l atšķiras, jo finansējums ticis pārdalīts citām aktivitātēm, kas ir saskaņots nacionālā līmenī, taču joprojām tiek skaņots ar EK/ In the activity 2.4.1.1. EU funding according to EC approved OP differes from EU funding according to decisions of Cabinet of Ministers because financing has been reallocated to other activities and that is approved at national level but not yet agreed with the EC (within the process of approvement).</t>
    </r>
  </si>
  <si>
    <t>*** Piešķirtais budžets 2007.-2011.gadam 1.6., 2.4., 3.7. un 3.8.prioritātēs sadalīts atbilstoši Tehniskās palīdzības aktivitātēm piešķirtā ES fondu finansējuma procentuālajai proporcijai / Available budget for priorities 1.6., 2.4., 3.7. and 3.8. is divided according to EU funding proportion for each priority</t>
  </si>
  <si>
    <t>**** Valsts budžeta līdzekļi tiek paredzēti maksājumiem gan par ES fondu daļu, gan par valsts līdzfinansējuma daļu, kā arī atsevišķu valsts budžeta iestāžu projektu neattiecināmo izmaksu segšanai. Turklāt valsts budžeta līdzekļus  plāno arī valsts budžeta iestāžu projekta priekšfinansēšanai, kas atspoguļojas maksājumos FS tikai tad, kad iestāde iesniegs maksājumu dokumentus un pārskatus par veiktajiem darbiem un izdevumiem. Līdz ar to budžetā plānotie līdzekļi ir lielāki nekā noteiktie mērķi FS.Finansējuma sadalījums pa aktivitātēm ir indikatīvs, jo ministrijas var veikt pārdales starp aktivitātēm.</t>
  </si>
  <si>
    <t>**** 80.00.00 esošā rezerve indikatīva</t>
  </si>
  <si>
    <t>1DP finanšu instrumenti kopā:</t>
  </si>
  <si>
    <t>2DP finanšu instrumenti kopā:</t>
  </si>
  <si>
    <t>**Veiktajos un plānotajos maksājumos / investīcijās/ faktiski izsniegtās garantijās nav iekļautas vadības izmaksās</t>
  </si>
  <si>
    <t>Aktivitātēm piešķirtais valsts budžets 2013.gadā, LVL</t>
  </si>
  <si>
    <t>Aktivitātēm nepieciešamais valsts budžets 2013.gadā, LVL</t>
  </si>
  <si>
    <t>Nepieciešamais finansējums 1.mērķa ES SF un KF īstenošanai 2013.-2015. gadā aktivitāšu dalījumā</t>
  </si>
  <si>
    <t>Valsts kases informācija</t>
  </si>
  <si>
    <t>Prioritātes/Pasākuma/Aktivitātes numurs</t>
  </si>
  <si>
    <t>Prioritātes/Pasākuma/Aktivitātes nosaukums</t>
  </si>
  <si>
    <t>Kopējais publiskais finansējums atbilstoši DP/DPP, LVL</t>
  </si>
  <si>
    <t>Virssaistības, LVL</t>
  </si>
  <si>
    <t>Kopējā piešķīruma un virssaistību kopsumma</t>
  </si>
  <si>
    <t>Budžeta izpilde 2007-2011</t>
  </si>
  <si>
    <t>Budžeta izpildes prognoze</t>
  </si>
  <si>
    <t>Budžetā esošais finansējums (ilgtermiņa saistībās iekļautais)</t>
  </si>
  <si>
    <t>Nepieciešams no 80.00.00 programmas</t>
  </si>
  <si>
    <t>Pārbaude - jābūt 0 vai skaidrojumam</t>
  </si>
  <si>
    <t xml:space="preserve">2012.g. budžets saskaņā ar likumu "Par valsts budžetu 2012.gadam" </t>
  </si>
  <si>
    <t>Pret 2012.gada apguves prognozi</t>
  </si>
  <si>
    <t>Procentuāli prognoze pret plānu</t>
  </si>
  <si>
    <t>Finansēšanas plāns 01.01.-31.12.2012. periodam</t>
  </si>
  <si>
    <t>Finansēšanas plāns 01.01.-31.10.2012. periodam</t>
  </si>
  <si>
    <t>Izpilde 01.01.-31.10.2012.</t>
  </si>
  <si>
    <t>Izpilde 01.01.-31.10.2012. pret gada plānu</t>
  </si>
  <si>
    <t>Prognoze par izpildi uz 03.12. pret finansēšanas plānu 01.01.-31.12.</t>
  </si>
  <si>
    <t>Ministriju sniegtās prognozes par izpildi uz 02.11., provizoriski pa aktivitātēm (ņemot vērā tendences)</t>
  </si>
  <si>
    <t>Izpildes prognoze pret VK finansēšanas plānu</t>
  </si>
  <si>
    <t>Pašavaldību aktivitaātes</t>
  </si>
  <si>
    <t>Pēc novembra BD rīkojumu ievades</t>
  </si>
  <si>
    <t>Fonds</t>
  </si>
  <si>
    <t>Atbildīgā iestāde</t>
  </si>
  <si>
    <t>Ministrijas, kuru budžetā ir piešķirts finansējums</t>
  </si>
  <si>
    <t>Finansējuma saņēmēji</t>
  </si>
  <si>
    <t>14= 6+7+8+9+10+11+12+15</t>
  </si>
  <si>
    <t>15' = 7 - 15</t>
  </si>
  <si>
    <t>15'' = 7  / 15</t>
  </si>
  <si>
    <t>16'</t>
  </si>
  <si>
    <t>16''</t>
  </si>
  <si>
    <t>Kopā VISI fondi/ Total EU funds</t>
  </si>
  <si>
    <t>Kopā ERAF/ Total ERDF</t>
  </si>
  <si>
    <t>Kopā ESF/ Total ESF</t>
  </si>
  <si>
    <t>Kopā KF/ Total CF</t>
  </si>
  <si>
    <t>TP/ TA</t>
  </si>
  <si>
    <t>rezerve</t>
  </si>
  <si>
    <t>I DP/ I OP</t>
  </si>
  <si>
    <t>II DP/ II OP</t>
  </si>
  <si>
    <t>III DP/ III OP</t>
  </si>
  <si>
    <t>1.</t>
  </si>
  <si>
    <t>I darbības programma  "Cilvēkresursi un nodarbinātība" (I Operational programme  "Human resources and employment")</t>
  </si>
  <si>
    <t>Prioritāte "Augstākā izglītība un zinātne" (Priority "Higher Education and Science")</t>
  </si>
  <si>
    <t>Pasākums "Zinātnes un pētniecības potenciāla attīstība" (Measure "Development of Scientific and Research Potential")</t>
  </si>
  <si>
    <t>Zinātnes un inovāciju politikas veidošanas un administratīvās kapacitātes stiprināšana (Strengthening of Research and Innovation Policy Development and Administrative Capacity)</t>
  </si>
  <si>
    <t>Valsts iestāde</t>
  </si>
  <si>
    <t>Cilvēkresursu piesaiste zinātnei (Attraction of Human Resources to Science)</t>
  </si>
  <si>
    <t>Neattiecināmās netiešās izmaksas, kas finansējuma saņēmējiem atmaksātas no Eiropas Savienības struktūrfondu finansēšanai paredzētajiem valsts budžeta līdzekļiem (2010.gadā 203 257 lati un 2011.gadā 17 247 lati). Neattiecināmās netiešās izmaksas tiek plānotas saskaņā ar Ministru kabineta 2008.gada 2.septembra noteikumiem Nr.703 „Noteikumi par darbības programmas „Cilvēkresursi un nodarbinātība” papildinājuma 1.1.1.2.aktivitāti „Cilvēkresursu piesaiste zinātnei””  (63.1, 83., 84.punkts)</t>
  </si>
  <si>
    <t>Motivācijas veicināšana zinātniskajai darbībai (Reinforcing Motivation for Scientific Activities)</t>
  </si>
  <si>
    <t>Juridiskas personas</t>
  </si>
  <si>
    <t>Pasākums "Augstākās izglītības attīstība" (Measure "Development of Tertiary (Higher) Education")</t>
  </si>
  <si>
    <t>Atbalsts doktora un maģistra studiju īstenošanai (Support to Doctor’s and Master’s study programmes)</t>
  </si>
  <si>
    <t xml:space="preserve">Atbalsts maģistra studiju programmu īstenošanai (Support to master’s studies) </t>
  </si>
  <si>
    <t>Augstākās izglītības institūcijas</t>
  </si>
  <si>
    <t xml:space="preserve">Finansējuma apmērs plānots 1.1.2.1.1.apakšaktivitātes spēkā esošo un izpildīto ieviešanas līgumu kopējam finansējumam </t>
  </si>
  <si>
    <t xml:space="preserve">Atbalsts doktora studiju programmu īstenošanai (Support to doctor’s studies) </t>
  </si>
  <si>
    <t xml:space="preserve">Finansējuma apmērs plānots 1.1.2.1.2.apakšaktivitātes spēkā esošo un izpildīto ieviešanas līgumu kopējam finansējumam </t>
  </si>
  <si>
    <t>Atbalsts augstākās izglītības studiju uzlabošanai (Support to improvement of tertiary education studies)</t>
  </si>
  <si>
    <t xml:space="preserve">Studiju programmu satura un īstenošanas uzlabošana un akadēmiskā personāla kompetences pilnveidošana (Improvement of Study Programme Contents, Its Implementation and Competence of Academic Personnel) </t>
  </si>
  <si>
    <r>
      <t xml:space="preserve">Boloņas procesa principu ieviešana augstākajā izglītībā (Implementation of Bologna Process Principles in Tertiary Education) </t>
    </r>
    <r>
      <rPr>
        <i/>
        <sz val="9"/>
        <color indexed="8"/>
        <rFont val="Times New Roman"/>
        <family val="1"/>
        <charset val="186"/>
      </rPr>
      <t/>
    </r>
  </si>
  <si>
    <t>Prioritāte "Izglītība un prasmes" (Priority "Education and Skills")</t>
  </si>
  <si>
    <t>Pasākums "Profesionālās izglītības un vispārējo prasmju attīstība" (Measure "Development of Vocational Education and General Skills")</t>
  </si>
  <si>
    <t>Profesionālās izglītības sistēmas attīstība, kvalitātes, atbilstības un pievilcības uzlabošana (Development of vocational educational system, improvement of quality, conformity and attraction)</t>
  </si>
  <si>
    <t xml:space="preserve">Nacionālās kvalifikāciju sistēmas pilnveide, profesionālās izglītības satura un profesionālajā izglītībā iesaistīto pušu sadarbības uzlabošana (Improvement of National Qualification System, Vocational Education Contents and Cooperation among the Bodies Involved in Vocational Education) </t>
  </si>
  <si>
    <t>valsts iestādes</t>
  </si>
  <si>
    <t>Apakšaktivitātē plānotās neattiecināmas izmaksas 156 579 LVL apmērā tiek segtas no valsts budžeta</t>
  </si>
  <si>
    <t>Profesionālajā izglītībā iesaistīto pedagogu kompetences paaugstināšana (Competence Promotion of the Educators Involved in Vocational Education)</t>
  </si>
  <si>
    <t>IZM,KM</t>
  </si>
  <si>
    <t>valsts iestādes, ausgtākās izglītības iestādes</t>
  </si>
  <si>
    <t xml:space="preserve">Atbalsts sākotnējās profesionālās izglītības programmu īstenošanas kvalitātes uzlabošanai un īstenošanai ("Support to improvement and Implementation of Primary Vocational Education Programme Quality) </t>
  </si>
  <si>
    <t xml:space="preserve">Profesionālās izglītības iestādes </t>
  </si>
  <si>
    <t xml:space="preserve">Sākotnējās profesionālās izglītības pievilcības veicināšana (Promotion of Primary Vocational Education Attraction) </t>
  </si>
  <si>
    <t>Vispārējo zināšanu un prasmju uzlabošana (Improvement of general knowledge and skills)</t>
  </si>
  <si>
    <t xml:space="preserve">Vispārējās vidējās izglītības satura reforma, mācību priekšmetu, metodikas un mācību sasniegumu vērtēšanas sistēmas uzlabošana (Reform of General Secondary Education Contents, Improvement of Study Subjects, Methodology and Evaluation System) </t>
  </si>
  <si>
    <t>Projektos plānotās neattiecināmas izmaksas  tiek segtas no valsts budžeta. Projekti pabeigti</t>
  </si>
  <si>
    <t xml:space="preserve">Atbalsts vispārējās izglītības pedagogu nodrošināšanai prioritārajos mācību priekšmetos (Support to Ensure Sufficiency of General Secondary Education Educators in Priority Subjects) </t>
  </si>
  <si>
    <t>Projekts pabeigts</t>
  </si>
  <si>
    <t xml:space="preserve">Vispārējās izglītības pedagogu kompetences paaugstināšana un prasmju atjaunošana (Competence Promotion of General Educators and Renewal of Skills) </t>
  </si>
  <si>
    <t>Pasākums "Mūžizglītības attīstība un izglītībā un mūžizglītībā iesaistīto institūciju rīcībspējas un sadarbības uzlabošana (Measure "Development of Lifelong Learning and Cooperation and Capacity Strengthening of Institutions responsible for Education and Lifelong Learning Policy")</t>
  </si>
  <si>
    <t>Mūžizglītības attīstība (Development of lifelong education)</t>
  </si>
  <si>
    <t xml:space="preserve">Mūžizglītības pārvaldes struktūras izveide nacionālā līmenī un inovatīvu mūžizglītības politikas instrumentu izstrāde (Lifelong learning administrating system foundation on national level and output of  innovative lifelong learning policy instruments) </t>
  </si>
  <si>
    <t xml:space="preserve">Atbalsts Mūžizglītības politikas pamatnostādņu īstenošanai (Support to Implement Lifelong Learning Policy Guidelines) </t>
  </si>
  <si>
    <t>LM</t>
  </si>
  <si>
    <t xml:space="preserve">Īpašu mūžizglītības politikas jomu atbalsts (Support for specific spheres of lifelong Learning Policy) </t>
  </si>
  <si>
    <t>1.2.2.1.5.</t>
  </si>
  <si>
    <t>Pedagogu konkurētspējas veicināšana izglītības sistēmas optimizācijas apstākļos(Promotion of Educators’ Competitiveness within the Optimization of Educational System)</t>
  </si>
  <si>
    <t>Profesionālās orientācijas un karjeras izglītības attīstība, profesionāli orientētās izglītības attīstība (Support to Implement Lifelong Learning Policy Guidelines)</t>
  </si>
  <si>
    <t xml:space="preserve">Profesionālās orientācijas un karjeras izglītības attīstība izglītības sistēmā (Development of Professional Orientation and Career-Related Education in the Educational System) </t>
  </si>
  <si>
    <t xml:space="preserve">Profesionālās orientācijas un karjeras izglītības pieejamības palielināšana jauniešiem, profesionāli orientētās izglītības attīstība (Increase of Youth Access to Professional Orientation and Career Education, Development of Profession-Related Education) </t>
  </si>
  <si>
    <t>Valsts iestāde, kapitālsabiedrības</t>
  </si>
  <si>
    <t>Par izglītības un mūžizglītības politiku atbildīgo institūciju rīcībspējas un sadarbības stiprināšana (Improvement of cooperation and capacity strengthening of institutions responsible for the education and lifelong learning policy</t>
  </si>
  <si>
    <t>Par izglītības un mūžizglītības politiku atbildīgo institūciju rīcībspējas un sadarbības stiprināšana (Improvement of cooperation and capacity strengthening of institutions responsible for the education and lifelong learning policy)</t>
  </si>
  <si>
    <t xml:space="preserve">Atbalsts izglītības pētījumiem (Support for education research) </t>
  </si>
  <si>
    <t>Izglītības pieejamības nodrošināšana sociālās atstumtības riskam pakļautajiem jauniešiem un iekļaujošas izglītības attīstība (Improvement of education accessibility for young people groups at risk of social exclusion and development of inclusive education)</t>
  </si>
  <si>
    <t>Iekļaujošas izglītības un sociālās atstumtības riskam pakļauto jauniešu atbalsta sistēmas izveide, nepieciešamā personāla sagatavošana, nodrošināšana un kompetences paaugstināšana (Formation of Support System for Inclusive Education and Youth at Risk of Social Exclusion, Training, Ensuring and Competence Promoting of the Necessary Personnel)</t>
  </si>
  <si>
    <t>Atbalsta pasākumu īstenošana jauniešu sociālās atstumtības riska mazināšanai un jauniešu ar funkcionālajiem traucējumiem integrācijai izglītībā (Implementation of Support Measures for Social Exclusion Decrease of Youth and Integration of Disabled Youth into Education)</t>
  </si>
  <si>
    <t>izglītības iestādes, pašvaldības, juridiskas personas</t>
  </si>
  <si>
    <t>1.3.</t>
  </si>
  <si>
    <t>Prioritāte "Nodarbinātības veicināšana un veselība darbā" (Priority "Promotion of Employment and Health at Work")</t>
  </si>
  <si>
    <t>Pasākums "Nodarbinātība" (Measure "Employment")</t>
  </si>
  <si>
    <t>Darbaspējas vecuma iedzīvotāju konkurētspējas paaugstināšana darba tirgū, t.sk., nodarbināto pārkvalifikācija un aktīvie nodarbinātības pasākumi (Enhancement of the competitiveness of residents in working age, including retraining and active employment measures)</t>
  </si>
  <si>
    <t>Atbalsts nodarbināto apmācībām komersantu konkurētspējas veicināšanai - atbalsts partnerībās organizētām apmācībām (Support to training for employed in partnership)</t>
  </si>
  <si>
    <t>EM</t>
  </si>
  <si>
    <t>biedrības</t>
  </si>
  <si>
    <t>Starpību veido virssaistības, kas paredzētas, lai, ņemot vērā pieprasījumu, būtu iespējams palielināt līgumu summas. Plānots, ka papildu budžeta līdzekļi tām nebūs nepieciešami.</t>
  </si>
  <si>
    <t>Apakšaktivitāte "Bezdarbnieku un darba meklētāju apmācība (Training of unemployed and job seekers)</t>
  </si>
  <si>
    <t>valsts iestāde</t>
  </si>
  <si>
    <t>Starpību starp 5. un 14.aili pamatā veido projekta administrēšanai piešķirtās neattiecināmās izmaksas.</t>
  </si>
  <si>
    <t>Atbalsts nodarbināto apmācībām komersantu konkurētspējas veicināšanai - atbalsts komersantu individuāli organizētām apmācībām (Support to training for employed for enhancing competitiveness of enterprises - support to individually organized training by enterprises)</t>
  </si>
  <si>
    <t xml:space="preserve">komersanti,  apvienības </t>
  </si>
  <si>
    <t>Projekti pabeigti</t>
  </si>
  <si>
    <t>Atbalsts potenciālo bezdarbnieku apmācībai (Support to people at risk of unemployment)</t>
  </si>
  <si>
    <t>Atbalsts darba vietu radīšanai (Support to create new jobs)</t>
  </si>
  <si>
    <t>Komersanti</t>
  </si>
  <si>
    <t>EM pārziņā esošā 1.3.1.1.6. apakšaktivitāte izveidota 2012.gadā. Turpinās projekta iesniegumu pieņemšana. Naudu ilgtermiņa saistības 2013-2015.g. drīkstēs plānot tikai pēc projektu apstiprināšanas, kas plānota līdz 2013.g. jūnijam.</t>
  </si>
  <si>
    <t>Atbalsts pašnodarbinātības un uzņēmējdarbības uzsākšanai (Support for self-employment and business start-ups)</t>
  </si>
  <si>
    <t>VAS</t>
  </si>
  <si>
    <t>Darba attiecību un darba drošības normatīvo aktu  praktiska piemērošana un uzraudzības pilnveidošana (Practical application of the legislation on labour relations, occupational safety and health, and improvement of supervision)</t>
  </si>
  <si>
    <t xml:space="preserve">Darba attiecību un darba drošības normatīvo aktu uzraudzības pilnveidošana (Improvement of supervision of labour relations and occupational safety and health legislation implementation) </t>
  </si>
  <si>
    <t xml:space="preserve">Darba attiecību un darba drošības normatīvo aktu praktiska piemērošana nozarēs un uzņēmumos (Practical application of the legislation on occupational safety and health and labour relations in sectors and enterprises) </t>
  </si>
  <si>
    <t>organizācijas</t>
  </si>
  <si>
    <t>Finansējuma atlikumu veido neatbilstoši veiktas izmaksas (ieturētas no maksājumiem finansējuma saņēmējiem).</t>
  </si>
  <si>
    <t>Kapacitātes stiprināšana darba tirgus institūcijām (Capacity reinforcement of labour market institutions)</t>
  </si>
  <si>
    <t>Starpību starp 5. un 14.aili veido neattiecināmās izmaksas 111 864 LVL apmērā un izmaksas, kas bija paredzētas darījumu kontā, par kuru, saskaņā ar 23.08.2011 MK sēdes protokola Nr49 25 § līgums tika lauzts un finansējums atgriezts budžetā.</t>
  </si>
  <si>
    <t>Vietējo nodarbinātības veicināšanas pasākumu plānu ieviešanas atbalsts (Support for the implementation of regional action plans for promotion of employment)</t>
  </si>
  <si>
    <t>1.kārta - valsts iestādes, 2.kārta -pašvaldības</t>
  </si>
  <si>
    <t>Starpību starp 5. un 14.aili pamatā veido projekta administrēšanai piešķirtās neattiecināmās izmaksas un neatbilstoši veiktās izmaksas.</t>
  </si>
  <si>
    <t>Atbalsts dzimumu līdztiesības veicināšanai darba tirgū (Promotion of gender equality in the labour market)</t>
  </si>
  <si>
    <t>Darba tirgus pieprasījuma īstermiņa un ilgtermiņa prognozēšanas un uzraudzības sistēmas attīstība (Forecasting short-term and long-term labour market demands and the development of a monitoring system)</t>
  </si>
  <si>
    <t>Atbalsts labāko inovatīvo risinājumu meklējumiem un labas prakses piemēru integrēšanai darba tirgus politikās un ieviešanas instrumentārijos (Support for seeking the best innovative solutions and for integrating the best practices in the labour market policies and implementation instruments)</t>
  </si>
  <si>
    <t>Augstas kvalifikācijas darbinieku piesaiste (Attraction of highly qualified employee)</t>
  </si>
  <si>
    <t>komersanti</t>
  </si>
  <si>
    <t>Pasākums "Veselība darbā" (Measure "Health at work")</t>
  </si>
  <si>
    <t>VeM</t>
  </si>
  <si>
    <t>Veselības uzlabošana darbavietā, veicinot ilgtspējīgu nodarbinātību (Better Health at Work and Sustaining Employment)</t>
  </si>
  <si>
    <t>Pētījumi un aptaujas par veselību darbā (Studies and surveys in health at work)</t>
  </si>
  <si>
    <t>Veselības aprūpes un veicināšanas procesā iesaistīto institūciju personāla kompetences, prasmju un iemaņu līmeņa paaugstināšana (Enhancement of competencies, qualification and skills of health care and health promotion professionals)</t>
  </si>
  <si>
    <t>102597 lati ir projekta neattiecināmās izmaksas, kas tika samaksātās 2010.gadā no valsts budžeta (ņemot vērā, ka VM ir valsts budžeta iestāde).</t>
  </si>
  <si>
    <t>Prioritāte "Sociālās iekļaušanas veicināšana" (Priority "Promotion of Social Inclusion")</t>
  </si>
  <si>
    <t>Pasākums "Sociālā iekļaušana" (Measure "Social Inclusion")</t>
  </si>
  <si>
    <t>Iedzīvotāju ekonomiskās aktivitātes stimulēšana (Stimulating economic activity of the population)</t>
  </si>
  <si>
    <t>Kompleksi atbalsta pasākumi iedzīvotāju integrēšanai darba tirgū (Complex supporting activities for inhabitants’ integration in labour market)</t>
  </si>
  <si>
    <t>Atbalstītās nodarbinātības pasākumi mērķgrupu bezdarbniekiem (Supported employment measures for unemployed persons from specific target groups)</t>
  </si>
  <si>
    <t>Valsts budžeta finansējums 572 937 LVL apmērā (norādītā summa indikatīva) netiks izmantots, jo netiešajās izmaksās (flat-rate) ir prognozējams finansējuma atlikums. Maksājumu pieprasījumos, saskaņā ar FM vadlīnijām "Metodika par netiešo izmaksu nemainīgās likmes plānošanu un piemērošanu" tiks iekļautas netiešās izmaksas atbilstoši likmi pilnā apmērā.</t>
  </si>
  <si>
    <t>Darbspēju vērtēšanas sistēmas un sociālo pakalpojumu ieviešanas sistēmas pilnveidošana (Improvement of the working capacity evaluation system and the system of introducing social services)</t>
  </si>
  <si>
    <t>Darbspēju vērtēšanas sistēmas pilnveidošana (The development of evaluating system of labour capacity)</t>
  </si>
  <si>
    <t>Starpību starp 5. un 14.aili veido projekta administrēšanai piešķirtās neattiecināmās izmaksas un pakalpojuma līguma izpildītāja budžetā atmaksāta summa pēc līguma laušanas.</t>
  </si>
  <si>
    <t>Sociālās rehabilitācijas pakalpojumu attīstība personām ar redzes un dzirdes traucējumiem(The development of social rehabilitation services for persons with optic and acoustic disorder)</t>
  </si>
  <si>
    <t>Biedrības un nodibinājumi</t>
  </si>
  <si>
    <t>Sociālās rehabilitācijas un institūcijām alternatīvu sociālās aprūpes pakalpojumu attīstība reģionos(The development of alternative services to social rehabilitation and institutions in regions)</t>
  </si>
  <si>
    <t>VARAM</t>
  </si>
  <si>
    <t>Pašvaldības, plānošanas reģioni</t>
  </si>
  <si>
    <t>Atlikumu veido līgumiem nepiesaistīts finansējums, atlikumi līgumiem noslēdzoties un neatbilstoši veikto izmaksu atlikums (gan līdz 08.052012. MK lēmumam konstatētās, gan pēc). Attiecināmo izmaksu atlikums ir lielāks, ņemot vērā, ka no budžeta tiek finansētas arī neattiecināmās izmaksas. Reālais atlikums ir aptuveni 400 000 LVL.</t>
  </si>
  <si>
    <t xml:space="preserve">Prioritāte "Administratīvās kapacitātes stiprināšana" </t>
  </si>
  <si>
    <t>Pasākums "Labāka regulējuma politika" (Measure "Better Regulation Policy")</t>
  </si>
  <si>
    <t>Politikas ietekmes novērtēšana un politikas pētījumu veikšana (Policy Impact Assessment and Conducting Policy Research)</t>
  </si>
  <si>
    <t>Atbalsts strukturālo reformu īstenošanai un analītisko spēju stiprināšanai valsts pārvaldē (Improvement of Policy Planning, Policy Implementation and Policy Impact Assessment)</t>
  </si>
  <si>
    <t>FM</t>
  </si>
  <si>
    <t>Politikas pētījumu veikšana (Conducting Policy Research)</t>
  </si>
  <si>
    <t>Vkanceleja</t>
  </si>
  <si>
    <t>valsts un pašvaldību iestādes</t>
  </si>
  <si>
    <t>Administratīvo šķēršļu samazināšana un publisko pakalpojumu kvalitātes uzlabošana (Reduction of Administrative Barriers and Quality Improvement of Public Services)</t>
  </si>
  <si>
    <t>07.09.2012. Projekta vadības sanāksmē tika pieņemts lēmums rosināt Projekta īstenošanas termiņa pagarināšanu un iesniegt Projekta grozījumus Sabiedrības integrācijas fondam. Projekta īstenošanas termiņa pagarinājums ir saistīts ar to, ka projekta rādītāji ir uzskatāmi par izpildītiem, ja projekta ietvaros izstrādātie administratīvo šķēršļu samazināšanas plāni ir īstenoti (projekta iesnieguma 2.10. sadaļā noteiktie uzraudzības rādītāji). Vienlaikus, ņemot vērā projekta ieviešanas gaitā pieņemtos lēmumus par izmaiņām aktivitātes īstenošanā (t.sk. ar Ministru kabineta noteikumiem Nr.964 apstiprināto finansējuma samazinājumu), kā arī ar publisko iepirkuma procedūru piemērošanu saistītās problēmas, administratīvo šķēršļu samazināšanas plānus īstenot projektā plānotajā apjomā iespējams līdz 2014.gada 31.decembrim.</t>
  </si>
  <si>
    <t>Publisko varu realizējošo institūciju darbības kvalitātes un efektivitātes paaugstināšana" (Increasing Operational Quality and Efficiency of Public Administration Institutions)</t>
  </si>
  <si>
    <t>Kvalitātes vadības sistēmas izveide un ieviešana (Development and Introduction of the Quality Management System)</t>
  </si>
  <si>
    <t>LM,VM, Vkanc, VARAM, ZM, VARAM, TM</t>
  </si>
  <si>
    <t>valsts iestāde, pašvaldības</t>
  </si>
  <si>
    <t>Publisko pakalpojumu kvalitātes paaugstināšana valsts, reģionālā un vietējā līmenī (Improvement of Quality of Public Services at the National, Regional and Local Level)</t>
  </si>
  <si>
    <t>Sabiedrības integrācijas fonda sekretariāta 2012.gada 9.oktobra lēmums Nr.317 par projekta iesnieguma Nr. 1DP/1.5.1.3.2/APIA/SIF/032 apstiprināšanu</t>
  </si>
  <si>
    <t>Pasākums "Cilvēkresursu kapacitātes stiprināšana"    (Measure "Capacity Building of Human Resources")</t>
  </si>
  <si>
    <t>Publiskās pārvaldes cilvēkresursu plānošanas un vadības sistēmas attīstība (Development of Human Resource Planning and Management System in Public Administration)</t>
  </si>
  <si>
    <t>Sociālo partneru, nevalstisko organizāciju un pašvaldību kapacitātes stiprināšana (Capacity Building of Social Partners, Non-Governmental Organisations and Municipalities)</t>
  </si>
  <si>
    <t>Sociālo partneru administratīvās kapacitātes stiprināšana (Administrative Capacity Building of Social Partners)</t>
  </si>
  <si>
    <t>TM</t>
  </si>
  <si>
    <t>LBAS, LDDK</t>
  </si>
  <si>
    <t>NVO administratīvās kapacitātes stiprināšana (Administrative Capacity Building of NGOs)</t>
  </si>
  <si>
    <t>KM</t>
  </si>
  <si>
    <t>NVO</t>
  </si>
  <si>
    <t>Atbalsts pašvaldībām kapacitātes stiprināšanā ES politiku instrumentu un pārējās ārvalstu finanšu palīdzības projektu un pasākumu īstenošanai (Support to Municipalities in Building their Capacities to Implement Measures financed by the Structural Funds)</t>
  </si>
  <si>
    <t>pašvaldības</t>
  </si>
  <si>
    <t>Lauzti līgumi, neattiecināmas izmaksas</t>
  </si>
  <si>
    <t>Pasākums "Plānošanas reģionu un vietējo pašvaldību administratīvās un attīstības plānošanas kapacitātes stiprināšana" (Measure "Administrative Capacity and Development Planning Capacity Building of Planning Regions and Local Governments")</t>
  </si>
  <si>
    <t>Speciālistu piesaiste plānošanas reģioniem, pilsētām un novadiem (Attracting Specialists to Planning Regions, Towns and Amalgamated Municipalities)</t>
  </si>
  <si>
    <t xml:space="preserve">ESF likme ir 100%.
Nepieciešams papildus finansējums, lai segtu saistības 2013. un 2014.gadā, atbilstoši finansējuma saņēmēju iesniegtajiem precizētajiem maksājumu pieprasījumu iesniegšanas grafikiem un plānotajām maksājumu pieprasījumu summām. 
VARAM norāda, ka apguve netiks nodrošināta pilnā apmērā, jo aktivitātes projektos tiek konstatētas neatbilstības un aktivitātes ietvaros nav plānotas nākamās atlases kārtas, noslēgto līgumu termiņi tiek pagarināti un maksājumi pārcelti uz nākamajiem gadiem, kā arī samazinās finansējuma saņēmējiem nepieciešamais finansējuma apjoms (iepirkuma rezultātā projekts tiek īstenots par mazāku finansējuma apjomu nekā sākotnēji plānots). </t>
  </si>
  <si>
    <t>Plānošanas reģionu un vietējo pašvaldību attīstības plānošanas kapacitātes paaugstināšana (Development Planning Capacity Building of Planning Regions and Local Governments)</t>
  </si>
  <si>
    <t>2.</t>
  </si>
  <si>
    <t>Darbības programma "Uzņēmējdarbība un inovācijas" [neiesk. TP] (II Operational programme "Entrepreneurship and Innovations"[without TA]</t>
  </si>
  <si>
    <t>Prioritāte "Zinātne un inovācijas" (Priority „Science and Innovations”)</t>
  </si>
  <si>
    <t>Pasākums "Zinātne, pētniecība un attīstība" (Measure „Science, Research and Development”)</t>
  </si>
  <si>
    <t>Atbalsts zinātnei un pētniecībai (Support to Science and Research)</t>
  </si>
  <si>
    <t>Atbalsts starptautiskās sadarbības projektiem zinātnē un tehnoloģijās (EUREKA, 7.IP un citi)  (Support to International Cooperation Projects in Research and Technologies (EUREKA, 7th FP, etc.))</t>
  </si>
  <si>
    <t>zinātniskā institūcija</t>
  </si>
  <si>
    <t xml:space="preserve">Finansējuma apmērs plānots 2.1.1.2.aktivitātes spēkā esošo un izpildīto ieviešanas līgumu kopējam finansējumam </t>
  </si>
  <si>
    <t>Zinātnes un pētniecības infrastruktūras attīstība (Development of the scientific and research infrastructure)</t>
  </si>
  <si>
    <t>Zinātnes infrastruktūras attīstība (Development of  Research Infrastructure)</t>
  </si>
  <si>
    <t>Nacionālo publisko finansējumu apakšaktivitātes ietvaros nenodrošina no valsts budžeta līdzekļiem</t>
  </si>
  <si>
    <t>Informācijas tehnoloģiju infrastruktūras un informācijas sistēmu uzlabošana zinātniskajai darbībai (Improvement of IT Infrastructure and IT System for the Research Needs)</t>
  </si>
  <si>
    <t>Pasākums "Inovācijas" (Measure „Innovations”)</t>
  </si>
  <si>
    <t>Zinātnes komercializācija un tehnoloģiju pārnese (Commercialisation of science and transfer of technologies)</t>
  </si>
  <si>
    <t>Apakšaktivitāte "Kompetences centri" (Competence centres)</t>
  </si>
  <si>
    <t>jurdiska persona</t>
  </si>
  <si>
    <t>Tehnoloģiju pārneses kontaktpunkti (Contact Points of Transfer of Technologies)</t>
  </si>
  <si>
    <t>valsts izglītības iestāde</t>
  </si>
  <si>
    <t>Tehnoloģiju pārneses centri (Centres of transfer of Technologies)</t>
  </si>
  <si>
    <t>sabiedrība ar ierobežotu atbildību un valsts aģentūra</t>
  </si>
  <si>
    <t>Jaunu produktu un tehnoloģiju izstrāde (Development of new products and technologies)</t>
  </si>
  <si>
    <t>sabiedrība ar ierobežotu atbildību</t>
  </si>
  <si>
    <t xml:space="preserve">Jaunu produktu un tehnoloģiju izstrāde (Development of new products and technologies) </t>
  </si>
  <si>
    <t>Jaunu produktu un tehnoloģiju izstrāde - atbalsts jaunu produktu un tehnoloģiju ieviešanai ražošanā (Development of new products and technologies - aid for implementation of new products and Technologies in production)</t>
  </si>
  <si>
    <t xml:space="preserve">Jaunu produktu un tehnoloģiju izstrāde - atbalsts rūpnieciskā īpašuma tiesību nostiprināšanai (Development of new products and technologies -  aid for industrial property rights) </t>
  </si>
  <si>
    <t>MVK jaunu produktu un tehnoloģiju attīstības programma (New product and technology development in SMEs)</t>
  </si>
  <si>
    <t>MVK</t>
  </si>
  <si>
    <t>Zinātnes un tehnoloģiju parks (Science and Technology park)</t>
  </si>
  <si>
    <t>Augstas pievienotās vērtības investīcijas (High value-added investments)</t>
  </si>
  <si>
    <t>Virssaistības paredzētas, lai būtu iespējams noslēgt līgumus. Plānots, ka papildu budžeta līdzekļi tām nebūs nepieciešami pilnā apmērā, jo no pieredzes paredzami projektu summu samazinājumi.</t>
  </si>
  <si>
    <t>Prioritāte "Finanšu pieejamība" (Priority “Access to Finances”)</t>
  </si>
  <si>
    <t>Pasākums "Finanšu resursu pieejamība" (Measure „Accessability of Financial Resources”)</t>
  </si>
  <si>
    <t xml:space="preserve">Ieguldījumu fonds investīcijām garantijās, paaugstināta riska aizdevumos, riska kapitāla fondos un cita veida finanšu instrumentos (Holding fund for the investment in guarantee, high-risk loans, and venture capital funds and other financial instruments) </t>
  </si>
  <si>
    <t>Eiropas Savienības institūcija</t>
  </si>
  <si>
    <t>Stratēģisko investoru piesaiste (Attraction of strategic investors)</t>
  </si>
  <si>
    <t>Biznesa eņģeļu tīkls (Business angels network)</t>
  </si>
  <si>
    <t>Vērtspapīru birža MVK (Stock Exchange for SMEs)</t>
  </si>
  <si>
    <t>akciju sabiedrība</t>
  </si>
  <si>
    <t>Garantijas komersantu konkurētspējas uzlabošanai (Guarantees for development of enterprise competitiveness)</t>
  </si>
  <si>
    <t>sabiedrība ar ierobežotu atbildību, valsts kapitālsabiedrība</t>
  </si>
  <si>
    <t>2.2.1.4.</t>
  </si>
  <si>
    <t>Aizdevumi komersantu konkurētspējas uzlabošanai (Loans for development of enterprise competitiveness)</t>
  </si>
  <si>
    <t>Atbalsts aizdevumu veidā komersantu konkurētspējas uzlabošanai (Support in a form of loans for development of enterprises' competitiveness)</t>
  </si>
  <si>
    <t>VAS "Latvijas Hipotēku un zemes banka”</t>
  </si>
  <si>
    <t>Mezanīna aizdevumi investīcijām komersantu konkurētspējas uzlabošanai (Mezzanine investment loans for development of enterprise competitiveness)</t>
  </si>
  <si>
    <t>SIA "Latvijas Garantiju aģentūra"</t>
  </si>
  <si>
    <t>Prioritāte "Uzņēmējdarbības veicināšana" (Priority “Promotion of Entrepreneurship”)</t>
  </si>
  <si>
    <t>Pasākums "Uzņēmējdarbības atbalsta aktivitātes" (Measure „Business Support Activities”)</t>
  </si>
  <si>
    <t>Ārējo tirgu apgūšana (Access to international trade markets) (Access to international trade markets)</t>
  </si>
  <si>
    <t>Ārējo tirgu apgūšana - ārējais mārketings (Access to international trade markets-external marketing)</t>
  </si>
  <si>
    <t>Ārējo tirgu apgūšana – nozaru starptautiskās konkurētspējas stiprināšana (Access to international trade markets-strengthening international competitiveness  of industry sector)</t>
  </si>
  <si>
    <t>valsts akciju sabiedrība</t>
  </si>
  <si>
    <t>2013.gadā no 80.00.00 programmas būs nepieciešama 2012.gada neizpilde. 466000 jābūt pie atmaksām</t>
  </si>
  <si>
    <t>Pasākumi motivācijas celšanai inovācijām un uzņēmējdarbības uzsākšanai (Measures to encourage innovations and business start-ups)</t>
  </si>
  <si>
    <t>valsts aģentūra</t>
  </si>
  <si>
    <t>Pasākums "Uzņēmējdarbības infrastruktūras un aprīkojuma uzlabojumi" (Measure „Business Infrastructure and Improvements to Equipment”)</t>
  </si>
  <si>
    <t>Biznesa inkubatori (Business incubators)</t>
  </si>
  <si>
    <t>2015.gadā no 80.00.00 programmas būs nepieciešama 2012.gada neizpilde</t>
  </si>
  <si>
    <t>Atbalsts ieguldījumiem mikro, maziem un vidējiem komersantiem īpaši atbalstāmajās teritorijās (ĪAT) (Co-financing to the investments in micro, small and medium-sized entreprises operating in the specially assisted arears)</t>
  </si>
  <si>
    <t>Virssaistības paredzētas 2.3.2.2.2. aktivitātē, lai būtu iespējams uzsākt aktivitātes ieviešanu un noslēgt līgumus. Plānots, ka papildu budžeta līdzekļi tām nebūs nepieciešami, jo paredzams, ka 2.3.2.2. (ĪAT) aktivitātes finansējums un līdz ar to budžeta līdzekļi netiks izmantoti pilnā apmērā.</t>
  </si>
  <si>
    <t>Klasteru programma (Cluster programm)</t>
  </si>
  <si>
    <t>biedrības un nodibinājumi</t>
  </si>
  <si>
    <t>III darbības programma "Infrastruktūra un pakalpojumi" [neiesk.TP] (III Operational programme "Infrastructure and Services" without TA)</t>
  </si>
  <si>
    <t>ERAF/KF</t>
  </si>
  <si>
    <t>III DP - ERAF (III OP - ERDF)</t>
  </si>
  <si>
    <t>III DP - KF (III OP - CF)</t>
  </si>
  <si>
    <t>KF</t>
  </si>
  <si>
    <t>Prioritāte "Infrastruktūra cilvēku kapitāla nostiprināšanai" (Priority "Infrastructure for Strengthening Human Capital")</t>
  </si>
  <si>
    <t>Pasākums "Profesionālās izglītības infrastruktūra" (Measure "Vocational Education Infrastructure")</t>
  </si>
  <si>
    <t>Mācību aprīkojuma modernizācija un infrastruktūras uzlabošana profesionālās izglītības programmu īstenošanai (Modernisation of Equipment and Improvement of Infrastructure for Implementation of Vocational Education Programmes)</t>
  </si>
  <si>
    <t>IZM/VIAA (arī KM un LM budžetā)</t>
  </si>
  <si>
    <t>Izglītības iestādes</t>
  </si>
  <si>
    <t>DPP norādītais finansējums kopā ar nacionālo publisko līdzfinansējumu, ko daļēji veido pašvaldības budžeta finansējums</t>
  </si>
  <si>
    <t>Profesionālās izglītības infrastruktūras attīstība un mācību aprīkojuma modernizācija ieslodzījuma vietās (Improvement of Vocational Education Infrastructure and Modernisation of Equipment in Places of Imprisonment)</t>
  </si>
  <si>
    <t>IZM/VIAA [atmaksas p/budžetam: TM]</t>
  </si>
  <si>
    <t>Valsts iestādes</t>
  </si>
  <si>
    <t>Pasākums "Augstākās izglītības infrastruktūra" (Measure "Tertiary (Higher) Education Infrastructure")</t>
  </si>
  <si>
    <t>IZM/VIAA</t>
  </si>
  <si>
    <t>Augstākās izglītības iestāžu telpu un iekārtu modernizēšana studiju programmu kvalitātes uzlabošanai, tajā skaitā, nodrošinot izglītības programmu apgūšanas iespējas arī personām ar funkcionāliem traucējumiem (Modernization of Premises and Devices for Improvement of Study Programme Quality at Higher Educational Establishments, including Provision of Education Opportunities for Individuals with Functional Disabilities)</t>
  </si>
  <si>
    <t>Augstākās izglītības iestādes</t>
  </si>
  <si>
    <t xml:space="preserve">Jaunu koledžas studiju programmu attīstība vai jaunu koledžu izveide (Improvement of New Study Programme at Colleges or Establishment of New Colleges) </t>
  </si>
  <si>
    <t>Valsts dibināta koledža</t>
  </si>
  <si>
    <t>Pasākums "Izglītības infrastruktūra vispārējo prasmju nodrošināšanai" (Measure "Ensuring Educational Infrastructure for General Skills")</t>
  </si>
  <si>
    <t xml:space="preserve">Kvalitatīvai dabaszinātņu apguvei atbilstošas materiālās bāzes nodrošināšana (Provision of Appropriate Material Supplies Required for the Implementation of High-quality Natural Science Programmes) </t>
  </si>
  <si>
    <t>Pašvaldība</t>
  </si>
  <si>
    <t>Atbalsts vispārējās izglītības iestāžu tīkla optimizācijai (Support for optimization of general educational establishments)</t>
  </si>
  <si>
    <t>3.1.3.3.</t>
  </si>
  <si>
    <t>Speciālās izglītības iestāžu un vispārējās izglītības iestāžu infrastruktūras uzlabošana izglītojamajiem ar speciālām vajadzībām (Improvement of Infrastructure for Students with Special Needs in Comprehensive and Special Education Establishments)</t>
  </si>
  <si>
    <t xml:space="preserve">Speciālās izglītības iestāžu infrastruktūras un aprīkojuma uzlabošana (Improvement of Infrastructure and Equipment in Special Educational Establishments) </t>
  </si>
  <si>
    <t>Valsts iestāde vai pašvaldība</t>
  </si>
  <si>
    <t xml:space="preserve">Finansējuma apmērs plānots 3.1.3.3.1. apakšaktivitātes spēkā esošo un izpildīto ieviešanas līgumu kopējam finansējumam </t>
  </si>
  <si>
    <t xml:space="preserve">Vispārējās izglītības iestāžu infrastruktūras uzlabošana izglītojamajiem ar funkcionāliem traucējumiem (Improvement of Infrastructure in General Educational Establishments for the Students with Functional Disabilities and other Disorders) </t>
  </si>
  <si>
    <t>Pasākums "Nodarbinātības un sociālo pakalpojumu infrastruktūra" (Measure "Employment and Social Services Infrastructure")</t>
  </si>
  <si>
    <t>Darbspēju vērtēšanas un sociālo pakalpojumu ieviešanas institūciju infrastruktūras pilnveidošana (Improvement of Infrastructure in Institutions Assessing Capacity for Work and Providing Social Services)</t>
  </si>
  <si>
    <t>Infrastruktūras pilnveidošana un zinātniski tehniskās bāzes nodrošināšana darbspēju un funkcionālo traucējumu izvērtēšanai  (Improvement of Infrastructure and Providing Scientific and Technical Base  to Estimate  a  Work Capacity and Functional Disorders)</t>
  </si>
  <si>
    <t>FM/CFLA</t>
  </si>
  <si>
    <t>Starpību starp 5. un 14.aili veido pakalpojuma līguma izpildītāja budžetā atgrieztais finansējums.</t>
  </si>
  <si>
    <t xml:space="preserve">Infrastruktūras pilnveidošana profesionālās rehabilitācijas pakalpojumu sniegšanai (Improvement of Infrastructure for Providing a Professional Rehabilitation Services) </t>
  </si>
  <si>
    <t>Valsts, privātās iestādes</t>
  </si>
  <si>
    <t>Infrastruktūras pilnveidošana sociālās rehabilitācijas pakalpojumu sniegšanai personām ar redzes un dzirdes traucējumiem  (Improvement of Infrastructure to Develop Social Rehabilitation Services for Persons with Hearing  and  Seeing Disorders)</t>
  </si>
  <si>
    <t>Sabiedriskas organizācijas</t>
  </si>
  <si>
    <t>Jaunu filiāļu izveide tehnisko palīglīdzekļu nodrošināšanai (Establishment of New Branch for Providing Technical Aid)</t>
  </si>
  <si>
    <t>SIA</t>
  </si>
  <si>
    <t>Infrastruktūras pilnveidošana sociālās rehabilitācijas pakalpojumu sniegšanai personām ar garīga rakstura traucējumiem (Improvement of Infrastructure to Develop Social Rehabilitation Services for Persons With Mental Disorders)</t>
  </si>
  <si>
    <t>Finansējuma atlikumu veido līgumiem nepiesaistīts finansējums un ietaupījumi projektu ietvaros.</t>
  </si>
  <si>
    <t>Darba tirgus institūciju infrastruktūras pilnveidošana (Improvement of Infrastructure in Labour Market Institutions)</t>
  </si>
  <si>
    <t>LM [atmaksas p/budžetam: FM/CFLA]</t>
  </si>
  <si>
    <t>Starpību starp 5. un 14.aili pamatā veido neattiecināmās izmaksas un neatbilstoši veiktās izmaksas.</t>
  </si>
  <si>
    <t>Pirmsskolas izglītības iestāžu infrastruktūras attīstība nacionālas un reģionālas nozīmes attīstības centros (Development Pre-school Educational Establishments’ Infrastructure in Development Centers of National and Regional Importance)</t>
  </si>
  <si>
    <t>VARAM/VRAA</t>
  </si>
  <si>
    <t>Starpība starp piešķirto publisko finansējumu, kas sastāv no ERAF, VBD un Pašvaldības līdzfinansējuma daļas, un valsts budžetā pieprasītajām summām, nevar būt vienāda ar 0, jo valsts budžetā tiek pieprasīta tikai ERAF un VBD daļa.</t>
  </si>
  <si>
    <t>Atbalsts alternatīvās aprūpes pakalpojumu pieejamības attīstībai (Supporting of Improved Accessibility to Alternative Care Services)</t>
  </si>
  <si>
    <t>Plānotā budžeta izpildes dati ir precizēti atbilstoši finansējuma saņēmēju iesniegtajiem precizētajiem maksājumu pieprasījumu summām. 
VARAM norāda, ka kopumā  netiks nodrošināta 100% apguve pret DPP, jo aktivitātes projektos tiek konstatētas neatbilstības un aktivitātes ietvaros nav plānotas nākamās atlases kārtas, un noslēgto līgumu ietvaros samazinās finansējuma saņēmējiem nepieciešamais finansējuma apjoms (iepirkuma rezultātā projekts tiek īstenots par mazāku finansējuma apjomu nekā sākotnēji plānots). 
Vienlaikus informējam, ka prioritātes ietvaros ir uzņemtas virssaistības, kuras var deklarēt uz citu aktivitāšu atlikumu rēķina.</t>
  </si>
  <si>
    <t>Pasākums "Veselības aprūpes infrastruktūra" (Measure "Health Care Infrastructure")</t>
  </si>
  <si>
    <t>VeM/VEC</t>
  </si>
  <si>
    <t>Ambulatorās veselības aprūpes attīstība (Development of Ambulatory Health Care)</t>
  </si>
  <si>
    <t xml:space="preserve">Ģimenes ārstu tīkla attīstība (Developemnt of Primary Health Care Physician Network) </t>
  </si>
  <si>
    <t>Ārstniecības iestādes</t>
  </si>
  <si>
    <t xml:space="preserve">335847 lati ar starpība starp plānoto finansējumu iesniegumu 3.atlases kārtas projektiem un reāli nepieciešamajam finansējumam atbilstoši CFLA iesniegtajiem projektu iesniegumiem (atklātu projektu iesniegumu iesniegšana ir noslēgusies). Atlikušais finansējums tiks novirzīts iesniegumu 4.atlases projektiem. </t>
  </si>
  <si>
    <t>Veselības aprūpes centru attīstība (Development of the Health Care Centre)</t>
  </si>
  <si>
    <t xml:space="preserve">Veselības aprūpes iestādes </t>
  </si>
  <si>
    <t>Aktivitātes īstenošana beidgsies 2012.gadā (2013. gadā ieplānotais finansējums paredzēts  pēdējo maksājumu veikšanai). Starpība 156589 lati ir salietinājums projektu ietvaros, neatbilstoši veiktie izdevumi projektu ietvaros utt.</t>
  </si>
  <si>
    <t>Neatliekamās medicīniskās palīdzības attīstība (Development of Emergency Medical Assistance)</t>
  </si>
  <si>
    <t>Stacionārās veselības aprūpes pakalpojumu sniedzēju attīstība (Development of providers of stationary health care)</t>
  </si>
  <si>
    <t>Stacionārās veselības aprūpes attīstība  (Development of Stationary Health Care)</t>
  </si>
  <si>
    <t>Slimnīcas</t>
  </si>
  <si>
    <t>48171 lats ir starpība starp faktiski noslēgto līgumu apjomu un MK paredzēto finansējumu.</t>
  </si>
  <si>
    <t>Onkoloģijas slimnieku radioterapijas ārstēšanas attīstība (Development of Radiotherapy Treatments of Oncology Patients)</t>
  </si>
  <si>
    <t>Pasākums "Pieejamības un transporta sistēmas attīstība" (Priority "Promotion of Territorial Accessability")</t>
  </si>
  <si>
    <t>Pasākums "Pieejamības un transporta sistēmas attīstība" (Measure "Promotion of Accessibility and Transport System")</t>
  </si>
  <si>
    <t>SM</t>
  </si>
  <si>
    <t>Valsts 1.šķiras autoceļu maršrutu sakārtošana (Improvement of State Category 1 Motorway Network)</t>
  </si>
  <si>
    <t xml:space="preserve">Tranzītielu sakārtošana pilsētu teritorijās (Improvement of Transit Streets in Cities) </t>
  </si>
  <si>
    <t>Satiksmes drošības uzlabojumi apdzīvotās vietās un Rīgā (Traffic Safety Improvement in Populated Areas and Riga)</t>
  </si>
  <si>
    <t>Satiksmes drošības uzlabojumi apdzīvotās vietās ārpus Rīgas(Traffic Safety Improvement in Populated Areas Outside Riga)</t>
  </si>
  <si>
    <t>Papildu finansējums 2013.gadā nepieciešams sakarā ar to, ka finansējuma saņēmēji 2012.gadā kavēja prognozēto maksājuma pieprasījumu iesniegšanu, kā arī pagarināja projekta īstenošanas termiņus, līdz ar to plānotā atmaksa no 2012.gada pārceļas uz 2013.gadu</t>
  </si>
  <si>
    <t xml:space="preserve">Satiksmes drošības uzlabojumi Rīgā (Traffic safety improvement in Riga) </t>
  </si>
  <si>
    <t>Finansējuma saņēmēji pagarina projekta īstenošanas termiņus, līdz ar to plānotā atmaksa pārceļas laika periodā uz priekšu. Noslēgti divi jauni līgumi, kas uz šo brīdi prognozē pirmā maksājuma pieprasījuma iesniegšanu 2013.gada septembrī, bet ņemot vērā līdzšinējo pieredzi projekta īstenošanas gaitā, finansējuma saņēmējs līguma ietvaros iesniedz tikai vienu maksājuma pieprasījumu (kas ir arī gala) pēc līguma darbu izpildes, tāpēc plānots, ka līgumiem, kuru īstenošanas termiņš ir 2014.gads, atmaksa tiks veikta šajā gadā.</t>
  </si>
  <si>
    <t>Mazo ostu infrastruktūras uzlabošana (Improvement of Infrastructure in Small Ports)</t>
  </si>
  <si>
    <t>ostas</t>
  </si>
  <si>
    <t>Publiskais transports ārpus Rīgas (Public Transport Outside Riga)</t>
  </si>
  <si>
    <t>valsts vai pašvaldību komercsabiedrības</t>
  </si>
  <si>
    <t>IKT infrastruktūra un pakalpojumi (Measure "ICT Infrastructure and Services")</t>
  </si>
  <si>
    <t>Publiskās pārvaldes elektronisko pakalpojumu un informācijas sistēmu attīstība (Development of Electronic Services and Information Systems of Public Administration)</t>
  </si>
  <si>
    <t>Informācijas sistēmu un elektronisko pakalpojumu attīstība (Development of Information Systems and Electronic Services)</t>
  </si>
  <si>
    <t>EM, KM, VARAM,TM, IZM,IeM, VeM; ĀM; ZM; LM; VARAM [atmaksas p/budžetam: FM/CFLA]</t>
  </si>
  <si>
    <t>valsts iestādes, plānošanas reģioni</t>
  </si>
  <si>
    <t>Ņemot vērā iepriekšējo gadu pieredzi,  2.kārtas projektiem ir samazināts 2013.gadā plānotais finansējums novembra un decembra mēnesim un pārcelts uz 2014.gadu par kopējo summu 2.kārtai 2544607.65 LVL, un 3.kārtai ir samazināts 2013.gadā plānotais finansējums decembra mēnesim – 478575 LVL  
Nepieciešamais budžets - IZM, EM, VRAA, VZD, VVD, LNB, ZM, KIS, NVD, ĀM, VI, VDI, TA, LM, VR, VK, UR, VID, SM, FM, TM, IeM, Prokuratūra, IeMIC</t>
  </si>
  <si>
    <t xml:space="preserve">Izglītības iestāžu informatizācija (Informatisation of Educational Institutions) </t>
  </si>
  <si>
    <t>IZM/VIAA (arī KM budžetā)</t>
  </si>
  <si>
    <t>valsts iestādes, pašvaldības</t>
  </si>
  <si>
    <t xml:space="preserve">Finansējuma apmērs plānots 3.2.2.1.2. apakšaktivitātes spēkā esošo un izpildīto ieviešanas līgumu kopējam finansējumam </t>
  </si>
  <si>
    <t>Publisko interneta pieejas punktu attīstība (Development of Public Internet Access Points)</t>
  </si>
  <si>
    <t>Plānošanas reģioni</t>
  </si>
  <si>
    <t>Elektronisko sakaru pakalpojumu vienlīdzīgas pieejamības nodrošināšana visā valsts teritorijā (platjoslas tīkla attīstība) (Provision of Equal Access Opportunities to Electronic Communications Services in the Whole Territory of the Country (Development of Broadband Network))</t>
  </si>
  <si>
    <t>Privātie</t>
  </si>
  <si>
    <t>Valsts nozīmes elektronisko sakaru tīklu izveide, attīstība un pilnveidošana, informācijas datu pārraides drošības nodrošināšana ( Establishment, Development and Improvement of Electronic Communications Network of National Significance and Ensuring Security of Information Data Transmission)</t>
  </si>
  <si>
    <t>Valsts nozīmes elektronisko sakaru tīklu izveide, attīstība un pilnveidošana (Establishment, Development and Improvement of Electronic Communications Network of National Significance)</t>
  </si>
  <si>
    <t>Informācijas datu pārraides drošības nodrošināšana  (Ensuarance of information data transmission safety)</t>
  </si>
  <si>
    <t>Prioritāte "Eiropas nozīmes transporta tīklu attīstība un ilgtspējīga transporta veicināšana"  (Priority "Development of Transport Network of European Significance and Promotion of Sustainable Transport")</t>
  </si>
  <si>
    <t>Prioritāte "Eiropas nozīmes transporta tīklu attīstība un ilgtspējīga transporta veicināšana"  (Measure "Improvements and Development of Large Scale Transport Infrastructure")</t>
  </si>
  <si>
    <r>
      <t xml:space="preserve">TEN-T autoceļu tīkla uzlabojumi (Improvement of the TEN-T Road Network) </t>
    </r>
    <r>
      <rPr>
        <vertAlign val="superscript"/>
        <sz val="10"/>
        <rFont val="Times New Roman"/>
        <family val="2"/>
        <charset val="186"/>
      </rPr>
      <t>4</t>
    </r>
  </si>
  <si>
    <t>TEN-T dzelzceļa posmu rekonstrukcija un attīstība (Austrumu-Rietumu dzelzceļa koridora infrastruktūras attīstība un Rail Baltica) (Reconstruction and Development of the TEN-T Railway Segments (Development of the East-west Rail Corridor Infrastructure and Rail Baltica))</t>
  </si>
  <si>
    <t>Lielo ostu infrastruktūras attīstība „Jūras maģistrāļu” ietvaros (Development of Infrastructure of Large Ports within the Framework of the "Motorways of the Sea")</t>
  </si>
  <si>
    <t>ostas, pašvaldības, pašvaldību kapitālsabiedrības</t>
  </si>
  <si>
    <t>Lidostu infrastruktūras attīstība (Development of airport infrastructure)</t>
  </si>
  <si>
    <t>lidostas</t>
  </si>
  <si>
    <t>Pilsētu infrastruktūras uzlabojumi sasaistei ar TEN-T (City Infrastructure Improvements for Linkage with the TEN-T)</t>
  </si>
  <si>
    <t>Pašvaldības</t>
  </si>
  <si>
    <t>Liepājas Karostas ilgtspējīgas attīstības priekšnoteikumu nodrošināšana (Provision of precondtions for Liepaja Karosta sustainable development)</t>
  </si>
  <si>
    <t>Plānojot ilgtermiņa saistības tika paredzēts, ka projektā finanšu apguve sāksies tikai ar 2013.gadu. Bet tā kā reālā finanšu apguve aktivitātes projektā notiek jau 2012.gadā, tad kopējais budžetā paredzētais finansējums pārsniedz aktivitātei pieejamo finansējumu. Summa (2311567 LVL), kas pārsniedz aktivitātei nepieciešamo finansējumu ar iekšējām budžeta līdzekļu  pārdalēm tiks novirzīta 3.5.1.2.1.apakšaktivitātes projektu ieviešanai</t>
  </si>
  <si>
    <t>Pasākums "Ilgtspējīgas transporta sistēmas attīstība" (Measure "Development of Sustainable Transport System")</t>
  </si>
  <si>
    <t>Aktivitāte "Ilgtspējīga sabiedriskā transporta sistēmas attīstība" (Development of Sustainable Public Transport System)</t>
  </si>
  <si>
    <t>CF</t>
  </si>
  <si>
    <t>Pārtraukts Pasažieru vilciena projekts</t>
  </si>
  <si>
    <t>Prioritāte "Kvalitatīvas vides dzīvei un ekonomiskai aktivitātei nodrošināšana" (Priority "Quality Environment for Life and Economic Activity")</t>
  </si>
  <si>
    <t>Pasākums "Vide" (Measure "Environment")</t>
  </si>
  <si>
    <t>Ūdenssaimniecības attīstība apdzīvotās vietās ar iedzīvotāju skaitu līdz 2000 (Development of Water Management Infrastructure in Populated Areas where Number of Residents is up to 2000)</t>
  </si>
  <si>
    <t>pašvaldības, pašvaldību iestādes un aģentūras, kā arī kapitālsabiedrības</t>
  </si>
  <si>
    <t>Nepieciešamais budžets - CFLA (sadarbības iestāde)</t>
  </si>
  <si>
    <t>3.4.1.2.</t>
  </si>
  <si>
    <t>Infrastruktūras izveide natura 2000 teritorijās (Developing Infrastructure in the Areas of Natura 2000)</t>
  </si>
  <si>
    <t>Bioloģiskās daudzveidības saglabāšanas ex situ infrastruktūras izveide (Development of Infrastructure for Conservation of Biological Diversity)</t>
  </si>
  <si>
    <t>valsts aģentūras, atvasinātas publiskas personas un to izveidotas aģentūras, kapitālsabiedrības</t>
  </si>
  <si>
    <t>Vēsturiski piesārņoto vietu sanācija (Rehabilitation of Inherited Contaminated Sites)</t>
  </si>
  <si>
    <t>Pašvaldības, valsts vai pašvaldības iestādes vai aģentūras, speciālās ekonomiskās zonas pārvaldes</t>
  </si>
  <si>
    <t>Vides risku samazināšana (Reduction of Environmental Risks)</t>
  </si>
  <si>
    <t>Plūdu risku samazināšana grūti prognozējamu vižņu-ledus parādību gadījumos (Elimination of flood risk caused by hardly predictable phenomena of ice jams)</t>
  </si>
  <si>
    <t>Pašvaldības un valsts iestādes</t>
  </si>
  <si>
    <t>Hidrotehnisko būvju rekonstrukcija plūdu draudu risku novēršanai un samazināšanai (Reconstruction of hydro technical structures for the education and prevention of the flood risk)</t>
  </si>
  <si>
    <t>ZM</t>
  </si>
  <si>
    <t>3.4.1.6.</t>
  </si>
  <si>
    <t>Vides monitoringa un kontroles sistēmas attīstība (Development of a System of Environmental Monitoring and Control)</t>
  </si>
  <si>
    <t>Pasākums "Tūrisms" (Measure "Tourism")</t>
  </si>
  <si>
    <t>Nacionālās nozīmes tūrisma produkta attīstība (Development of Tourism Product of National importance)</t>
  </si>
  <si>
    <t>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</si>
  <si>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Nacionālās nozīmes velotūrisma produkta attīstība (Development of Cycling Tourism Product of National Importance)</t>
  </si>
  <si>
    <t>Nacionālās nozīmes kultūras, aktīvā, veselības un rekreatīvā tūrisma produkta attīstība  (Development of Cultural, Active and Recreative Tourism Product of National Importance)</t>
  </si>
  <si>
    <t>Pašvaldības, komersanti</t>
  </si>
  <si>
    <t>Tūrisma informācijas sistēmas attīstība (Development of Tourism Information System)</t>
  </si>
  <si>
    <t>Pasākums "Kultūrvides sociālekonomiskā ietekme" (Measure "Socio-economic Impact of Cultural Environment")</t>
  </si>
  <si>
    <t>Nacionālas un reģionālas nozīmes daudzfunkcionālu centru izveide (Establishment of a Network of Multifunctional Culture Halls of National and Regional Importance)</t>
  </si>
  <si>
    <t>valsts, pašvaldību iestādes</t>
  </si>
  <si>
    <t>Finansējuma saņēmējs pagarina projekta īstenošanas termiņu</t>
  </si>
  <si>
    <t>Sociālekonomiski nozīmīgu kultūrvēstursikā mantojuma objektu atjaunošana (Renovation of Objects of Important Cultural and Historical Heritage)</t>
  </si>
  <si>
    <t>Kopā ar papildus 2012.gadā uzņemtajām virssaistībām.</t>
  </si>
  <si>
    <t>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</si>
  <si>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Fiziskas un juridiskas personas</t>
  </si>
  <si>
    <t>Finansējuma saņēmējs pagarina projekta īstenošanas termiņu, kā arī divi līgumi tika lauzti. Kā arī papildus 2012.gadā uzņemtās virssaistības.</t>
  </si>
  <si>
    <t>Pasākums "Mājokļa energoefektivitāte"   (Measure "Energy Efficiency of Housing")</t>
  </si>
  <si>
    <t>Daudzdzīvokļu māju siltumnoturības uzlabošanas pasākumi (Improvement of Heat Insulation of Multi-apartment Residential Buildings)</t>
  </si>
  <si>
    <t>Fiziskas  personas</t>
  </si>
  <si>
    <t>Virssaistības paredzētas, lai būtu iespējams noslēgt līgumus un turpināt aktivitātes ieviešanu. Plānots, ka papildu budžeta līdzekļi tām nebūs nepieciešami, jo paredzami projektu summu samazinājumi.</t>
  </si>
  <si>
    <t>Sociālo dzīvojamo māju siltumnoturības uzlabošanas pasākumi (Improvement of Heat Insulation of Social Residential Buildings)</t>
  </si>
  <si>
    <t>Prioritāte "Vides infrastruktūras un videi draudzīgas enerģētikas veidošana"  (Priority "Promotion of Environmental Infrastructure And Environmentally Friendly Energy")</t>
  </si>
  <si>
    <t>Pasākums "Vides aizsardzības infrastruktūra" (Measure "Infrastructure of Environmental Protection")</t>
  </si>
  <si>
    <t>Ūdenssaimniecības infrastruktūras attīstība aglomerācijās ar cilvēku ekvivalentu lielāku par 2000 (Development of water management infrastructure in agglomerations with more than 2000 residents)</t>
  </si>
  <si>
    <t xml:space="preserve">Reģionālu atkritumu apsaimniekošanas sistēmu attīstība (Development of regional systems for waste management) </t>
  </si>
  <si>
    <t>Normatīvo aktu prasībām neatbilstošo izgāztuvju rekultivācija (Remediation of with legaslation non-coplying dumpsite)</t>
  </si>
  <si>
    <t>Iztrūkstūšais finansējums (2311567 LVL) ar budžeta līdzekļu iekšējām pārdalēm tik pārdalīts no 3.3.1.6.aktivitātes projekta</t>
  </si>
  <si>
    <t xml:space="preserve">Reģionālu atkritumu apsaimniekošanas sistēmu attīstība (Development of the regional waste managment systems) </t>
  </si>
  <si>
    <t>Kapitālsabiedrības</t>
  </si>
  <si>
    <t xml:space="preserve">Dalītās atkritumu apsaimniekošanas sistēmas attīstība (Development of separate WASTE collection system) </t>
  </si>
  <si>
    <t>VARAM/ CFLA</t>
  </si>
  <si>
    <t>Vides monitpringa un kontroles sistēmas attīstība (Development of a System of Environmental Monitoring and Control)</t>
  </si>
  <si>
    <t>Valsts iestādes (Valsts vides dienests)</t>
  </si>
  <si>
    <t>Pasākums "Enerģētika"  (Measure "Energy")</t>
  </si>
  <si>
    <t>Pasākumi siltumapgādes sistēmu efektivitātes paaugstināšanai (Measures Regarding The Increase of Efficiency of Heat Supply Systems)</t>
  </si>
  <si>
    <t>Komercabiedrības</t>
  </si>
  <si>
    <t>Pasākumi centralizētās siltumapgādes sistēmu efektivitātes paaugstināšanai (Measures Regarding The Increase of Efficiency of Centralised Heat Supply Systems)</t>
  </si>
  <si>
    <t>Komercsabiedrības, pašvaldības</t>
  </si>
  <si>
    <t>Pasākumi uzņēmumu siltumapgādes sistēmu efektivitātes paaugstināšanai (Measures Regarding The Increase of Efficiency of Enterprise Heat Supply Systems)</t>
  </si>
  <si>
    <t>Aktivitātes vienīgajā uzsaukumā neviens projekts netika apstiprināts. Plānots pārdalīt citām EM energoefektivitātes uzlabošanas aktivitātēm</t>
  </si>
  <si>
    <t>Atjaunojamo energoresursu izmantojošu koģenerācijas elektrostaciju attīstība (Development of Cogeneration Power Plants Utilising Renewable Energy Sources)</t>
  </si>
  <si>
    <t>Komercabiedrības, pašvaldību komercsabiedrības</t>
  </si>
  <si>
    <t>Vēja elektrostaciju attīstība (Development of Wind Power Stations)</t>
  </si>
  <si>
    <t>Daugavas hidroelektrostaciju aizsprostu pārgāžņu rekonstrukcija (Development of Dam Spillways for Daugava Hydroelectric Power Plant)</t>
  </si>
  <si>
    <t>AS</t>
  </si>
  <si>
    <t>Prioritāte "Policentriska attīstība" (Priority "Polycentric Development)</t>
  </si>
  <si>
    <t xml:space="preserve">Pasākums "Atbalsts ilgtspējīgai pilsētvides un pilsētreģionu attīstībai" (Measure "Support for Sustainable Urban Environment and Urban Area Development") </t>
  </si>
  <si>
    <t>Nacionālas un reģionālas nozīmes attīstības centru izaugsmes veicināšana līdzsvarotai valsts attīstībai (Growth of National and Regional Development Centres for Sustainable and Balanced Development of the Country)</t>
  </si>
  <si>
    <t xml:space="preserve">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 </t>
  </si>
  <si>
    <t>Rīgas pilsētas ilgtspējīga attīstība (Sustainable Development of Riga)</t>
  </si>
  <si>
    <t>Pasākums "Komplekss atbalsts novadu pašvaldību izaugsmes sekmēšanai" (Complex support to promote growth of amalgamated municipalities)</t>
  </si>
  <si>
    <t>Atbalsts novadu pašvaldību kompleksai attīstībai (Support of amalgamated municipalities to promote complex growth)</t>
  </si>
  <si>
    <t>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t>
  </si>
  <si>
    <t>Tehniskā palīdzība (1.6.1.1., 2.4.1.1., 3.7.1.1., 3.8.1.1.) (Technical Assistance - TA)</t>
  </si>
  <si>
    <t>ERAF, ESF, KF</t>
  </si>
  <si>
    <t>1) Kolonnā Nr. 5 norādītais finansējums ir kopējais atteicināmais finansējums bez neattiecināmā VB finansējuma.
2) Kolonnās no 6. līdz 14. finansējums norādīts kopā ar VB neattiecināmajām izmaksām (2.k neattiecināmas izmaksas ir 487 265 LVL).
3) Kolonnā Nr. 14 finansējums ir mazāks nekā  fiannsējums kolonnā Nr. 5, jo šobrīd TP projektiem nav  pieejams viss maksimāli peieejamais  finansējumu kāds ir pieejams atbilstoši DPP un MK noteikumiem Nr.694.  8 290 198 LVL ir finansējuma rezerve, kura tiks pieejama projektiem pēc MK noteikumu grozījumiem.
4) Pēc MK noteikumu Nr. 694 grozījumu projekta spēkā stāšanās, tiks veikti grozījumi TP projektos un palielinātas konkrētu proejktu kopējās summas.</t>
  </si>
  <si>
    <t>80.00.00 rezerve</t>
  </si>
  <si>
    <t>VM</t>
  </si>
  <si>
    <t>TP</t>
  </si>
  <si>
    <t>Valsts kanceleja</t>
  </si>
  <si>
    <t>Aktivitātēm nepieciešamais valsts budžets 2013.gadā no 80.00.00.programmas, LVL</t>
  </si>
  <si>
    <t>2.3.2.2.2.</t>
  </si>
  <si>
    <t>7=5+6.</t>
  </si>
  <si>
    <t xml:space="preserve">Prognoze lauztajiem līgumiem un neatbilstībām 2013.gada ietvaros </t>
  </si>
  <si>
    <t>Pieņēmumi prognozei</t>
  </si>
  <si>
    <t xml:space="preserve">Prognoze lauztajiem līgumiem un neatbilstībām 2014.gada ietvaros </t>
  </si>
  <si>
    <t xml:space="preserve">Prognoze lauztajiem līgumiem un neatbilstībām 2015.gada ietvaros </t>
  </si>
  <si>
    <t>Uzņemto virssaistību maksājumu FS apjoms (ES fondu daļa), LVL</t>
  </si>
  <si>
    <t xml:space="preserve">Maksājumi FS neskaitot virssaistību apjomu (ES fondu daļa), LVL </t>
  </si>
  <si>
    <t>11+9+10</t>
  </si>
  <si>
    <t>13+11+12</t>
  </si>
  <si>
    <t>16=14+15</t>
  </si>
  <si>
    <t>19=17+18</t>
  </si>
  <si>
    <t>22=20+21</t>
  </si>
  <si>
    <t>25=23+24</t>
  </si>
  <si>
    <t>28=26+27</t>
  </si>
  <si>
    <t>31=29+30</t>
  </si>
  <si>
    <t>34=32+33</t>
  </si>
  <si>
    <t>37=35+36</t>
  </si>
  <si>
    <t>40=38+39</t>
  </si>
  <si>
    <t>AI mērķis maksājumiem FS 2014. g.</t>
  </si>
  <si>
    <t>AI mērķis maksājumiem FS 2015. g.</t>
  </si>
  <si>
    <t>Kopā 2013-2015.g.</t>
  </si>
  <si>
    <t>Prognoze lauztajiem līgumiem un neatbilstībām</t>
  </si>
  <si>
    <t>Aktivitātes 2.kārtas projektu iesniegumu iesniegšana tiek plānota līdz 29.11.2013 un līgumu noslēgšana līdz 31.12.2013; pirmo apstiprināto projektu īstenošana tiek plānota 2013.gada 2.ceturksnī, līdz ar to atmaksas valsts budžetā 2013.gadā par otrās projektu iesniegumu atlases kārtas projektiem netiek plānota, ņemot vērā maksājumu pieprasījumu atskaites periodus un nepieciešamo laiku maksājumu pieprasījumu sagatavošanai un apstiprināšanai.
Sastādot ikmēneša maksājumu Eiropas Savienības fondu finansējuma saņēmējiem prognozes, vidēji 15% apmērā noteikta maksājuma pieprasījumu neizpilde pret vienošanās plānotajiem maksājumu pieprasījumiem un neattiecināmās izmaksas.</t>
  </si>
  <si>
    <t>Virssiastības 25 % no kopējās summas, II atlases kārta - 25 % no SF daļas Ls 10 201 540. Neattiecināmās izmaksas plānotas 0.26 % apmērā</t>
  </si>
  <si>
    <t xml:space="preserve">
Neattiecināmās izmaksas plānotas 0.25 % apmērā.</t>
  </si>
  <si>
    <t>Projekts noslēdzies ar ietaupījumu Ls 49458 un neatbilstību Ls 176 709 apmērā</t>
  </si>
  <si>
    <t>Sastādot ikmēneša maksājumu Eiropas Savienības fondu finansējuma saņēmējiem vidēji 10% apmērā noteikta maksājuma pieprasījumu neizpilde pret līgumos plānotajiem maksājumu pieprasījumiem, kā arī prognozētas neattiecināmās izmaksas 0.26 % apmērā. 
Papildus tam plānoto maksājumu FS plūsmu 2013.gadā ietekmē arī veiktie vienošanās grozījumi, kur līgumsummas tika pārplānotas uz 2014.gadu un 2012.gada beigās tika veikti maksājumi par MP summām,kas sākotnēji tika plānotas 2013.gada budžetā</t>
  </si>
  <si>
    <t>Neattiecināmās izmaksas plānotas 0.26 % apmērā</t>
  </si>
  <si>
    <t>Neattiecināmās izmaksas plānotas 0.32 % apmērā</t>
  </si>
  <si>
    <t xml:space="preserve">Aktivitātes ietvaros spēkā esošo līgumu attiecināmais ES fondu finansējums uz 22.01.2013. ir 85 290 764 lati, proti, par 83 602. latiem mazāks nekā noteikts DP. </t>
  </si>
  <si>
    <t xml:space="preserve">Aktivitātes ietvaros turpinās viena projekta īstenošana. </t>
  </si>
  <si>
    <t xml:space="preserve">Aktivitātes ietvaros spēkā esošo līgumu attiecināmais ES fondu finansējums uz 22.01.2013. ir 18 012 573 lati, proti, par 353 412 latiem mazāks nekā noteikts DP. </t>
  </si>
  <si>
    <t>Aktivitātes ietvaros spēkā esošo līgumu attiecināmais ES fondu finansējums uz 22.01.2013. ir 2 223 702 lati, proti, par 2 839 latiem mazāks nekā noteikts DP. Izveidojies ietaupījums  Ls 54574 apmērā</t>
  </si>
  <si>
    <t xml:space="preserve">Aktivitātes ietvaros spēkā esošo līgumu attiecināmais ES fondu finansējums uz 22.01.2013. ir 5 574 850 lati, proti, par 204 481 latiem mazāks nekā noteikts DP. </t>
  </si>
  <si>
    <t>Aktivitātes ietvaros projektu īstenošana ir noslēgusies; 2013.gada janvārī konstatētas neatbilstības 79 943 LVL apmērā viena projekta ietvaros, kuras atbilstoši tiesību aktos noteiktajam, ir jāatgūst.</t>
  </si>
  <si>
    <t>Programmas Nr.</t>
  </si>
  <si>
    <t>Ministraija; Programma</t>
  </si>
  <si>
    <t>Programmas kopējais finansējums</t>
  </si>
  <si>
    <t>Izpilde uz 31.12.2012.</t>
  </si>
  <si>
    <t>Finansējuma apguve 2013.gadā</t>
  </si>
  <si>
    <t>Finansējuma apguve turpmākos gados</t>
  </si>
  <si>
    <t>EEZ/NOR FI daļa</t>
  </si>
  <si>
    <t>Valsts budžeta daļa</t>
  </si>
  <si>
    <t>1.cet.</t>
  </si>
  <si>
    <t>2.cet.</t>
  </si>
  <si>
    <t>3.cet.</t>
  </si>
  <si>
    <t>4.cet.</t>
  </si>
  <si>
    <t>2014.gadā</t>
  </si>
  <si>
    <t>2015.gadā</t>
  </si>
  <si>
    <t>2016.-2017.gadā</t>
  </si>
  <si>
    <t xml:space="preserve">Kopā: </t>
  </si>
  <si>
    <t>Ekonomikas ministrija</t>
  </si>
  <si>
    <t>LV06</t>
  </si>
  <si>
    <t>Inovācijas "zaļās" ražošanas jomā</t>
  </si>
  <si>
    <t>Kultūras ministrija</t>
  </si>
  <si>
    <t>LV04</t>
  </si>
  <si>
    <t>Kultūras un dabas mantojuma saglabāšana un atjaunināšana</t>
  </si>
  <si>
    <t>Tieslietu ministrija</t>
  </si>
  <si>
    <t>LV08</t>
  </si>
  <si>
    <t>Latvijas korekcijas dienestu un Valsts policijas īslaicīgās aizturēšanas vietu reforma</t>
  </si>
  <si>
    <t>t.sk., Iekšlietu ministrija</t>
  </si>
  <si>
    <t>Sabiedrības integrācijas fonds</t>
  </si>
  <si>
    <t>LV03</t>
  </si>
  <si>
    <t>NVO fonds</t>
  </si>
  <si>
    <t>Vides aizsardzības un reģionālās attistības ministrija</t>
  </si>
  <si>
    <t>LV02</t>
  </si>
  <si>
    <t>Nacionālā klimata politika</t>
  </si>
  <si>
    <t>LV07</t>
  </si>
  <si>
    <t>Kapacitātes stiprināšana un institucionālā sadarbība ar Norvēģijas valsts iestādēm, vietējām un reģionālām iestādēm</t>
  </si>
  <si>
    <t>Finanšu ministrija</t>
  </si>
  <si>
    <t>LV01</t>
  </si>
  <si>
    <t>Tehniskās palīdzības fonds 2011. - 2017.gadam</t>
  </si>
  <si>
    <t>Tabula Nr.1. Atbildīgo iestāžu plānotie maksājumi finansējuma saņēmējiem ES fondu ietvaros (LVL)</t>
  </si>
  <si>
    <t>Norādīti ieturētie maksājumi no pēdējā starpposma maksājuma pieprasījuma. Šobrīd finansējuma saņēmējs gatavo nepieciešamos papildu dokumentus un skaidrojumus. Ņemot vērā, ka šobrīd sadarbības iestāde nevar precīzi noprognozēt, vai un cik liela daļa no šiem ieturētajiem maksājumiem būs attiecināmi, kā neatbilstību prognoze ir iekļauta visu ieturēto izdevumu summa. Pozitīva risinājuma gadījumā neatbilstību summa būs mazāka vai nebūs vispār, savukārt gala maksājums būs lielāks.</t>
  </si>
  <si>
    <t>Sadarbības iestāde šobrīd prognozē, ka noslēguma maksājums būs š.g. maijā. Ja finansējuma saņēmējs iesniegs nepieciešamos dokumentus un skaidrojumus ātrāk, pastāv iespēja, ka noslēguma maksājums būs ātrāk.</t>
  </si>
  <si>
    <t>Neatbilstību apjoms ir indikatīvs, ietver arī ieturētos maksājumus, ko sadarbības iestāde vērtē. Iespējams, ka visi ieturētie maksājumi netiks atzīti par neatbilstoši veiktiem un maksājumu apmērs būs lielāks.</t>
  </si>
  <si>
    <t>Neatbilstību apjoms ir indikatīvs. Prognoze balstīta uz pieņēmumu, ka ne vairāk kā 2% no gada ietvaros veiktajiem maksājumiem būs neatbilstoši veiktas izmaksas.</t>
  </si>
  <si>
    <t>Prognozes sastādīšanā ņemts vērā, ka 3.1.4.1.5. apakšaktivitātē VSAC "Rīga" īstenotā projekta termiņš tiks pagarināts līdz 2014.g.maijam (pamats - MK 419.noteikumu 25.1.5. punktā noteiktais apstāklis)</t>
  </si>
  <si>
    <t>Aktivitātes ietvaros īstenotie projekti ir noslēgušies, noslēguma maksājumi veikti. Starpību starp DPP noteikto finansējumu un veiktajiem maksājumiem veido neatbilstoši veikti izdevumi.</t>
  </si>
  <si>
    <t>Mērķis 2013.gadam (dalījumā pa mēnešiem) tika noteikts, balstoties uz finansējuma saņēmēju sniegtajām prognozēm par plānotajiem maksājuma pieprasījumiem, piemērojot līdzšinējo pieredzi projektu īstenošanā, t.i., izvērtējot finansējuma saņēmēju sniegto prognožu atbilstību faktiski iesniegto maksājuma pieprasījumu apjomiem un faktiskajiem iesniegšanas termiņiem, finansējumu, par kuru tika samazināti starpposma maksājumi, pieskaitot plānotajam noslēguma maksājuma pieprasījumam. 
Projekts 3DP/3.4.3.1.0/09/IPIA/CFLA/02/002, Cēsu novada pašvaldība, līguma beigu termiņš ir 11.12.2013, līdz ar to noslēguma maksājuma pieprasījuma atmaksa tiks veikta 2014.gadā.</t>
  </si>
  <si>
    <t>Nosakot plānoto lauzto līgumu un neatbilstību apjomu, tika veiktas šādas darbības:
1)           Apakšaktivitātes ietvaros aprēķināts procentuāli, kāds ir konstatēto neatbilstību apjoms visā 2007.-2013.gada plānošanas periodā, salīdzinājumā ar kopējiem veiktajiem maksājumiem, t.i.: Konstatētās neatbilstības līdz 31.12.2012., % = kopējās konstatētās neatbilstības līdz 31.12.2012., LVL / kopējie veiktie maksājumi līdz 31.12.2012., LVL.
2)           Apakšaktivitātes ietvaros aprēķināts procentuāli, kāds ir konstatēto neatbilstību apjoms 2012.gadā, salīdzinājumā ar veiktajiem maksājumiem 2012.gadā, t.i.: Konstatētās neatbilstības 2012.gadā, % = kopējās konstatētās neatbilstības 2012.gadā, LVL / kopējie veiktie maksājumi 2012.gadā, LVL.
Lai mērķu tabulā noteiktu plānoto lauzto līgumu un neatbilstību apjomu, tika aprēķināts vidējais procentuālais rādītājs, kas iegūts, piemērojot iepriekš minētās formulas, un iegūtais procents piemērots plānotajiem maksājumiem apakšaktivitātes ietvaros.</t>
  </si>
  <si>
    <t>Mērķis 2013.gadam (dalījumā pa mēnešiem) tika noteikts, balstoties uz finansējuma saņēmēju sniegtajām prognozēm par plānotajiem maksājuma pieprasījumiem, piemērojot līdzšinējo pieredzi projektu īstenošanā, t.i., izvērtējot finansējuma saņēmēju sniegto prognožu atbilstību faktiski iesniegto maksājuma pieprasījumu apjomiem un faktiskajiem iesniegšanas termiņiem, finansējumu, par kuru tika samazināti starpposma maksājumi, pieskaitot plānotajam noslēguma maksājuma pieprasījumam. 
3DP/3.4.3.2.0/10/APIA/CFLA/003/004, Tukuma novada dome, 28.03.2014 pagarināts līguma īstenošanas termiņš;
3DP/3.4.3.2.0/10/APIA/CFLA/013/005, Kuldīgas novada pašvaldība, līguma beigu termiņš ir 20.11.2013, līdz ar to iespējams, ka noslēguma maksājums tiks veikts tikai 2014.gadā;
3DP/3.4.3.2.0/10/APIA/CFLA/020/006 un 3DP/3.4.3.2.0/12/APIA/CFLA/003, Rīgas pilsētas pašvaldība, prognozē ņemt avansu.</t>
  </si>
  <si>
    <t>3DP/3.4.3.3.0/10/APIA/CFLA/001/001, līguma beigu termiņš 2013.gads, bet pārējie četri līgumi beidzas 2014.gadā. Uzņemto virssaistību maksājumu FS apjoms plānots, ņemot vērā, MK noteikumu apstiprināšanu un konkursa izsludināšanas, PI izvērtēšanas, tajā skaitā līgumu noslēgšanas procesu ar FS laiku.</t>
  </si>
  <si>
    <t>Daļa MP tika apstiprināti un samaksāti 2012.gada decembra mēnesī, kas tika plānots maksāt 2013.gadā</t>
  </si>
  <si>
    <t xml:space="preserve">Aktivitātes ietvaros spēkā esošo līgumu attiecināmais ES fondu finansējums uz 24.01.2013. ir 10 920 037 lati, proti, par 1 279 964 latiem mazāks nekā noteikts DP. </t>
  </si>
  <si>
    <t>Vairāki finansējuma saņēmēji, kuriem projekta līguma termiņš jau beidzies 2012.gadā iesnieguši noslēguma maksājuma pieprasījumus, līdz ar to iepriekš plānotais finansējums 2013.gadā ir palielinājies, kā arī 2012.gada jūlijā un decembrī noslēgti jauni līgumi (par kopējo summu 4 406943 LVL), kā arī FS pagarina projekta līgumu  īstenošanas termiņu, līdz ar to finansējums pārceļas uz priekšu. Maksājuma pieprasījuma atmaksa tiek kavēta, sakarā ar projekta realizācija konstatētajām neatbilstībām iepirkumos, kā arī papildus nepieciešamajiem dokumentiem un skaidrojumiem no FS.</t>
  </si>
  <si>
    <t>Mērķa prognoze, kopā ar līdz 31.12.2012. apgūto finansējumu, ir par 1696575,27 LVL mazāka nekā pieejamais finansējums, jo tiek plānoti kā aktivitātes neapgūtie līdzekļi, kas sastāv no neatbilstībām, kas konstatētas periodā 09.05.2012.-31.12.2012. 608619,66 LVL apmērā, kā arī no plānotās neatbilstības summas turpmākajos gados 1087954,79 LVL apmērā.
Nosakot plānoto lauzto līgumu un neatbilstību apjomu, tika veiktas šādas darbības:
1)           Apakš/aktivitātes ietvaros aprēķināts procentuāli, kāds ir konstatēto neatbilstību apjoms visā 2007.-2013.gada plānošanas periodā, salīdzinājumā ar kopējiem veiktajiem maksājumiem, t.i.: Konstatētās neatbilstības līdz 31.12.2012., % = kopējās konstatētās neatbilstības līdz 31.12.2012., LVL / kopējie veiktie maksājumi līdz 31.12.2012., LVL.
2)           Apakš/aktivitātes ietvaros aprēķināts procentuāli, kāds ir konstatēto neatbilstību apjoms 2012.gadā, salīdzinājumā ar veiktajiem maksājumiem 2012.gadā, t.i.: Konstatētās neatbilstības 2012.gadā, % = kopējās konstatētās neatbilstības 2012.gadā, LVL / kopējie veiktie maksājumi 2012.gadā, LVL.
Lai mērķu tabulā noteiktu plānoto lauzto līgumu un neatbilstību apjomu, tika aprēķināts vidējais procentuālais rādītājs, kas iegūts, piemērojot iepriekš minētās formulas, un iegūtais procents piemērots plānotajiem maksājumiem apakš/aktivitātes ietvaros.</t>
  </si>
  <si>
    <t>Mērķa prognoze sagatavota pamatojoties uz informāicju par plānotajiem grozījumiem aktivitātes MK noteikumos un plānotajām projektu atlasēm 2013.gada 2.pusē</t>
  </si>
  <si>
    <t>Atlikums Ls 2 685 870</t>
  </si>
  <si>
    <t>Prognoze lauztajiem līgumiem/neatbilstībām noteikta ņemot vērā vēsturiskos datus par 2012.gadu, kad konstatētās neatbilstību finansiālais apmērs bija 1,3% no 2012.gadā aktivitātes ietvaros veiktajiem maksājumiem. Aprēķinā nav iekļauts viens līguma laušanas gadījums, jo tas ir vienīgais tāds gadījums aktivitātes īstenošanas laikā, tādēļ, iekļaujot to aprēķinā, mūsuprāt, nepamatoti tiktu palielināta šī prognoze.</t>
  </si>
  <si>
    <t>Plānotie mērķi galvenokārt balstīti uz datiem no finansējumu saņēmēju iesniegtājām prognozēm</t>
  </si>
  <si>
    <t>—</t>
  </si>
  <si>
    <t>Kopējais aktivitātes ietaupījums 53181,64 LVL, kuru sastāda plānotais ietaupījums ieviešanā esošajos projektos 8293,41 LVL apmērā un neapgūtais aktivitātes finansējums 44888,23 LVL apmērā. Starpība starp pieejamo finansējumu un mērķa kopējo prognozi norādīta mazāka (38089,00 LVL), jo līdz 2012.gada izmaksātajos finanšu līdzekļos iekļauti arī atgūtie maksājumi  15092,64 LVL apmērā.</t>
  </si>
  <si>
    <t>Kopējais aktivitātes ietaupījums 150912,53 LVL, kuru sastāda plānotais ietaupījums ieviešanā esošajos projektos 54694,37 LVL apmērā un neapgūtais aktivitātes finansējums 96218,16 LVL apmērā. Starpība starp pieejamo finansējumu un mērķa kopējo prognozi norādīta mazāka (137512,89 LVL), jo līdz 2012.gada izmaksātajos finanšu līdzekļos iekļauti arī atgūtie maksājumi  13399,64 LVL apmērā.</t>
  </si>
  <si>
    <t>Kopējie aktivitātes neapgūtie līdzekļi sastādīs 8138608,91 LVL, kas sastāv no konstatētajām neatbilstībām periodā 09.05.2012.-31.12.2012. 1569884,26 LVL apmērā un turpmākajos gados plānotās neatbilstības 1526324,50 LVL apmērā, kā arī plānoto neapgūto finansējumu projektu iespējamās noraidīšanas gadījumā 5042400,15 LVL apmērā.
Šobrīd norādītā starpība 4823784,91 LVL apmērā starp mērķa prognozi un pieejamo finansējumus ir mazāka nekā plānotais aktivitātes ietaupījums, jo jāņem vērā, ka līdz 31.12.2012. apgūtajā finansējuma apmērā ir ierēkināti arī atgūtie maksājumi 3314824,00 LVL apmērā.
Nosakot plānoto lauzto līgumu un neatbilstību apjomu, tika veiktas šādas darbības:
1)           Apakš/aktivitātes ietvaros aprēķināts procentuāli, kāds ir konstatēto neatbilstību apjoms visā 2007.-2013.gada plānošanas periodā, salīdzinājumā ar kopējiem veiktajiem maksājumiem, t.i.: Konstatētās neatbilstības līdz 31.12.2012., % = kopējās konstatētās neatbilstības līdz 31.12.2012., LVL / kopējie veiktie maksājumi līdz 31.12.2012., LVL.
2)           Apakš/aktivitātes ietvaros aprēķināts procentuāli, kāds ir konstatēto neatbilstību apjoms 2012.gadā, salīdzinājumā ar veiktajiem maksājumiem 2012.gadā, t.i.: Konstatētās neatbilstības 2012.gadā, % = kopējās konstatētās neatbilstības 2012.gadā, LVL / kopējie veiktie maksājumi 2012.gadā, LVL.
Lai mērķu tabulā noteiktu plānoto lauzto līgumu un neatbilstību apjomu, tika aprēķināts vidējais procentuālais rādītājs, kas iegūts, piemērojot iepriekš minētās formulas, un iegūtais procents piemērots plānotajiem maksājumiem apakš/aktivitātes ietvaros.
Galvenie līgumu laušanas iemesli saistīti ar iepirkumu rezultātiem projektu ietvaros, gadījumos, kad iepirkumos piedāvātās līgumcenas pārsniedz projektam atvēlēto finansējumu, tādejādi pasūtītājs pieņem lēmumu izbeigt iepirkuma procedūru, un atsakās no projekta kā nerentabla.</t>
  </si>
  <si>
    <t>Prognoze balstīta uz FS iensiegto maksājumu prognozi ievērojot piesardzības principu.</t>
  </si>
  <si>
    <t>Prognoze lauztajiem līgumiem/neatbilstībā netiek paredzēta, jo līdz šim aktivitātes ieviešanās laikā neatbilstības nav radušās.</t>
  </si>
  <si>
    <t>Prognoze balstīta uz FS iensiegtajām maksājumu prognozēm ievērojot piesardzības principu, kā arī ņemta vērā informācija par iespējamiem plānotajiem projektiem.</t>
  </si>
  <si>
    <t>Prognoze balstīta uz FS iensiegtajām maksājumu prognozēm ievērojot piesardzības principu.</t>
  </si>
  <si>
    <t>Mērķis 2013.gadam dalījumā pa mēnešiem tika noteikts balstoties uz iesniegtā līguma Nr.3DP/3.4.1.5.2/11/APIA/CFLA/002/002  gala maksājuma pieprasījuma atmaksu februārī un līguma Nr.3DP/3.4.1.5.2/11/APIA/CFLA/001/001 plānotā gala maksājuma pieprasījuma atmaksu oktobrī.
Kā arī ņemti vērā pieteiktie projekti, to plānotais finansējums un to iespējamie maksājumi 2013.gada beigās.</t>
  </si>
  <si>
    <t>Mērķa prognoze sagatavota, ņemot vērā pieteiktu projektu finansējumu un to plānoto ieviešanu.</t>
  </si>
  <si>
    <t>Plānotie mērķi galvenokārt balstīti uz datiem no finansējumu saņēmēju iesniegtājām prognozēm ar piesardzības principu. Virssaistību mērķi gatavoti, pamatojoties uz informāicju par projektu atlasēm un plānotajiem projektu apstiprināšanas laikiem.</t>
  </si>
  <si>
    <t>Virssaistību mērķi gatavoti, pamatojoties uz informāicju par projektu atlasēm un plānotajiem projektu apstiprināšanas laikiem.</t>
  </si>
  <si>
    <t>Kopējie aktivitātes neapgūtie līdzekļi sastādīs 20928,03 LVL, kas sastāv no konstatētās neatbilstības periodā 09.05.2012.-31.12.2012. 728,03 LVL apmērā un turpmākos gados plānotās neatbilstības 20 200 LVL apmērā.
Šobrīd mērķa prognoze lielāka nekā pieejamais finansējums par 543 010,33 LVL, jo jāņem vērā, ka līdz 31.12.2012. apgūtajā finansējuma apmērā ir ierēkināti arī atgūtie maksājumi 563938,36 LVL apmērā.</t>
  </si>
  <si>
    <t>Aktivitātes ieviešana beigusies, atlikums 14393,31 LVL apmērā ir aktivitātes ietaupījums.</t>
  </si>
  <si>
    <t>Kopējie aktivitātes neapgūtie līdzekļi sastādīs 1199158,62 LVL, kas sastāv no konstatētās neatbilstības periodā 09.05.2012.-31.12.2012. 79 658,62 LVL apmērā un turpmākos gados plānotās neatbilstības 1119500,00 LVL apmērā.
Šobrīd mērķa prognoze lielāka nekā pieejamais finansējums par 3 113 337,91 LVL, jo jāņem vērā, ka līdz 31.12.2012. apgūtajā finansējuma apmērā ir ierēkināti arī atgūtie maksājumi 4312496,53 LVL apmērā.</t>
  </si>
  <si>
    <t xml:space="preserve">Plānotie mērķi galvenokārt balstīti uz datiem no finansējumu saņēmēju iesniegtājām prognozēm ar piesardzības principu. </t>
  </si>
  <si>
    <t>Mērķa prognoze kopā ar līdz 31.12.2012. apgūto finansējumu ir par 18 191,80 LVL mazāka nekā pieejamais finansējums, jo tie plānotie kā aktivitātes neapgūtie līdzekļi, kas sastāv no neatbilstības, kas konstatēta periodā 09.05.2012.-31.12.2012. 7191,80 LVL apmērā, kā arī no plānotās neatbilstības summas turpmākajos gados 11 000 LVL apmērā.</t>
  </si>
  <si>
    <t>Mērķa prognoze kopā ar līdz 31.12.2012. apgūto finansējumu ir par 18 191,80 LVL mazāka nekā pieejamais finansējums, jo tie plānotie kā aktivitātes neapgūtie līdzekļi, kas sastāv no plānotās neatbilstības summas turpmākajos gados 55 000 LVL apmērā.</t>
  </si>
  <si>
    <t>Prognoze lauztajiem līgumiem/neatbilstībā netiek paredzēta, jo līdz šim aktivitātes ieviešanās laikā neatbilstības nav radušās.
Starpība starp pieejamo finansējumu un mērķa prognozi 0,60 LVL apmērā ir aktivitātes ietaupījums.</t>
  </si>
  <si>
    <t>Plānotie mērķi galvenokārt balstīti uz datiem no finansējumu saņēmēju iesniegtājām prognozēm, kas plānoti ievērojot piesardzības principu. Virssaistību mērķi gatavoti, pamatojoties uz informāicju par projektu atlasēm un plānotajiem projektu apstiprināšanas laikiem.</t>
  </si>
  <si>
    <t>Kopējais aktivitātes ietaupījums 987317,43 LVL, kas sastāv no konstatētajām neatbilstībām  89756,13 LVL apmērā laika periodā 09.05.2012.-31.12.2012. un plānotajām neatbilstībām turpmākajos gados 897561,30 LVL apmērā. Mērķa prognoze ir par 2246232,84 LVL lielāka nekā pieejamais finansējums, jo līdz 2012.gada beigām izmaksātajos finanšu līdzekļos iekļauti arī atgūtie maksājumi 3233550,27 LVL apmērā.
Prognoze lauztajiem līgumiem/neatbilstībām turpmākajiem gadiem iek paredzēta 10 reizes lielāka nekā tā konstatēta laika periodā no 09.05.2012. līdz 31.12.2012. (89756,13 LVL).</t>
  </si>
  <si>
    <t>Kopējais aktivitātes ietaupījums 7044,28 LVL, kas sastāv no ir konstatētajām neatbilstībām  2817,71 LVL apmērā laika periodā 09.05.2012.-31.12.2012. un plānotajām neatbilstībām turpmākajos gados 4226,57 LVL apmērā. Mērķa prognoze ir par 105 571,10 LVL lielāka nekā pieejamais finansējums, jo līdz 2012.gada beigām izmaksātajos finanšu līdzekļos iekļauti arī atgūtie maksājumi 112615,38 LVL apmērā.
Prognoze lauztajiem līgumiem/neatbilstībām turpmākajiem gadiem iek paredzēta 1,5 reizes lielāka nekā tā konstatēta laika periodā no 09.05.2012. līdz 31.12.2012. (2817,71 LVL).</t>
  </si>
  <si>
    <t>Kopējais aktivitātes ietaupījums 194977,88 LVL, kas sastāv no plānotā neapgūstamā aktivitātes finansējuma 194229,83 LVL apmērā un konstatētajām neatbilstībām 748,05 LVL apmērā laika periodā 09.05.2012. līdz 31.12.2012. 
Starpība starp pieejamo finansējumu un mērķa kopējo prognozi norādīta mazāka (190395,93 LVL), jo līdz 2012.gadam izmaksātajos finanšu līdzekļos iekļauti arī atgūtie maksājumi 4581,95 LVL apmērā.
Prognoze lauztajiem līgumiem/neatbilstībā netiek paredzēta, jo līdz šim aktivitātes ieviešanā neatbilstību apmērs salīdzinoši ar aktivitātes pieejamo finansējumu nav būtiski liels (tikai 748,05 LVL).</t>
  </si>
  <si>
    <t>Mērķis 2013.gadam (dalījumā pa mēnešiem) tika noteikts, balstoties uz finansējuma saņēmēju sniegtajām prognozēm par plānotajiem maksājuma pieprasījumiem, piemērojot līdzšinējo pieredzi projektu īstenošanā, t.i., izvērtējot finansējuma saņēmēju sniegto prognožu atbilstību faktiski iesniegto maksājuma pieprasījumu apjomiem un faktiskajiem iesniegšanas termiņiem. 
Kā arī ņemta vērā informācija par pieteiktajiem projektiem un tajos iespējamo izmaksājamo finansējumu 2013.gadā.</t>
  </si>
  <si>
    <t>Mērķa prognoze sastādīta, ņemot vērā informāciju par pieteiktajiem projektiem un tajos iespējamo izmaksājamo finansējumu 2014.gadā.</t>
  </si>
  <si>
    <t>Mērķa prognoze sastādīta, ņemot vērā informāciju par pieteiktajiem projektiem un tajos iespējamo izmaksājamo finansējumu 2015.gadā.</t>
  </si>
  <si>
    <t>Prognoze lauztajiem līgumiem/neatbilstībām turpmākajiem gadiem tiek paredzēta 30 % apmērā no šobrīd konstatētās neatbilstības, kas radusies pārtraukta projekta rezultātā.
Starpība starp pieejamo finansējumu un mērķa prognozi  6 235 629,40 LVL apmērā tiek paredzēta kā aktivitātes ietaupījums, kas radies no konstatētās neatbilstības 4796638,00 LVL apmērā laika periodā no 09.05.2012. līdz 31.12.2012., kā arī plānotajām neatbilstībām turpmākajos gados 1 438 991,40 LVL.</t>
  </si>
  <si>
    <t>Starpība starp pieejamo finansējumu un mērķa prognozi 160154,00 LVL apmērā tiek paredzēta kā aktivitātes ietaupījums, jo aktivitātē jaunas projektu atlases netiek plānotas. Prognoze lauztajiem līgumiem/neatbilstībām netiek paredzēta, jo līdz šim aktivitātes ieviešanas laikā neatbilstības nav radušās.</t>
  </si>
  <si>
    <t>Starpība starp pieejamo finansējumu un mērķa prognozi 13 035,00 LVL apmērā ir virssaistību finansējums, kas ir valsts budžeta daļa. Prognoze lauztajiem līgumiem/neatbilstībām netiek paredzēta, jo līdz šim aktivitātes ieviešanas laikā neatbilstības nav radušās.</t>
  </si>
  <si>
    <t>16 256.40 LVL - prognoze lauztajiem līgumiem un neatbilstībām. Lai noteiktu plānoto lauzto līgumu un neatbilstību apjomu, tika aprēķināts vidējais rādītājs (%), kas iegūts, piemērojot sekojošās formulas, un iegūtais procents piemērots plānotajiem maksājumiem aktivitātes ietvaros: 1) Konstatētās neatbilstības līdz 31.12.2012 (t.i., visā 2007.-2013.gada plānošanas periodā) % = kopējās konstatētās neatbilstības līdz 31.12.2012 (t.i., visā 2007.-2013.gada plānošanas periodā) LVL / kopējie veiktie maksājumi līdz 31.12.2012 (t.i., visā 2007.-2013.gada plānošanas periodā) LVL.
2) Konstatētās neatbilstības 2012.gadā, % = kopējās konstatētās neatbilstības 2012.gadā, LVL / kopējie veiktie maksājumi 2012.gadā, LVL.</t>
  </si>
  <si>
    <t>10 834.67 LVL - prognoze lauztajiem līgumiem un neatbilstībām</t>
  </si>
  <si>
    <t>2013.  un  2014.gadam, norādīti maksājuma mērķi 3.1.5.1.1. apakšaktivitātes ietvaros apstiprinātajiem  1. un 2.kārtas projektiem (3.atlases kārtas ietvaros iesniegto projekta pieteikumu kopējais pieprasītais ERAF līdzfinansējuma apmērs ir 765 330.94 LVL un lēmumus par 3.kārtas atlases kārtas ietvaros iesniegto projektu iesniegumu apstiprināšanu vai noraidīšanu plānots pieņemt līdz 15.02.2013.) .</t>
  </si>
  <si>
    <t>SIA „Rehabilitācijas centrs „Krimulda””, līdz 15.11.2015. jāveic pārmaksātās atbalsta summas  40 142.31 LVL apmērā atmaksa, tā kā ar finansējuma saņēmāju  vēl nav panākta vienošanās par atmaksas grafiku, kā atgūšanas periods tiek norādīts gala termiņš t.i. 2015.gads</t>
  </si>
  <si>
    <t>2013.gada aprīlī pilnībā tiks pabeigta aktivitātes ietvaros noslēgto projektu īstenošana.</t>
  </si>
  <si>
    <t xml:space="preserve">27 869.92 LVL - prognoze neatbilstībām. </t>
  </si>
  <si>
    <t>24 723.31 LVL- prognoze neatbilstībām.</t>
  </si>
  <si>
    <t>37 536.42 LVL -prognoze lauztajiem līgumiem un neatbilstībām.</t>
  </si>
  <si>
    <t>Mērķu aprēķins balstīts uz  finansējuma saņēmēju sniegtajām prognozēm par plānotajiem maksājuma pieprasījumiem, piemērojot līdzšinējo pieredzi projektu īstenošanā, t.i., izvērtējot finansējuma saņēmēju sniegto prognožu atbilstību faktiski iesniegto maksājuma pieprasījumu apjomiem un faktiskajiem iesniegšanas termiņiem, projektos konstatēto neatbilstību apjomus un MK noteikumos noteikto aktivitāšu ieviešanas termiņu, kā arī ņemot vērā MK noteikumos Nr.1041  noteikto  maksājuma pieprasījumu izskatīšanas termiņu (20 d.d.).</t>
  </si>
  <si>
    <t xml:space="preserve"> 226 985.16 LVL - prognoze  neatbilstībām.</t>
  </si>
  <si>
    <t>216 209.05 LVL - prognoze neatbilstībām.</t>
  </si>
  <si>
    <t>227 578.57 LVL - prognoze neatbilstībām.</t>
  </si>
  <si>
    <t>Neatbilstības 4,2%.</t>
  </si>
  <si>
    <t>No aktivitātes īstenošanas uzsākšanas  lauzto līgumu kopsumma sastāda 4.61 % no visu noslēgto līgumu kopsummas. Neatbilstības 1,3% no 2012.gada.</t>
  </si>
  <si>
    <t>Atlikušais finansējums tiks pārdalīts uz citām aktivitātēm</t>
  </si>
  <si>
    <t>No aktivitātes īstenošanas uzsākšanas  lauzto līgumu kopsumma sastāda 0.83 % no visu noslēgto līgumu kopsummas. Neatbilstības 3,2%.</t>
  </si>
  <si>
    <t>Atlikums tiks pārdalīts uz citām aktivitātēm</t>
  </si>
  <si>
    <t>Mērķis 2013.gadam (dalījumā pa mēnešiem) tika noteikts, balstoties uz finansējuma saņēmēju sniegtajām prognozēm par plānotajiem maksājuma pieprasījumiem, piemērojot līdzšinējo pieredzi projektu īstenošanā, t.i., izvērtējot finansējuma saņēmēju sniegto prognožu atbilstību faktiski iesniegto maksājuma pieprasījumu apjomiem un faktiskajiem iesniegšanas termiņiem, projektos konstatēto neatbilstību apjomus, kā arī ņemot vērā līgumu termiņus (līgumiem, kuru īstenošana beigu termiņi ir 2014.gads, lielākais finansējuma apjoms paredzēts 2014.gadā).</t>
  </si>
  <si>
    <t>Mērķis 2014.gadam ir atlikusī līgumu summa projektiem, kuri beidzas 2014.gadā (ņemot vērā veiktās atmaksas 2012.gadā un noteikto mērķi 2013.gadam, kā arī atņemot iespējamos lauztos līgumus un neatbilstības).</t>
  </si>
  <si>
    <t>Atlikums šajā aktviitātē tiks pārdalīts uz 2.1.2.4. aktivitāti un apgūts tajā</t>
  </si>
  <si>
    <t xml:space="preserve">No aktivitātes īstenošanas uzsākšanas  lauzto līgumu kopsumma sastāda 27.84 % no visu noslēgto līgumu kopsummas. </t>
  </si>
  <si>
    <t>Tiks veiktas pārdales un aktivitātē pieejamais finansējums būs 2000000</t>
  </si>
  <si>
    <t>Finansējums tiks pārdalīt citām aktivitātēm</t>
  </si>
  <si>
    <t xml:space="preserve">No aktivitātes īstenošanas uzsākšanas  lauzto līgumu kopsumma sastāda 20.96 % no visu noslēgto līgumu kopsummas. </t>
  </si>
  <si>
    <t>Plānots pārdalīt aktivitātei finansējumu, palielinot to</t>
  </si>
  <si>
    <t>Piejamais finansējums 2013.gadā  ir nepietiekams, tas tiks papildināts, pārdalot līdzekļus no citām aktivitātēm vai papildus pieprasīts no 80.00.00 programmas.</t>
  </si>
  <si>
    <t>Faktiski aktīvitātē DPP ir apstprināts finansējums 3 000 000 Ls (ERAF daļa). S</t>
  </si>
  <si>
    <t>2014. un 2015.gados tiks prasīts finansējums no 80.00 programmas līdz visa programmā plānotā finansējuma apguvei</t>
  </si>
  <si>
    <t>Aktivitātes finansējums tiks pārdalīt citām aktivitātēm</t>
  </si>
  <si>
    <t>33 311.76 LVL - 01.2013 atgūti projekta ietvaros neatbilstoši veiktie izdevumi.
28 327.93 LVL- neatbilstību prognoze. Lai noteiktu plānoto lauzto līgumu un neatbilstību apjomu, tika aprēķināts vidējais rādītājs (%), kas iegūts, piemērojot sekojošās formulas, un iegūtais procents piemērots plānotajiem maksājumiem aktivitātes ietvaros: 1) Konstatētās neatbilstības līdz 31.12.2012 (t.i., visā 2007.-2013.gada plānošanas periodā) % = kopējās konstatētās neatbilstības līdz 31.12.2012 (t.i., visā 2007.-2013.gada plānošanas periodā) LVL / kopējie veiktie maksājumi līdz 31.12.2012 (t.i., visā 2007.-2013.gada plānošanas periodā) LVL.
2) Konstatētās neatbilstības 2012.gadā, % = kopējās konstatētās neatbilstības 2012.gadā, LVL / kopējie veiktie maksājumi 2012.gadā, LVL.</t>
  </si>
  <si>
    <t>12 020.03 LVL - neatbilstību prognoze.</t>
  </si>
  <si>
    <t>22 319.55 LVL - neatbilstību prognoze</t>
  </si>
  <si>
    <t>sastādot ikmēneša maksājumu Eiropas Savienības fondu finansējuma saņēmējiem prognozes, noteikta korekcija 333 921 latu apmērā jeb 1% no šobrīd spēkā esošo līgumu ES fondu finansējuma daļas - 33 392 077 lati.                                                                                                            II projektu atlases kārtas finansējums, tajā skaitā, virssaitības noteiktas, pieņemot, ka vienošanās par visu II kārtas projektu īstenošanu (ietverot arī virssaistības) tiks noslēgtas līdz 2013.gada IV.ceturksnim un 2013.gada ietvaros apmēram divām trešdaļām finansējumu saņēmēju tiks izmaksāti avansi līdz 15% apmērā no ES finansējuma summas.</t>
  </si>
  <si>
    <t>Koriģēta 6.kolonas "Aktivitātēm nepieciešamais valsts budžets 2013.gadā no 80.00.00.programmas, LVL" summa, samazinot nepieciešamo papildu budžetu par 5 884 latiem, kuri finansējuma saņēmējiem jāfinansē no privātiem resursiem.                                                                        Apakšaktivitātes ietvaros pirmās projektu iesniegumu atlases kārtas spēkā esošo un izpildīto ieviešanas līgumu attiecināmais ES fondu finansējums uz 22.01.2013. ir 33 392 077 lati, proti, par 25 769 latiem mazāks nekā noteikts DP. Sastādot mērķa prognozi 2013.-2015.gadam, ņemtas vērā prognozes neatbilstībām 2013. - 2015.gada ietvaros, kā arī neatbilstoši veiktie izdevumi periodā no 2012.gada 9.maija līdz 2012.gada 31.decembrim.</t>
  </si>
  <si>
    <t>sastādot ikmēneša maksājumu Eiropas Savienības fondu finansējuma saņēmējiem prognozes, vidēji 10% apmērā noteikta maksājuma pieprasījumu neizpilde pret līgumos plānotajiem maksājumu pieprasījumiem, kā arī atliktās jeb neapstiprinātās izmaksas un neattiecināmo izmaksu jeb neatbilstību prognoze.</t>
  </si>
  <si>
    <t>Apakšaktivitātes ietvaros spēkā esošo un izpildīto ieviešanas līgumu attiecināmais ES fondu finansējums uz 22.01.2013. ir 7 335 152.94 lati, proti, par 469 451.06 latiem mazāks nekā noteikts DP. Sastādot mērķa prognozi 2013.-2015.gadam, ņemtas vērā prognozes neatbilstībām 2013. - 2015.gada ietvaros, kā arī neatbilstoši veiktie izdevumi periodā no 2012.gada 9.maija līdz 2012.gada 31.decembrim.</t>
  </si>
  <si>
    <t>sastādot ikmēneša maksājumu Eiropas Savienības fondu finansējuma saņēmējiem prognozes, vidēji 5% apmērā noteikta maksājuma pieprasījumu neizpilde pret līgumos plānotajiem maksājumu pieprasījumiem un neattiecināmo izmaksu jeb neatbilstību prognoze.</t>
  </si>
  <si>
    <t>Apakšaktivitātes ietvaros spēkā esošo un izpildīto ieviešanas līgumu attiecināmais ES fondu finansējums uz 22.01.2013. ir 34 672 261 lati, proti, par 22 921 latiem mazāks nekā noteikts DP. Sastādot mērķa prognozi 2013.-2015.gadam, ņemtas vērā prognozes neatbilstībām 2013. - 2015.gada ietvaros, kā arī neatbilstoši veiktie izdevumi periodā no 2012.gada 9.maija līdz 2012.gada 31.decembrim.</t>
  </si>
  <si>
    <t>sastādot ikmēneša maksājumu Eiropas Savienības fondu finansējuma saņēmējiem prognozes, vidēji 20% apmērā noteikta maksājuma pieprasījumu neizpilde pret līgumos plānotajiem maksājumu pieprasījumiem, kā arī atliktās jeb neapstiprinātās izmaksas un neattiecināmo izmaksu jeb neatbilstību prognoze.</t>
  </si>
  <si>
    <t>Ņemot vērā līdzšinējo maksājumu pieprasījumu faktisko iesnieguma apmēru pret plānoto, kā arī apstiprināto un neapstiprināto izmaksu īpatsvaru, mērķis maksājumiem ir noteikts par 55 713 latiem mazāks par apstiprināto DP summu. Sastādot mērķa prognozi 2013.-2015.gadam, ņemtas vērā prognozes neatbilstībām 2013. - 2015.gada ietvaros, kā arī neatbilstoši veiktie izdevumi periodā no 2012.gada 9.maija līdz 2012.gada 31.decembrim.</t>
  </si>
  <si>
    <t>sastādot ikmēneša maksājumu Eiropas Savienības fondu finansējuma saņēmējiem prognozes, vidēji 25% apmērā noteikta maksājuma pieprasījumu neizpilde pret līgumos plānotajiem maksājumu pieprasījumiem, kā arī atliktās jeb neapstiprinātās izmaksas un neattiecināmo izmaksu jeb neatbilstību prognoze.</t>
  </si>
  <si>
    <t>Apakšaktivitātes ietvaros spēkā esošo un izpildīto ieviešanas līgumu attiecināmais ES fondu finansējums uz 22.01.2013. ir 5 358 780.58 lati, proti, par 66 253.42 latiem mazāks nekā noteikts DP. Sastādot mērķa prognozi 2013.-2015.gadam, ņemtas vērā prognozes neatbilstībām 2013. - 2015.gada ietvaros, kā arī neatbilstoši veiktie izdevumi periodā no 2012.gada 9.maija līdz 2012.gada 31.decembrim.</t>
  </si>
  <si>
    <t>sastādot ikmēneša maksājumu Eiropas Savienības fondu finansējuma saņēmējiem prognozes, vidēji 30% apmērā noteikta maksājuma pieprasījumu neizpilde pret līgumos plānotajiem maksājumu pieprasījumiem, kā arī atliktās jeb neapstiprinātās izmaksas un neattiecināmo izmaksu jeb neatbilstību prognoze.</t>
  </si>
  <si>
    <t>Apakšaktivitātes ietvaros spēkā esošo un izpildīto ieviešanas līgumu attiecināmais ES fondu finansējums uz 22.01.2013. ir 10 298 461.32 lati (tajā skaitā, virssaistību  ES fondu daļa - 447 646 lati), proti, par 320 058.68 latiem mazāks nekā noteikts DP. Sastādot mērķa prognozi 2013.-2015.gadam, ņemtas vērā prognozes neatbilstībām 2013. - 2015.gada ietvaros, kā arī neatbilstoši veiktie izdevumi periodā no 2012.gada 9.maija līdz 2012.gada 31.decembrim.</t>
  </si>
  <si>
    <t>sastādot ikmēneša maksājumu Eiropas Savienības fondu finansējuma saņēmējiem prognozes, vidēji 15% apmērā noteikta maksājuma pieprasījumu neizpilde pret līgumos plānotajiem maksājumu pieprasījumiem, kā arī atliktās jeb neapstiprinātās izmaksas un neattiecināmo izmaksu jeb neatbilstību prognoze.</t>
  </si>
  <si>
    <t>Apakšaktivitātes ietvaros spēkā esošo un izpildīto ieviešanas līgumu attiecināmais ES fondu finansējums uz 22.01.2013. ir 25 177 695 lati (tajā skaitā, virssaistību ES fondu daļa - 3 221 925 lati), proti, par 1 057 latiem mazāks nekā noteikts DP. Sastādot mērķa prognozi 2013.-2015.gadam, ņemtas vērā prognozes neatbilstībām 2013. - 2015.gada ietvaros, kā arī neatbilstoši veiktie izdevumi periodā no 2012.gada 9.maija līdz 2012.gada 31.decembrim.</t>
  </si>
  <si>
    <t>Apakšaktivitātes ietvaros īstenotie projekti pabeigti un izpildīto vienošanās attiecināmais ES fondu finansējums uz 22.01.2013. ir 4 146 997.76 lati, proti, par 56766.24 latiem mazāks nekā noteikts DP. Ņemti vērā neatbilstoši veiktie izdevumi periodā no 2012.gada 9.maija līdz 2012.gada 31.decembrim.</t>
  </si>
  <si>
    <t xml:space="preserve">Apakšaktivitātes ietvaros īstenotie projekti pabeigti un izpildīto vienošanās attiecināmais ES fondu finansējums uz 22.01.2013. ir 9 112 797.55 lati, proti, par 352 744.45 latiem mazāks nekā noteikts DP. </t>
  </si>
  <si>
    <t>Apakšaktivitātes ietvaros spēkā esošo un izpildīto ieviešanas līgumu attiecināmais ES fondu finansējums uz 22.01.2013. ir 3 323 987.51 lati, proti, par 10 955.49 latiem mazāks nekā noteikts DP. Sastādot mērķa prognozi 2013.-2015.gadam, ņemtas vērā prognozes neatbilstībām 2013. - 2015.gada ietvaros, kā arī neatbilstoši veiktie izdevumi periodā no 2012.gada 9.maija līdz 2012.gada 31.decembrim.</t>
  </si>
  <si>
    <t>45 236 latu novirze pret apstiprināto DP summu ir atliktie, uz šo brīdi neapstiprinātie izdevumi.</t>
  </si>
  <si>
    <t>Mērķis noteikts, pieņemot, ka vienošanās par virssaistību īstenošanu tiks noslēgta 2013.gada III ceturksnī un ka noteiktās virssaistības 1 781 261 latu apmērā ir 100% ES fondu finansējums</t>
  </si>
  <si>
    <t>Apakšaktivitātes ietvaros spēkā esošo un izpildīto ieviešanas līgumu attiecināmais ES fondu finansējums uz 22.01.2013. ir 5 677 268.43 lati, proti, par 227 524.57 latiem mazāks nekā noteikts DP. Sastādot mērķa prognozi 2013.-2015.gadam, ņemtas vērā prognozes neatbilstībām 2013. - 2015.gada ietvaros, kā arī neatbilstoši veiktie izdevumi periodā no 2012.gada 9.maija līdz 2012.gada 31.decembrim.</t>
  </si>
  <si>
    <t>Neatbilstību apjoms ir indikatīvs un noteikts, balstoties uz līdzšinējo procentu par neatbilstību apmēru aktivitātē un izvērtējot neatbilstību saturu, t.i., vai līdzšinējās neatbilstības ir "vienreizēji gadījumi, vai turpināsies arī uz priekšu. Prognozē iekļauti tikai tie gadījumus, kas, iespējams, turpināsies.</t>
  </si>
  <si>
    <t>Prognozes sastādīšanā ņemts vērā, ka projekta līguma grozījumi par virssaistību finansējumu un ieviešanas termiņa pagarinājumu tiks veikti 2013.gada II ceturksnī.
Kopējā pēc 08.05.2012. neatbilstoši veikto izmaksu summa prognozēta 58 633 LVL apmērā.</t>
  </si>
  <si>
    <t>Kopējā pēc 08.05.2012. neatbilstoši veikto izmaksu summa prognozēta 7 469 LVL apmērā.</t>
  </si>
  <si>
    <t>Kopējā pēc 08.05.2012. neatbilstoši veikto izmaksu summa prognozēta 492 LVL apmērā.</t>
  </si>
  <si>
    <t>Kopējā pēc 08.05.2012. neatbilstoši veikto izmaksu summa prognozēta 165 LVL apmērā.</t>
  </si>
  <si>
    <t>Kopējā pēc 08.05.2012. neatbilstoši veikto izmaksu summa prognozēta 25 165 LVL apmērā.</t>
  </si>
  <si>
    <t>Kopējā pēc 08.05.2012. neatbilstoši veikto izmaksu summa prognozēta 53 LVL apmērā.</t>
  </si>
  <si>
    <t>Neatbilstību apjoms ir indikatīvs un noteikts balstoties uz līdzšinējo procentu par neatbilstību apmēru aktivitātē un izvērtējot neatbilstību saturu, t.i., vai līdzšinējās neatbilstības ir "vienreizēji gadījumi, vai turpināsies arī uz priekšu (prognozē iekļaujot tikai tos gadījumus, kas , iespējams, turpināsies).</t>
  </si>
  <si>
    <t>Prognozes sastādīšanā ņemts vērā, ka projekta līguma grozījumi par virssaistību finansējumu un ieviešanas termiņa pagarinājumu tiks veikti 2013.gada I ceturksnī.
Kopējā pēc 08.05.2012. neatbilstoši veikto izmaksu summa prognozēta 365 LVL apmērā.</t>
  </si>
  <si>
    <t>Prognozes sastādīšanā ņemts vērā, ka projekta līguma grozījumi par virssaistību finansējumu un ieviešanas termiņa pagarinājumu tiks veikti 2013.gada I ceurksnī.
Kopējā pēc 08.05.2012. neatbilstoši veikto izmaksu summa prognozēta 3 671 LVL apmērā.</t>
  </si>
  <si>
    <t>Kopējā pēc 08.05.2012. neatbilstoši veikto izmaksu summa prognozēta 353 LVL apmērā.</t>
  </si>
  <si>
    <t>Kopējā pēc 08.05.2012. neatbilstoši veikto izmaksu summa prognozēta 906 LVL apmērā.</t>
  </si>
  <si>
    <t>Kopējā pēc 08.05.2012. neatbilstoši veikto izmaksu summa prognozēta 5 382 LVL apmērā.
Līgumu laušana ir maz iespējama, tāpēc tās apjoms netiek prognozēts.</t>
  </si>
  <si>
    <t>No aktivitātes īstenošanas sākuma  lauzto līgumu kopsumma sastāda 0.25% no visu noslēgto līgumu kopsummas. Tāpat 0,9 % neartbilstības pret 2012.gadā izmaksāto</t>
  </si>
  <si>
    <t>Mērķu aprēķins balstīts uz  finansējuma saņēmēju sniegtajām prognozēm par plānotajiem starpposma un noslēguma maksājuma pieprasījumiem, ņemot vērā līgumu termiņus – visu apakšaktivitātes līgumu īstenošana tiek pabeigta 2013.gadā. Projekta Nr.3DP/3.2.1.3.1/10/APIA/CFLA/064 ietvaros (līguma beigu termiņš 14.08.) ir konstatētas problēmas ar iepirkumiem, tāpēc ir iespējama nobīde atmaksu prognozē. Plānotā atmaksa samazināta par iespējamo neatbilstības apmēru (paskaidrojumu neatbilstību aprēķinam lūdzu skatīt Komentāru sadaļā).
Informējam, ka mērķi nesakrīt ar Satiksmes ministrija iepriekš sniegtajām prognozēm par valsts budžeta vajadzībām 2013.-2015.gadam (tika norādīs, ka kopējā nepieciešamība ir LVL 619 381 (ERAF līdzfinansējums un valsts budžeta līdzfinansējums)) sakarā ar to, ka gatavojot informāciju "Nepieciešamais finansējums 1.mērķa ES SF un KF īstenošanai 2013.-2015. gadā aktivitāšu dalījumā", tika izmantoti dati uz 2012.gada novembri. Ņemot vērā to, ka 2012.gada beigās daļa maksājuma pieprasījumu tika iesniegti un izskatīti ātrāk, janvārī plānotā atmaksa tika veikta jau 2012.gada decembrī, attiecīgi ir samazinājusies 2013.gada valsts budžeta līdzekļu vajadzība.</t>
  </si>
  <si>
    <t>Mērķu aprēķins balstīts uz finansējuma saņēmēju sniegtajām prognozēm par plānotajiem maksājuma pieprasījumiem (turpmāk – MP), piemērojot līdzšinējo pieredzi projektu īstenošanā, t.i., projekta īstenotājs noslēgtā līguma ietvaros pēc projektā noteikto aktivitāšu īstenošanas iesniedz tikai vienu MP, kas ir arī kā noslēguma MP. 
Pašlaik apakšaktivitātes ietvaros tiek īstenoti 7 projekti, t.sk., 5 projekti ar līgumu beigu termiņu – 13.02.2013. un divi projekti ar līgumu beigu termiņu – 13.05.2015.
2013.gada mērķu apguvē iekļauti maksājumi trīs projektu ietvaros (Nr.3DP/3.2.1.3.2/10/IPIA/CFLA/001, Nr.3DP/3.2.1.3.2/10/IPIA/CFLA/003 un Nr.3DP/3.2.1.3.2/10/IPIA/CFLA/005).
Projektu Nr.3DP/3.2.1.3.2/10/IPIA/CFLA/004/004 un Nr.3DP/3.2.1.3.2/10/IPIA/CFLA/007/007 ietvaros (līgumu beigu termiņš – 13.02.2013.) plānots ierosināt līguma grozījumus par projekta īstenošanas termiņa pagarinājumu līdz 2014.gada februārim, līdz ar to plānotā atmaksa pārcelta uz 2014.gadu.
Projekta Nr.3DP/3.2.1.3.2/12/IPIA/CFLA/001 un Nr.3DP/3.2.1.3.2/12/IPIA/CFLA/002 īstenošanas termiņš ir 13.05.2015., projekta īstenotājs prognozēs uzrāda, ka katru īstenošanas gadu tiks iesniegts MP, kopā trīs maksājuma pieprasījumi, tomēr kā minējām iepriekš, ka esam izvērtējuši līdzšinējo projektu īstenošanas vēsturi un tā kā līdz šim katra projekta ietvaros prognozes tika uzrādītas identiskas, t.i. katru projekta īstenošanas gadu plāno iesniegt pa vienam maksājuma pieprasījumam (kur kopējā līguma summa ir identiski sadalīta atbilstoši īstenošanas termiņam), bet MP tiek iesniegts tikai viens, kā noslēguma, tad šiem projektiem atmaksas tiek plānotas 2014. un 2015.gadā.</t>
  </si>
  <si>
    <t>Sastādot ikmēneša maksājumu Eiropas Savienības fondu finansējuma saņēmējiem, vidēji 15% apmērā noteikta maksājuma pieprasījumu neizpilde pret līgumos plānotajiem maksājumu pieprasījumiem, kā arī neattiecināmo izmaksu (neatbilstību) prognoze 0.56 % apmērā</t>
  </si>
  <si>
    <t>Sastādot ikmēneša maksājumu Eiropas Savienības fondu finansējuma saņēmējiem, vidēji 18% apmērā noteikta maksājuma pieprasījumu neizpilde pret līgumos plānotajiem maksājumu pieprasījumiem, kā arī neattiecināmo izmaksu (neatbilstību) prognoze 1,48 % apmērā</t>
  </si>
  <si>
    <t>Plānojot AI mērķi finansējuma saņēmējiem 2013.gadam ir ievērots Saprašanās memorandā noteiktais, ka līdz 2013.gada beigām ir jāveic maksājumi finansējuma saņēmējiem 45,68 milj.LVL apmērā. Vienlaikus AI, izvērtējot līdzšinējo aktivitātes ieviešanas gaitu, ir identificējusi risksu, ka minētais Saprašanās memoranda mērķis var netikt sasniegt noteiktajā termiņā par ~2 milj. LVL. 
Sastādot ikmēneša maksājumu Eiropas Savienības fondu finansējuma saņēmējiem vidēji 20% apmērā noteikta maksājuma pieprasījumu neizpilde pret līgumos plānotajiem maksājumu pieprasījumiem un neattiecināmo izmaksu prognoze 0,5 % apmērā.</t>
  </si>
  <si>
    <t xml:space="preserve">Sastādot ikmēneša maksājumu Eiropas Savienības fondu finansējuma saņēmējiem prognozes, vidēji 20% apmērā noteikta maksājuma pieprasījumu neizpilde pret vienošanās plānotajiem maksājumu pieprasījumiem. </t>
  </si>
  <si>
    <t>Plānojot maksājumus FS 2.kārtas projektiem, pirmie maksājumi tiek noteikti 2014.gada 2.ceturksnī, ņemot vērā maksājumu pieprasījumos iekļautos pārskata periodus, to sagatavošanai un apstiprināšanai nepieciešamo laiku. Avansa maksājumi AI mērķi netiek iekļauti, ņemot vērā līdzšinējo pieredzi ar bankas garantiju saņemšanu. 
 Neatbilstību prognoze 0.56 % apmērā</t>
  </si>
  <si>
    <t>Neattiecināmās izmaksas plānotas 1.06 % apmērā</t>
  </si>
  <si>
    <t xml:space="preserve">Neattiecināmās izmaksas plānotas 0.5 % apmērā. 
</t>
  </si>
  <si>
    <t>Neatbilstību prognoze 0.65 % apmērā</t>
  </si>
  <si>
    <t xml:space="preserve">Neattiecināmās izmaksas plānotas 0.5 % apmērā.
</t>
  </si>
  <si>
    <t xml:space="preserve">Aktivitātes ietvaros spēkā esošo līgumu attiecināmais ES fondu finansējums uz 22.01.2013. ir 4 139 715 lati, proti, par 226 845 latiem mazāks nekā noteikts DP. </t>
  </si>
  <si>
    <t xml:space="preserve">Aktivitātes ietvaros spēkā esošo līgumu attiecināmais ES fondu finansējums uz 25.01.2013. ir 86 826 494 lati, proti, par 15 869 741 latiem mazāks nekā noteikts DP. </t>
  </si>
  <si>
    <r>
      <t>Tabulas Nr.3</t>
    </r>
    <r>
      <rPr>
        <b/>
        <sz val="12"/>
        <color indexed="10"/>
        <rFont val="Times New Roman"/>
        <family val="1"/>
        <charset val="186"/>
      </rPr>
      <t xml:space="preserve"> </t>
    </r>
    <r>
      <rPr>
        <b/>
        <sz val="12"/>
        <color indexed="8"/>
        <rFont val="Times New Roman"/>
        <family val="1"/>
        <charset val="186"/>
      </rPr>
      <t>2009.-2014.gada perioda EEZ/Norvēģijas finanšu instrumentu finansējuma apguve 2013.gadā un indikatīvi līdz 2017.gadam (LVL)</t>
    </r>
  </si>
  <si>
    <t>Mērķu aprēķins balstīts uz  finansējuma saņēmēju sniegtajām prognozēm par plānotajiem maksājuma pieprasījumiem, piemērojot līdzšinējo pieredzi projektu īstenošanā, t.i., izvērtējot finansējuma saņēmēju sniegto prognožu atbilstību faktiski iesniegto maksājuma pieprasījumu apjomiem un faktiskajiem iesniegšanas termiņiem, projektos konstatēto neatbilstību apjomus un MK noteikumos noteikto aktivitāšu ieviešanas termiņu, kā arī ņemot vērā MK noteikumos Nr.1041  noteikto  maksājuma pieprasījumu izskatīšanas termiņu (20 d.d.), aprēķinos ņemts vērā projektos piešķirtais papildu finansējums.</t>
  </si>
  <si>
    <t>Mērķu aprēķins balstīts uz  finansējuma saņēmēju sniegtajām prognozēm par plānotajiem maksājuma pieprasījumiem, piemērojot līdzšinējo pieredzi projektu īstenošanā, t.i., izvērtējot finansējuma saņēmēju sniegto prognožu atbilstību faktiski iesniegto maksājuma pieprasījumu apjomiem un faktiskajiem iesniegšanas termiņiem, projektos konstatēto neatbilstību apjomus un MK noteikumos noteikto aktivitāšu ieviešanas termiņu, kā arī ņemot vērā MK noteikumos Nr.1041  noteikto  maksājuma pieprasījumu izskatīšanas termiņu (20 d.d.).</t>
  </si>
  <si>
    <t>Mērķu aprēķins balstīts uz  finansējuma saņēmēju sniegtajām prognozēm par plānotajiem maksājuma pieprasījumiem, piemērojot līdzšinējo pieredzi projektu īstenošanā, t.i., izvērtējot finansējuma saņēmēju sniegto prognožu atbilstību faktiski iesniegto maksājuma pieprasījumu apjomiem un faktiskajiem iesniegšanas termiņiem, projektos konstatēto neatbilstību apjomus un MK noteikumos noteikto aktivitāšu ieviešanas termiņu, kā arī ņemot vērā MK noteikumos Nr.1041  noteikto  maksājuma pieprasījumu izskatīšanas termiņu (20 d.d.) un to, ka  2013.gada  31.decembrī tiks pabeigta  apakšaktivitātes ietvaros noslēgto projektu īstenošana un gala maksājumi tiks veikti 2014.gada 1.ceturksnī, un tā uz mērķu sagatavošanas brīdi projektu ietvaros nav konstatēti  neatbilstoši veiktie izdevumi, tiek pieņemts, ka projektos apstiprinātais finansējums tiks apgūts 100%.</t>
  </si>
  <si>
    <t>n/a</t>
  </si>
  <si>
    <t>Mērķu aprēķins balstīts uz  finansējuma saņēmēju sniegtajām prognozēm par plānotajiem maksājuma pieprasījumiem, piemērojot līdzšinējo pieredzi projektu īstenošanā, t.i., izvērtējot finansējuma saņēmēju sniegto prognožu atbilstību faktiski iesniegto maksājuma pieprasījumu apjomiem un faktiskajiem iesniegšanas termiņiem, projektos konstatēto neatbilstību apjomus un MK noteikumos noteikto aktivitāšu ieviešanas termiņu, kā arī ņemot vērā MK noteikumos Nr.1041  noteikto  maksājuma pieprasījumu izskatīšanas termiņu (20 d.d.) un to, ka  2013.gada  31.decembrī tiks pabeigta  apakšaktivitātes ietvaros noslēgto projektu īstenošana un gala maksājumi tiks veikti 2014.gada 1.ceturksnī, un tā kā uz mērķu sagatavošanas brīdi projektu ietvaros nav konstatēti  neatbilstoši veiktie izdevumi, tiek pieņemts, ka projektos apstiprinātais finansējums tiks apgūts 100%.</t>
  </si>
  <si>
    <t>09.01.2013. veikti līguma grozījumi projektam 1DP/1.5.1.2.0/08/IPIA/SIF/002 (Vides aizsardzības un reģionālās attīstības ministrija), kopējā līguma summa samazināta par  LVL 45009,65 (t.sk. ESF LVL 38258,20), kas bija sākotnēji projektā plānotie neparedzētie izdevumi</t>
  </si>
  <si>
    <t>15.01.2013. grozīti apakšaktivitātes MK not. Nr.963, palielinot ESF finansējumu līdz LVL 2259767,00. Papildus finansējums, kas tiks prasīts 2013.gadā no 80.programmas, ir LVL 60 000, kas pilnībā nesegs plānoto maksājumu apjomu, bet tā kā apakšaktivitātē 1.5.2.2.1. pēc finansējumu saņēmēju iesniegtajām izdevumu prognozēm paredzams līdzekļu atlikums, tas tiks pārvirzīts 1.5.2.2.2. maksājumu veikšanai veicot pārdali starp šīm apakšaktivitātēm.</t>
  </si>
  <si>
    <t>Plānots, ka netiks apgūti apakšaktivitātei paredzētie līdzekļi vismaz LVL 70000 apmērā, jo noslēgušās visas paredzētās APIA atlases, noslēgtas vienošanās ar visiem projektiem, kuri vērtēšanā ieguva atbilstošu punktu skaitu. Daļēja līdzekļu pārdale notikusi uz apakšaktivitāti 1.5.2.2.2., ļaujot noslēgt papildus līgumus, kas finansējuma nepietiekamības dēļ iepriekš noraidīti. Atrisinot jautājumu par līdzfinansējuma nodrošināšanu, būtu iespējams arī par šo atlikumu slēgt papildus līgumus 1.5.2.2.2. apakšaktivitātē.</t>
  </si>
  <si>
    <t>Virssaistības paredzētas 2.3.2.2.2. aktivitātē, lai būtu iespējams uzsākt aktivitātes ieviešanu un noslēgt līgumus. Plānots, ka papildu budžeta līdzekļi tām nebūs nepieciešami, jo paredzams, ka 2.3.2.2. (ĪAT) aktivitātes finansējums un līdz ar to budžeta līdzekļi netiks izmantoti pilnā apmērā. Plānots pārdalīt no 2.3.2.2. aktivit. finansējumu 6 615 525,12 Ls</t>
  </si>
  <si>
    <t>* Aktivitātes 1.3.1.5. maksājumu mērķi un kopējais finansējums norādīts ieskaitot arī aktivitātes 1.kārtas virssaistības 7 163 639 LVL, kas piešķirtas saskaņā ar 06.09.2011. grozījumiem (MK Nr.695) Ministru kabineta 2009.gada 14.jūlija noteikumos Nr.774</t>
  </si>
  <si>
    <t>Starpība starp pieejamo finansējumu virssaistībām un mērķa prognozi 5 256 618,00 LVL apmērā ir virssaistību finansējums, kas ir valsts budžeta daļa.</t>
  </si>
  <si>
    <t>Ieviesējinstitūcijas mērķis maksājumiem / investīcijām / garantijām, 2013.gadam LVL</t>
  </si>
  <si>
    <t>1.ceturksnis</t>
  </si>
  <si>
    <t>2.ceturksnis</t>
  </si>
  <si>
    <t>3.ceturksnis</t>
  </si>
  <si>
    <t>jaunie riska kapitāla fondi</t>
  </si>
  <si>
    <t>sēklas kapitāla finansējums akseleratoru beidzējiem</t>
  </si>
  <si>
    <t>mikroaizdevumi</t>
  </si>
  <si>
    <t>Finanšu instrumentiem nepiesaistītā summa*****</t>
  </si>
  <si>
    <t>*****indikatīvs aprēķins, regulāri jāpārskata</t>
  </si>
  <si>
    <r>
      <rPr>
        <b/>
        <sz val="15.5"/>
        <color theme="1"/>
        <rFont val="Times New Roman"/>
        <family val="1"/>
        <charset val="186"/>
      </rPr>
      <t>2015.gadā iekļautas 2016.gada 1.ceturksnī plānotās atmaksas 
LVL 236 933 apmērā.</t>
    </r>
    <r>
      <rPr>
        <sz val="15.5"/>
        <color theme="1"/>
        <rFont val="Times New Roman"/>
        <family val="1"/>
        <charset val="186"/>
      </rPr>
      <t xml:space="preserve">
Nosakot plānoto lauzto līgumu un neatbilstību apjomu, tika veiktas šādas darbības:
1)           Aktivitātes ietvaros aprēķināts procentuāli, kāds ir konstatēto neatbilstību apjoms visā 2007.-2013.gada plānošanas periodā, salīdzinājumā ar kopējiem veiktajiem maksājumiem, t.i.: Konstatētās neatbilstības līdz 31.12.2012., % = kopējās konstatētās neatbilstības līdz 31.12.2012., LVL / kopējie veiktie maksājumi līdz 31.12.2012., LVL.
2)           Aktivitātes ietvaros aprēķināts procentuāli, kāds ir konstatēto neatbilstību apjoms 2012.gadā, salīdzinājumā ar veiktajiem maksājumiem 2012.gadā, t.i.: Konstatētās neatbilstības 2012.gadā, % = kopējās konstatētās neatbilstības 2012.gadā, LVL / kopējie veiktie maksājumi 2012.gadā, LVL.
Lai mērķu tabulā noteiktu plānoto lauzto līgumu un neatbilstību apjomu, tika aprēķināts vidējais procentuālais rādītājs, kas iegūts, piemērojot iepriekš minētās formulas, un iegūtais procents piemērots plānotajiem maksājumiem apakš/aktivitātes ietvaros.</t>
    </r>
  </si>
  <si>
    <r>
      <rPr>
        <b/>
        <sz val="15.5"/>
        <color theme="1"/>
        <rFont val="Times New Roman"/>
        <family val="1"/>
        <charset val="186"/>
      </rPr>
      <t>2015.gadā iekļautas 2016.gada 1.ceturksnī plānotās atmaksas 
LVL 777 685 apmērā.</t>
    </r>
    <r>
      <rPr>
        <sz val="15.5"/>
        <color theme="1"/>
        <rFont val="Times New Roman"/>
        <family val="1"/>
        <charset val="186"/>
      </rPr>
      <t xml:space="preserve">
Nosakot plānoto lauzto līgumu un neatbilstību apjomu, tika veiktas šādas darbības:
1)            Aktivitātes ietvaros aprēķināts procentuāli, kāds ir konstatēto neatbilstību apjoms visā 2007.-2013.gada plānošanas periodā, salīdzinājumā ar kopējiem veiktajiem maksājumiem, t.i.: Konstatētās neatbilstības līdz 31.12.2012., % = kopējās konstatētās neatbilstības līdz 31.12.2012., LVL / kopējie veiktie maksājumi līdz 31.12.2012., LVL.
2)           Aktivitātes ietvaros aprēķināts procentuāli, kāds ir konstatēto neatbilstību apjoms 2012.gadā, salīdzinājumā ar veiktajiem maksājumiem 2012.gadā, t.i.: Konstatētās neatbilstības 2012.gadā, % = kopējās konstatētās neatbilstības 2012.gadā, LVL / kopējie veiktie maksājumi 2012.gadā, LVL.
Lai mērķu tabulā noteiktu plānoto lauzto līgumu un neatbilstību apjomu, tika aprēķināts vidējais procentuālais rādītājs, kas iegūts, piemērojot iepriekš minētās formulas, un iegūtais procents piemērots plānotajiem maksājumiem apakš/aktivitātes ietvaros.</t>
    </r>
  </si>
  <si>
    <r>
      <rPr>
        <b/>
        <sz val="15.5"/>
        <color theme="1"/>
        <rFont val="Times New Roman"/>
        <family val="1"/>
        <charset val="186"/>
      </rPr>
      <t>2015.gadā iekļautas 2016.gada 1.ceturksnī plānotās atmaksas 
LVL 1 714 750 apmērā.</t>
    </r>
    <r>
      <rPr>
        <sz val="15.5"/>
        <color theme="1"/>
        <rFont val="Times New Roman"/>
        <family val="1"/>
        <charset val="186"/>
      </rPr>
      <t xml:space="preserve">
Nosakot plānoto lauzto līgumu un neatbilstību apjomu, tika veiktas šādas darbības:
1)              Aktivitātes ietvaros aprēķināts procentuāli, kāds ir konstatēto neatbilstību apjoms visā 2007.-2013.gada plānošanas periodā, salīdzinājumā ar kopējiem veiktajiem maksājumiem, t.i.: Konstatētās neatbilstības līdz 31.12.2012., % = kopējās konstatētās neatbilstības līdz 31.12.2012., LVL / kopējie veiktie maksājumi līdz 31.12.2012., LVL.
2)           Aktivitātes ietvaros aprēķināts procentuāli, kāds ir konstatēto neatbilstību apjoms 2012.gadā, salīdzinājumā ar veiktajiem maksājumiem 2012.gadā, t.i.: Konstatētās neatbilstības 2012.gadā, % = kopējās konstatētās neatbilstības 2012.gadā, LVL / kopējie veiktie maksājumi 2012.gadā, LVL.
Lai mērķu tabulā noteiktu plānoto lauzto līgumu un neatbilstību apjomu, tika aprēķināts vidējais procentuālais rādītājs, kas iegūts, piemērojot iepriekš minētās formulas, un iegūtais procents piemērots plānotajiem maksājumiem apakš/aktivitātes ietvaros.</t>
    </r>
  </si>
  <si>
    <r>
      <rPr>
        <b/>
        <sz val="15.5"/>
        <color theme="1"/>
        <rFont val="Times New Roman"/>
        <family val="1"/>
        <charset val="186"/>
      </rPr>
      <t>2015.gadā iekļautas 2016.gada 1.ceturksnī plānotās atmaksas  
LVL 465 874 apmērā.</t>
    </r>
    <r>
      <rPr>
        <sz val="15.5"/>
        <color theme="1"/>
        <rFont val="Times New Roman"/>
        <family val="1"/>
        <charset val="186"/>
      </rPr>
      <t xml:space="preserve">
Nosakot plānoto lauzto līgumu un neatbilstību apjomu, tika veiktas šādas darbības:
1)             Aktivitātes ietvaros aprēķināts procentuāli, kāds ir konstatēto neatbilstību apjoms visā 2007.-2013.gada plānošanas periodā, salīdzinājumā ar kopējiem veiktajiem maksājumiem, t.i.: Konstatētās neatbilstības līdz 31.12.2012., % = kopējās konstatētās neatbilstības līdz 31.12.2012., LVL / kopējie veiktie maksājumi līdz 31.12.2012., LVL.
2)           Aktivitātes ietvaros aprēķināts procentuāli, kāds ir konstatēto neatbilstību apjoms 2012.gadā, salīdzinājumā ar veiktajiem maksājumiem 2012.gadā, t.i.: Konstatētās neatbilstības 2012.gadā, % = kopējās konstatētās neatbilstības 2012.gadā, LVL / kopējie veiktie maksājumi 2012.gadā, LVL.
Lai mērķu tabulā noteiktu plānoto lauzto līgumu un neatbilstību apjomu, tika aprēķināts vidējais procentuālais rādītājs, kas iegūts, piemērojot iepriekš minētās formulas, un iegūtais procents piemērots plānotajiem maksājumiem apakš/aktivitātes ietvaros.</t>
    </r>
  </si>
  <si>
    <t>Finanšu ministrs</t>
  </si>
  <si>
    <t>A.Vilks</t>
  </si>
  <si>
    <t>S.Laugale-Volbaka</t>
  </si>
  <si>
    <t>67083964; Sintija.Laugale-Volbaka@fm.gov.lv</t>
  </si>
  <si>
    <t>D.Atkauķe</t>
  </si>
  <si>
    <t>67095422; Diana.Atkauķe@fm.gov.lv</t>
  </si>
  <si>
    <t>Mērķi maksājumiem finansējuma saņēmējiem</t>
  </si>
  <si>
    <t>Tabula Nr.2. Ieviesējinstitūciju mērķis maksājumiem / investīcijām / garantijām ES fondu finanšu instrumentu ietvaros (LVL)</t>
  </si>
  <si>
    <t>Neizpilde uz 31.12.2012.</t>
  </si>
  <si>
    <t>27.02.2013.</t>
  </si>
  <si>
    <t>AI mērķis maksājumiem FS 2013. g.</t>
  </si>
  <si>
    <t>2013.g.</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</si>
</sst>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3" formatCode="_-* #,##0.00_-;\-* #,##0.00_-;_-* &quot;-&quot;??_-;_-@_-"/>
    <numFmt numFmtId="164" formatCode="_-&quot;£&quot;* #,##0.00_-;\-&quot;£&quot;* #,##0.00_-;_-&quot;£&quot;* &quot;-&quot;??_-;_-@_-"/>
    <numFmt numFmtId="165" formatCode="0.0"/>
    <numFmt numFmtId="166" formatCode="________@"/>
    <numFmt numFmtId="167" formatCode="____________@"/>
    <numFmt numFmtId="168" formatCode="________________@"/>
    <numFmt numFmtId="169" formatCode="____________________@"/>
    <numFmt numFmtId="170" formatCode="0.000"/>
    <numFmt numFmtId="171" formatCode="_-* #,##0_-;\-* #,##0_-;_-* &quot;-&quot;??_-;_-@_-"/>
    <numFmt numFmtId="172" formatCode="#,##0;\(#,##0\)"/>
    <numFmt numFmtId="173" formatCode="#,##0_ ;\-#,##0\ "/>
    <numFmt numFmtId="174" formatCode="0.0%"/>
    <numFmt numFmtId="175" formatCode="[$-1010426]#,##0.00;\-#,##0.00"/>
  </numFmts>
  <fonts count="189">
    <font>
      <sz val="12"/>
      <color theme="1"/>
      <name val="Times New Roman"/>
      <family val="2"/>
      <charset val="186"/>
    </font>
    <font>
      <sz val="12"/>
      <color theme="1"/>
      <name val="Times New Roman"/>
      <family val="2"/>
      <charset val="186"/>
    </font>
    <font>
      <sz val="11"/>
      <color theme="1"/>
      <name val="Calibri"/>
      <family val="2"/>
      <charset val="186"/>
      <scheme val="minor"/>
    </font>
    <font>
      <b/>
      <sz val="10"/>
      <name val="Times New Roman"/>
      <family val="1"/>
      <charset val="186"/>
    </font>
    <font>
      <sz val="10"/>
      <name val="Times New Roman"/>
      <family val="1"/>
      <charset val="186"/>
    </font>
    <font>
      <b/>
      <i/>
      <sz val="10"/>
      <name val="Times New Roman"/>
      <family val="1"/>
      <charset val="186"/>
    </font>
    <font>
      <sz val="12"/>
      <name val="Times New Roman"/>
      <family val="1"/>
      <charset val="186"/>
    </font>
    <font>
      <sz val="11"/>
      <color indexed="8"/>
      <name val="Calibri"/>
      <family val="2"/>
      <charset val="186"/>
    </font>
    <font>
      <sz val="12"/>
      <color indexed="8"/>
      <name val="Times New Roman"/>
      <family val="2"/>
      <charset val="186"/>
    </font>
    <font>
      <sz val="10"/>
      <name val="Arial"/>
      <family val="2"/>
      <charset val="186"/>
    </font>
    <font>
      <sz val="10"/>
      <name val="Helv"/>
    </font>
    <font>
      <sz val="12"/>
      <color rgb="FF000000"/>
      <name val="Times New Roman"/>
      <family val="2"/>
      <charset val="186"/>
    </font>
    <font>
      <sz val="12"/>
      <color indexed="9"/>
      <name val="Times New Roman"/>
      <family val="2"/>
      <charset val="186"/>
    </font>
    <font>
      <sz val="12"/>
      <color indexed="20"/>
      <name val="Times New Roman"/>
      <family val="2"/>
      <charset val="186"/>
    </font>
    <font>
      <b/>
      <sz val="12"/>
      <color indexed="52"/>
      <name val="Times New Roman"/>
      <family val="2"/>
      <charset val="186"/>
    </font>
    <font>
      <i/>
      <sz val="10"/>
      <color indexed="10"/>
      <name val="BaltTimesRoman"/>
      <family val="2"/>
      <charset val="186"/>
    </font>
    <font>
      <b/>
      <sz val="12"/>
      <color indexed="9"/>
      <name val="Times New Roman"/>
      <family val="2"/>
      <charset val="186"/>
    </font>
    <font>
      <sz val="10"/>
      <color indexed="8"/>
      <name val="Arial"/>
      <family val="2"/>
      <charset val="186"/>
    </font>
    <font>
      <sz val="10"/>
      <color indexed="8"/>
      <name val="BaltTimesRoman"/>
      <family val="2"/>
      <charset val="186"/>
    </font>
    <font>
      <sz val="10"/>
      <name val="BaltGaramond"/>
      <family val="2"/>
    </font>
    <font>
      <i/>
      <sz val="12"/>
      <color indexed="23"/>
      <name val="Times New Roman"/>
      <family val="2"/>
      <charset val="186"/>
    </font>
    <font>
      <sz val="12"/>
      <color indexed="17"/>
      <name val="Times New Roman"/>
      <family val="2"/>
      <charset val="186"/>
    </font>
    <font>
      <b/>
      <sz val="12"/>
      <name val="Lat Times New Roman"/>
      <family val="1"/>
      <charset val="186"/>
    </font>
    <font>
      <b/>
      <sz val="15"/>
      <color indexed="56"/>
      <name val="Times New Roman"/>
      <family val="2"/>
      <charset val="186"/>
    </font>
    <font>
      <b/>
      <sz val="13"/>
      <color indexed="56"/>
      <name val="Times New Roman"/>
      <family val="2"/>
      <charset val="186"/>
    </font>
    <font>
      <b/>
      <sz val="11"/>
      <color indexed="56"/>
      <name val="Times New Roman"/>
      <family val="2"/>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indexed="62"/>
      <name val="Times New Roman"/>
      <family val="2"/>
      <charset val="186"/>
    </font>
    <font>
      <sz val="12"/>
      <color indexed="52"/>
      <name val="Times New Roman"/>
      <family val="2"/>
      <charset val="186"/>
    </font>
    <font>
      <sz val="12"/>
      <color indexed="60"/>
      <name val="Times New Roman"/>
      <family val="2"/>
      <charset val="186"/>
    </font>
    <font>
      <sz val="11"/>
      <name val="BaltOptima"/>
      <charset val="186"/>
    </font>
    <font>
      <sz val="10"/>
      <name val="Arial"/>
      <family val="2"/>
    </font>
    <font>
      <sz val="11"/>
      <name val="Arial"/>
      <family val="2"/>
      <charset val="186"/>
    </font>
    <font>
      <b/>
      <sz val="12"/>
      <color indexed="63"/>
      <name val="Times New Roman"/>
      <family val="2"/>
      <charset val="186"/>
    </font>
    <font>
      <sz val="10"/>
      <color indexed="10"/>
      <name val="BaltTimesRoman"/>
      <family val="2"/>
      <charset val="186"/>
    </font>
    <font>
      <sz val="10"/>
      <color indexed="8"/>
      <name val="Times New Roman"/>
      <family val="1"/>
      <charset val="186"/>
    </font>
    <font>
      <b/>
      <sz val="14"/>
      <name val="Times New Roman"/>
      <family val="1"/>
      <charset val="186"/>
    </font>
    <font>
      <b/>
      <sz val="10"/>
      <name val="BaltTimesRoman"/>
      <family val="2"/>
      <charset val="186"/>
    </font>
    <font>
      <b/>
      <sz val="18"/>
      <color indexed="56"/>
      <name val="Cambria"/>
      <family val="2"/>
      <charset val="186"/>
    </font>
    <font>
      <b/>
      <sz val="12"/>
      <color indexed="8"/>
      <name val="Times New Roman"/>
      <family val="2"/>
      <charset val="186"/>
    </font>
    <font>
      <sz val="10"/>
      <name val="BaltGaramond"/>
      <family val="2"/>
      <charset val="186"/>
    </font>
    <font>
      <sz val="12"/>
      <color indexed="10"/>
      <name val="Times New Roman"/>
      <family val="2"/>
      <charset val="186"/>
    </font>
    <font>
      <sz val="10"/>
      <name val="Arial"/>
      <family val="2"/>
      <charset val="186"/>
    </font>
    <font>
      <sz val="10"/>
      <color theme="1"/>
      <name val="Times New Roman"/>
      <family val="2"/>
      <charset val="186"/>
    </font>
    <font>
      <sz val="11"/>
      <color indexed="8"/>
      <name val="Calibri"/>
      <family val="2"/>
    </font>
    <font>
      <sz val="11"/>
      <color indexed="9"/>
      <name val="Calibri"/>
      <family val="2"/>
    </font>
    <font>
      <b/>
      <sz val="11"/>
      <color indexed="8"/>
      <name val="Calibri"/>
      <family val="2"/>
    </font>
    <font>
      <sz val="10"/>
      <color theme="1"/>
      <name val="Arial"/>
      <family val="2"/>
      <charset val="186"/>
    </font>
    <font>
      <sz val="10"/>
      <color indexed="12"/>
      <name val="Arial"/>
      <family val="2"/>
      <charset val="186"/>
    </font>
    <font>
      <sz val="10"/>
      <name val="BaltHelvetica"/>
    </font>
    <font>
      <b/>
      <sz val="10"/>
      <color indexed="8"/>
      <name val="Times New Roman"/>
      <family val="1"/>
      <charset val="186"/>
    </font>
    <font>
      <b/>
      <sz val="10"/>
      <color indexed="39"/>
      <name val="Arial"/>
      <family val="2"/>
    </font>
    <font>
      <b/>
      <sz val="10"/>
      <color indexed="8"/>
      <name val="Arial"/>
      <family val="2"/>
    </font>
    <font>
      <b/>
      <sz val="12"/>
      <color indexed="8"/>
      <name val="Arial"/>
      <family val="2"/>
      <charset val="186"/>
    </font>
    <font>
      <sz val="10"/>
      <color indexed="8"/>
      <name val="Arial"/>
      <family val="2"/>
    </font>
    <font>
      <sz val="10"/>
      <color indexed="39"/>
      <name val="Arial"/>
      <family val="2"/>
    </font>
    <font>
      <b/>
      <sz val="18"/>
      <color indexed="62"/>
      <name val="Cambria"/>
      <family val="2"/>
    </font>
    <font>
      <b/>
      <sz val="16"/>
      <color theme="1"/>
      <name val="Times New Roman"/>
      <family val="1"/>
      <charset val="186"/>
    </font>
    <font>
      <b/>
      <sz val="8"/>
      <color indexed="81"/>
      <name val="Tahoma"/>
      <family val="2"/>
      <charset val="186"/>
    </font>
    <font>
      <sz val="8"/>
      <color indexed="81"/>
      <name val="Tahoma"/>
      <family val="2"/>
      <charset val="186"/>
    </font>
    <font>
      <sz val="12"/>
      <color theme="1"/>
      <name val="Times New Roman"/>
      <family val="1"/>
      <charset val="186"/>
    </font>
    <font>
      <b/>
      <sz val="18"/>
      <color theme="1"/>
      <name val="Times New Roman"/>
      <family val="1"/>
      <charset val="186"/>
    </font>
    <font>
      <b/>
      <sz val="12"/>
      <color theme="1"/>
      <name val="Times New Roman"/>
      <family val="1"/>
      <charset val="186"/>
    </font>
    <font>
      <b/>
      <sz val="10"/>
      <color theme="1"/>
      <name val="Times New Roman"/>
      <family val="1"/>
      <charset val="186"/>
    </font>
    <font>
      <sz val="10"/>
      <color theme="1"/>
      <name val="Times New Roman"/>
      <family val="1"/>
      <charset val="186"/>
    </font>
    <font>
      <b/>
      <sz val="12"/>
      <color indexed="8"/>
      <name val="Times New Roman"/>
      <family val="1"/>
      <charset val="186"/>
    </font>
    <font>
      <b/>
      <sz val="12"/>
      <name val="Times New Roman"/>
      <family val="1"/>
      <charset val="186"/>
    </font>
    <font>
      <sz val="16"/>
      <name val="Times New Roman"/>
      <family val="1"/>
      <charset val="186"/>
    </font>
    <font>
      <sz val="9"/>
      <name val="Times New Roman"/>
      <family val="1"/>
      <charset val="186"/>
    </font>
    <font>
      <sz val="18"/>
      <color theme="1"/>
      <name val="Times New Roman"/>
      <family val="1"/>
      <charset val="186"/>
    </font>
    <font>
      <b/>
      <i/>
      <sz val="12"/>
      <color theme="1"/>
      <name val="Times New Roman"/>
      <family val="1"/>
      <charset val="186"/>
    </font>
    <font>
      <sz val="9"/>
      <color indexed="81"/>
      <name val="Tahoma"/>
      <family val="2"/>
      <charset val="186"/>
    </font>
    <font>
      <b/>
      <sz val="9"/>
      <color indexed="81"/>
      <name val="Tahoma"/>
      <family val="2"/>
      <charset val="186"/>
    </font>
    <font>
      <i/>
      <sz val="12"/>
      <color theme="1"/>
      <name val="Times New Roman"/>
      <family val="1"/>
      <charset val="186"/>
    </font>
    <font>
      <b/>
      <sz val="16"/>
      <name val="Times New Roman"/>
      <family val="1"/>
      <charset val="204"/>
    </font>
    <font>
      <b/>
      <vertAlign val="superscript"/>
      <sz val="16"/>
      <name val="Times New Roman"/>
      <family val="1"/>
      <charset val="204"/>
    </font>
    <font>
      <sz val="13"/>
      <name val="Calibri"/>
      <family val="2"/>
      <charset val="186"/>
      <scheme val="minor"/>
    </font>
    <font>
      <i/>
      <sz val="16"/>
      <name val="Times New Roman"/>
      <family val="1"/>
      <charset val="204"/>
    </font>
    <font>
      <sz val="13"/>
      <color theme="1"/>
      <name val="Calibri"/>
      <family val="2"/>
      <charset val="186"/>
      <scheme val="minor"/>
    </font>
    <font>
      <b/>
      <sz val="13"/>
      <name val="Times New Roman"/>
      <family val="1"/>
      <charset val="204"/>
    </font>
    <font>
      <b/>
      <vertAlign val="superscript"/>
      <sz val="13"/>
      <name val="Times New Roman"/>
      <family val="1"/>
      <charset val="204"/>
    </font>
    <font>
      <b/>
      <sz val="13"/>
      <color theme="1"/>
      <name val="Times New Roman"/>
      <family val="1"/>
      <charset val="204"/>
    </font>
    <font>
      <b/>
      <vertAlign val="superscript"/>
      <sz val="13"/>
      <name val="Times New Roman"/>
      <family val="1"/>
      <charset val="186"/>
    </font>
    <font>
      <b/>
      <sz val="13"/>
      <name val="Times New Roman"/>
      <family val="1"/>
      <charset val="186"/>
    </font>
    <font>
      <b/>
      <sz val="13"/>
      <color theme="1"/>
      <name val="Times New Roman"/>
      <family val="1"/>
      <charset val="186"/>
    </font>
    <font>
      <b/>
      <i/>
      <sz val="13"/>
      <name val="Times New Roman"/>
      <family val="1"/>
      <charset val="204"/>
    </font>
    <font>
      <b/>
      <i/>
      <vertAlign val="superscript"/>
      <sz val="13"/>
      <name val="Times New Roman"/>
      <family val="1"/>
      <charset val="186"/>
    </font>
    <font>
      <b/>
      <i/>
      <sz val="13"/>
      <color theme="1"/>
      <name val="Times New Roman"/>
      <family val="1"/>
      <charset val="204"/>
    </font>
    <font>
      <i/>
      <sz val="13"/>
      <name val="Times New Roman"/>
      <family val="1"/>
      <charset val="204"/>
    </font>
    <font>
      <b/>
      <i/>
      <sz val="13"/>
      <name val="Times New Roman"/>
      <family val="1"/>
      <charset val="186"/>
    </font>
    <font>
      <sz val="13"/>
      <name val="Times New Roman"/>
      <family val="1"/>
      <charset val="204"/>
    </font>
    <font>
      <sz val="13"/>
      <name val="Times New Roman"/>
      <family val="1"/>
      <charset val="186"/>
    </font>
    <font>
      <sz val="13"/>
      <color theme="1"/>
      <name val="Times New Roman"/>
      <family val="1"/>
      <charset val="204"/>
    </font>
    <font>
      <sz val="13"/>
      <color rgb="FFFF0000"/>
      <name val="Times New Roman"/>
      <family val="1"/>
      <charset val="204"/>
    </font>
    <font>
      <sz val="13"/>
      <color rgb="FF000000"/>
      <name val="Times New Roman"/>
      <family val="1"/>
      <charset val="186"/>
    </font>
    <font>
      <sz val="13"/>
      <color indexed="8"/>
      <name val="Times New Roman"/>
      <family val="1"/>
      <charset val="186"/>
    </font>
    <font>
      <sz val="13"/>
      <color theme="1"/>
      <name val="Times New Roman"/>
      <family val="1"/>
      <charset val="186"/>
    </font>
    <font>
      <b/>
      <i/>
      <vertAlign val="superscript"/>
      <sz val="13"/>
      <name val="Times New Roman"/>
      <family val="1"/>
      <charset val="204"/>
    </font>
    <font>
      <sz val="11"/>
      <color rgb="FFFF0000"/>
      <name val="Times New Roman"/>
      <family val="1"/>
      <charset val="186"/>
    </font>
    <font>
      <sz val="12"/>
      <color rgb="FFFF0000"/>
      <name val="Times New Roman"/>
      <family val="1"/>
      <charset val="186"/>
    </font>
    <font>
      <sz val="13"/>
      <color rgb="FFFF0000"/>
      <name val="Times New Roman"/>
      <family val="1"/>
      <charset val="186"/>
    </font>
    <font>
      <vertAlign val="superscript"/>
      <sz val="13"/>
      <name val="Times New Roman"/>
      <family val="1"/>
      <charset val="186"/>
    </font>
    <font>
      <sz val="13"/>
      <name val="Times New Roman"/>
      <family val="1"/>
    </font>
    <font>
      <b/>
      <sz val="13"/>
      <name val="Calibri"/>
      <family val="2"/>
      <charset val="186"/>
      <scheme val="minor"/>
    </font>
    <font>
      <i/>
      <sz val="13"/>
      <name val="Times New Roman"/>
      <family val="1"/>
      <charset val="186"/>
    </font>
    <font>
      <i/>
      <vertAlign val="superscript"/>
      <sz val="13"/>
      <name val="Times New Roman"/>
      <family val="1"/>
      <charset val="186"/>
    </font>
    <font>
      <i/>
      <sz val="13"/>
      <color theme="1"/>
      <name val="Times New Roman"/>
      <family val="1"/>
      <charset val="186"/>
    </font>
    <font>
      <b/>
      <i/>
      <u/>
      <vertAlign val="superscript"/>
      <sz val="13"/>
      <name val="Times New Roman"/>
      <family val="1"/>
      <charset val="186"/>
    </font>
    <font>
      <b/>
      <i/>
      <u/>
      <sz val="13"/>
      <name val="Times New Roman"/>
      <family val="1"/>
      <charset val="186"/>
    </font>
    <font>
      <sz val="11"/>
      <name val="Calibri"/>
      <family val="2"/>
      <charset val="186"/>
      <scheme val="minor"/>
    </font>
    <font>
      <b/>
      <sz val="14"/>
      <color indexed="81"/>
      <name val="Times New Roman"/>
      <family val="1"/>
      <charset val="186"/>
    </font>
    <font>
      <sz val="14"/>
      <color indexed="81"/>
      <name val="Times New Roman"/>
      <family val="1"/>
      <charset val="186"/>
    </font>
    <font>
      <b/>
      <sz val="12"/>
      <color indexed="81"/>
      <name val="Tahoma"/>
      <family val="2"/>
      <charset val="186"/>
    </font>
    <font>
      <sz val="12"/>
      <color indexed="81"/>
      <name val="Tahoma"/>
      <family val="2"/>
      <charset val="186"/>
    </font>
    <font>
      <b/>
      <sz val="10"/>
      <color indexed="81"/>
      <name val="Tahoma"/>
      <family val="2"/>
      <charset val="186"/>
    </font>
    <font>
      <sz val="10"/>
      <color indexed="81"/>
      <name val="Tahoma"/>
      <family val="2"/>
      <charset val="186"/>
    </font>
    <font>
      <b/>
      <sz val="10"/>
      <name val="Times New Roman"/>
      <family val="2"/>
      <charset val="186"/>
    </font>
    <font>
      <b/>
      <sz val="10"/>
      <name val="Times New Roman"/>
      <family val="1"/>
      <charset val="204"/>
    </font>
    <font>
      <sz val="10"/>
      <color rgb="FFFF0000"/>
      <name val="Times New Roman"/>
      <family val="2"/>
      <charset val="186"/>
    </font>
    <font>
      <b/>
      <sz val="10"/>
      <name val="Times New Roman"/>
      <family val="1"/>
    </font>
    <font>
      <b/>
      <u/>
      <sz val="10"/>
      <name val="Times New Roman"/>
      <family val="1"/>
    </font>
    <font>
      <b/>
      <u/>
      <sz val="10"/>
      <name val="Times New Roman"/>
      <family val="1"/>
      <charset val="204"/>
    </font>
    <font>
      <sz val="10"/>
      <name val="Times New Roman"/>
      <family val="2"/>
      <charset val="186"/>
    </font>
    <font>
      <b/>
      <sz val="10"/>
      <color theme="3" tint="0.39997558519241921"/>
      <name val="Times New Roman"/>
      <family val="2"/>
      <charset val="186"/>
    </font>
    <font>
      <sz val="10"/>
      <name val="Times New Roman"/>
      <family val="1"/>
    </font>
    <font>
      <sz val="10"/>
      <name val="Cambria"/>
      <family val="1"/>
      <charset val="186"/>
    </font>
    <font>
      <i/>
      <sz val="10"/>
      <name val="Times New Roman"/>
      <family val="2"/>
      <charset val="186"/>
    </font>
    <font>
      <i/>
      <sz val="9"/>
      <color indexed="8"/>
      <name val="Times New Roman"/>
      <family val="1"/>
      <charset val="186"/>
    </font>
    <font>
      <sz val="10"/>
      <color indexed="8"/>
      <name val="Times New Roman"/>
      <family val="2"/>
      <charset val="186"/>
    </font>
    <font>
      <b/>
      <i/>
      <sz val="10"/>
      <name val="Times New Roman"/>
      <family val="2"/>
      <charset val="186"/>
    </font>
    <font>
      <vertAlign val="superscript"/>
      <sz val="10"/>
      <name val="Times New Roman"/>
      <family val="2"/>
      <charset val="186"/>
    </font>
    <font>
      <b/>
      <sz val="12"/>
      <color indexed="10"/>
      <name val="Times New Roman"/>
      <family val="1"/>
      <charset val="186"/>
    </font>
    <font>
      <sz val="11"/>
      <color theme="1"/>
      <name val="Times New Roman"/>
      <family val="1"/>
      <charset val="186"/>
    </font>
    <font>
      <sz val="12"/>
      <color indexed="8"/>
      <name val="Times New Roman"/>
      <family val="1"/>
      <charset val="186"/>
    </font>
    <font>
      <sz val="11"/>
      <color indexed="8"/>
      <name val="Times New Roman"/>
      <family val="1"/>
      <charset val="186"/>
    </font>
    <font>
      <b/>
      <i/>
      <sz val="12"/>
      <color indexed="8"/>
      <name val="Times New Roman"/>
      <family val="1"/>
      <charset val="186"/>
    </font>
    <font>
      <b/>
      <sz val="8"/>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Verdana"/>
      <family val="2"/>
      <charset val="186"/>
    </font>
    <font>
      <b/>
      <sz val="11"/>
      <color indexed="63"/>
      <name val="Calibri"/>
      <family val="2"/>
    </font>
    <font>
      <b/>
      <sz val="18"/>
      <color indexed="56"/>
      <name val="Cambria"/>
      <family val="2"/>
    </font>
    <font>
      <sz val="11"/>
      <color indexed="10"/>
      <name val="Calibri"/>
      <family val="2"/>
    </font>
    <font>
      <b/>
      <sz val="12"/>
      <color theme="1"/>
      <name val="Times New Roman"/>
      <family val="2"/>
      <charset val="186"/>
    </font>
    <font>
      <b/>
      <sz val="10"/>
      <color theme="1"/>
      <name val="Times New Roman"/>
      <family val="2"/>
      <charset val="186"/>
    </font>
    <font>
      <sz val="16"/>
      <color theme="1"/>
      <name val="Times New Roman"/>
      <family val="2"/>
      <charset val="186"/>
    </font>
    <font>
      <sz val="14"/>
      <color theme="1"/>
      <name val="Times New Roman"/>
      <family val="2"/>
      <charset val="186"/>
    </font>
    <font>
      <sz val="14"/>
      <color theme="1"/>
      <name val="Times New Roman"/>
      <family val="1"/>
      <charset val="186"/>
    </font>
    <font>
      <b/>
      <sz val="14"/>
      <color theme="1"/>
      <name val="Times New Roman"/>
      <family val="1"/>
      <charset val="186"/>
    </font>
    <font>
      <sz val="14"/>
      <name val="Times New Roman"/>
      <family val="1"/>
      <charset val="186"/>
    </font>
    <font>
      <sz val="14"/>
      <color theme="1"/>
      <name val="Arial"/>
      <family val="2"/>
      <charset val="186"/>
    </font>
    <font>
      <b/>
      <sz val="15"/>
      <color theme="1"/>
      <name val="Times New Roman"/>
      <family val="1"/>
      <charset val="186"/>
    </font>
    <font>
      <b/>
      <i/>
      <sz val="15"/>
      <color theme="1"/>
      <name val="Times New Roman"/>
      <family val="1"/>
      <charset val="186"/>
    </font>
    <font>
      <sz val="15"/>
      <color theme="1"/>
      <name val="Times New Roman"/>
      <family val="1"/>
      <charset val="186"/>
    </font>
    <font>
      <sz val="15"/>
      <name val="Times New Roman"/>
      <family val="1"/>
      <charset val="186"/>
    </font>
    <font>
      <sz val="15"/>
      <color indexed="8"/>
      <name val="Times New Roman"/>
      <family val="1"/>
      <charset val="186"/>
    </font>
    <font>
      <sz val="15"/>
      <color theme="1"/>
      <name val="Times New Roman"/>
      <family val="2"/>
      <charset val="186"/>
    </font>
    <font>
      <sz val="15"/>
      <name val="Times New Roman"/>
      <family val="1"/>
      <charset val="204"/>
    </font>
    <font>
      <sz val="15"/>
      <color indexed="8"/>
      <name val="Calibri"/>
      <family val="2"/>
      <charset val="186"/>
    </font>
    <font>
      <sz val="15.5"/>
      <color theme="1"/>
      <name val="Times New Roman"/>
      <family val="1"/>
      <charset val="186"/>
    </font>
    <font>
      <b/>
      <sz val="15.5"/>
      <color theme="1"/>
      <name val="Times New Roman"/>
      <family val="1"/>
      <charset val="186"/>
    </font>
    <font>
      <b/>
      <i/>
      <sz val="15.5"/>
      <color theme="1"/>
      <name val="Times New Roman"/>
      <family val="1"/>
      <charset val="186"/>
    </font>
    <font>
      <sz val="15.5"/>
      <color indexed="8"/>
      <name val="Times New Roman"/>
      <family val="1"/>
      <charset val="186"/>
    </font>
    <font>
      <sz val="15.5"/>
      <name val="Times New Roman"/>
      <family val="1"/>
      <charset val="186"/>
    </font>
    <font>
      <sz val="15.5"/>
      <color indexed="8"/>
      <name val="Calibri"/>
      <family val="2"/>
      <charset val="186"/>
    </font>
    <font>
      <sz val="20"/>
      <name val="Times New Roman"/>
      <family val="1"/>
      <charset val="186"/>
    </font>
    <font>
      <sz val="18"/>
      <name val="Times New Roman"/>
      <family val="1"/>
      <charset val="186"/>
    </font>
    <font>
      <sz val="8"/>
      <name val="Times New Roman"/>
      <family val="1"/>
      <charset val="186"/>
    </font>
    <font>
      <b/>
      <sz val="22"/>
      <color theme="1"/>
      <name val="Times New Roman"/>
      <family val="1"/>
      <charset val="186"/>
    </font>
    <font>
      <b/>
      <sz val="24"/>
      <color theme="1"/>
      <name val="Times New Roman"/>
      <family val="1"/>
      <charset val="186"/>
    </font>
    <font>
      <sz val="14"/>
      <color indexed="81"/>
      <name val="Tahoma"/>
      <family val="2"/>
      <charset val="186"/>
    </font>
    <font>
      <b/>
      <sz val="14"/>
      <color indexed="81"/>
      <name val="Tahoma"/>
      <family val="2"/>
      <charset val="186"/>
    </font>
    <font>
      <sz val="22"/>
      <name val="Times New Roman"/>
      <family val="1"/>
      <charset val="186"/>
    </font>
    <font>
      <sz val="22"/>
      <color theme="1"/>
      <name val="Times New Roman"/>
      <family val="1"/>
      <charset val="186"/>
    </font>
    <font>
      <sz val="28"/>
      <color theme="1"/>
      <name val="Times New Roman"/>
      <family val="1"/>
      <charset val="186"/>
    </font>
  </fonts>
  <fills count="66">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26"/>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11"/>
        <bgColor indexed="64"/>
      </patternFill>
    </fill>
    <fill>
      <patternFill patternType="solid">
        <fgColor indexed="22"/>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indexed="54"/>
      </patternFill>
    </fill>
    <fill>
      <patternFill patternType="solid">
        <fgColor indexed="20"/>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C0C0C0"/>
      </left>
      <right/>
      <top/>
      <bottom style="thin">
        <color rgb="FFC0C0C0"/>
      </bottom>
      <diagonal/>
    </border>
    <border>
      <left style="thin">
        <color indexed="54"/>
      </left>
      <right/>
      <top style="thin">
        <color indexed="54"/>
      </top>
      <bottom/>
      <diagonal/>
    </border>
  </borders>
  <cellStyleXfs count="482">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41" fontId="8" fillId="0" borderId="0" applyFont="0" applyFill="0" applyBorder="0" applyAlignment="0" applyProtection="0"/>
    <xf numFmtId="0" fontId="2" fillId="0" borderId="0"/>
    <xf numFmtId="0" fontId="2" fillId="0" borderId="0"/>
    <xf numFmtId="0" fontId="2" fillId="0" borderId="0"/>
    <xf numFmtId="0" fontId="2" fillId="0" borderId="0"/>
    <xf numFmtId="0" fontId="9" fillId="0" borderId="0"/>
    <xf numFmtId="0" fontId="10" fillId="0" borderId="0"/>
    <xf numFmtId="0" fontId="11" fillId="0" borderId="0"/>
    <xf numFmtId="0" fontId="8" fillId="0" borderId="0"/>
    <xf numFmtId="0" fontId="10" fillId="0" borderId="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12" fillId="19"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3" fillId="10" borderId="0" applyNumberFormat="0" applyBorder="0" applyAlignment="0" applyProtection="0"/>
    <xf numFmtId="0" fontId="14" fillId="27" borderId="3" applyNumberFormat="0" applyAlignment="0" applyProtection="0"/>
    <xf numFmtId="0" fontId="14" fillId="27" borderId="3" applyNumberFormat="0" applyAlignment="0" applyProtection="0"/>
    <xf numFmtId="0" fontId="14" fillId="27" borderId="3" applyNumberFormat="0" applyAlignment="0" applyProtection="0"/>
    <xf numFmtId="1" fontId="15" fillId="0" borderId="0"/>
    <xf numFmtId="0" fontId="16" fillId="28" borderId="4" applyNumberFormat="0" applyAlignment="0" applyProtection="0"/>
    <xf numFmtId="43" fontId="17" fillId="0" borderId="0" applyFont="0" applyFill="0" applyBorder="0" applyAlignment="0" applyProtection="0"/>
    <xf numFmtId="43" fontId="9" fillId="0" borderId="0" applyBorder="0" applyAlignment="0" applyProtection="0"/>
    <xf numFmtId="164" fontId="9" fillId="0" borderId="0" applyFont="0" applyFill="0" applyBorder="0" applyAlignment="0" applyProtection="0"/>
    <xf numFmtId="165" fontId="9" fillId="29" borderId="0" applyNumberFormat="0" applyFont="0" applyBorder="0" applyAlignment="0" applyProtection="0"/>
    <xf numFmtId="0" fontId="18" fillId="29" borderId="0"/>
    <xf numFmtId="165" fontId="19" fillId="0" borderId="0" applyBorder="0" applyAlignment="0" applyProtection="0"/>
    <xf numFmtId="0" fontId="20" fillId="0" borderId="0" applyNumberFormat="0" applyFill="0" applyBorder="0" applyAlignment="0" applyProtection="0"/>
    <xf numFmtId="165" fontId="4" fillId="30" borderId="0" applyNumberFormat="0" applyFont="0" applyBorder="0" applyAlignment="0" applyProtection="0"/>
    <xf numFmtId="0" fontId="21" fillId="11" borderId="0" applyNumberFormat="0" applyBorder="0" applyAlignment="0" applyProtection="0"/>
    <xf numFmtId="49" fontId="22" fillId="0" borderId="0" applyFill="0" applyBorder="0" applyAlignment="0" applyProtection="0">
      <alignment horizontal="left"/>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65" fontId="4" fillId="31" borderId="0" applyNumberFormat="0" applyFont="0" applyBorder="0" applyAlignment="0" applyProtection="0"/>
    <xf numFmtId="49" fontId="26" fillId="0" borderId="0" applyFill="0" applyBorder="0" applyAlignment="0" applyProtection="0"/>
    <xf numFmtId="0" fontId="27" fillId="0" borderId="0" applyFill="0" applyBorder="0" applyAlignment="0" applyProtection="0"/>
    <xf numFmtId="166" fontId="27" fillId="0" borderId="0" applyFill="0" applyBorder="0" applyAlignment="0" applyProtection="0"/>
    <xf numFmtId="167" fontId="28" fillId="0" borderId="0" applyFill="0" applyBorder="0" applyAlignment="0" applyProtection="0"/>
    <xf numFmtId="168" fontId="29" fillId="0" borderId="0" applyFill="0" applyBorder="0" applyAlignment="0" applyProtection="0"/>
    <xf numFmtId="169" fontId="29" fillId="0" borderId="0" applyFill="0" applyBorder="0" applyAlignment="0" applyProtection="0"/>
    <xf numFmtId="10" fontId="30" fillId="0" borderId="0"/>
    <xf numFmtId="0" fontId="31" fillId="14" borderId="3" applyNumberFormat="0" applyAlignment="0" applyProtection="0"/>
    <xf numFmtId="0" fontId="31" fillId="14" borderId="3" applyNumberFormat="0" applyAlignment="0" applyProtection="0"/>
    <xf numFmtId="0" fontId="31" fillId="14" borderId="3" applyNumberFormat="0" applyAlignment="0" applyProtection="0"/>
    <xf numFmtId="170" fontId="19" fillId="30" borderId="0"/>
    <xf numFmtId="0" fontId="32" fillId="0" borderId="8" applyNumberFormat="0" applyFill="0" applyAlignment="0" applyProtection="0"/>
    <xf numFmtId="0" fontId="33" fillId="32" borderId="0" applyNumberFormat="0" applyBorder="0" applyAlignment="0" applyProtection="0"/>
    <xf numFmtId="0" fontId="7" fillId="0" borderId="0"/>
    <xf numFmtId="0" fontId="34" fillId="0" borderId="0"/>
    <xf numFmtId="0" fontId="9" fillId="0" borderId="0"/>
    <xf numFmtId="0" fontId="34" fillId="0" borderId="0"/>
    <xf numFmtId="0" fontId="1" fillId="0" borderId="0"/>
    <xf numFmtId="0" fontId="35" fillId="0" borderId="0"/>
    <xf numFmtId="0" fontId="7"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36" fillId="0" borderId="0"/>
    <xf numFmtId="0" fontId="7" fillId="0" borderId="0"/>
    <xf numFmtId="0" fontId="7" fillId="0" borderId="0"/>
    <xf numFmtId="0" fontId="9" fillId="0" borderId="0"/>
    <xf numFmtId="0" fontId="8" fillId="33" borderId="9" applyNumberFormat="0" applyFont="0" applyAlignment="0" applyProtection="0"/>
    <xf numFmtId="0" fontId="8" fillId="33" borderId="9" applyNumberFormat="0" applyFont="0" applyAlignment="0" applyProtection="0"/>
    <xf numFmtId="0" fontId="8" fillId="33" borderId="9" applyNumberFormat="0" applyFont="0" applyAlignment="0" applyProtection="0"/>
    <xf numFmtId="0" fontId="37" fillId="27" borderId="10" applyNumberFormat="0" applyAlignment="0" applyProtection="0"/>
    <xf numFmtId="0" fontId="37" fillId="27" borderId="10" applyNumberFormat="0" applyAlignment="0" applyProtection="0"/>
    <xf numFmtId="0" fontId="37" fillId="27" borderId="10"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19" fillId="34" borderId="0" applyBorder="0" applyProtection="0"/>
    <xf numFmtId="0" fontId="3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4" fontId="39" fillId="0" borderId="1" applyNumberFormat="0" applyProtection="0">
      <alignment horizontal="right" vertical="center"/>
    </xf>
    <xf numFmtId="4" fontId="39" fillId="0" borderId="1" applyNumberFormat="0" applyProtection="0">
      <alignment horizontal="right" vertical="center"/>
    </xf>
    <xf numFmtId="0" fontId="34" fillId="0" borderId="0"/>
    <xf numFmtId="4" fontId="39" fillId="0" borderId="1" applyNumberFormat="0" applyProtection="0">
      <alignment horizontal="left" wrapText="1" indent="1"/>
    </xf>
    <xf numFmtId="4" fontId="39" fillId="0" borderId="1" applyNumberFormat="0" applyProtection="0">
      <alignment horizontal="left" wrapText="1" indent="1"/>
    </xf>
    <xf numFmtId="0" fontId="34" fillId="0" borderId="0"/>
    <xf numFmtId="0" fontId="34" fillId="0" borderId="0"/>
    <xf numFmtId="0" fontId="34" fillId="0" borderId="0"/>
    <xf numFmtId="0" fontId="40" fillId="0" borderId="0" applyNumberFormat="0" applyFill="0" applyBorder="0" applyProtection="0">
      <alignment horizontal="centerContinuous"/>
    </xf>
    <xf numFmtId="0" fontId="10" fillId="0" borderId="0"/>
    <xf numFmtId="0" fontId="3" fillId="0" borderId="0" applyNumberFormat="0" applyFill="0" applyBorder="0" applyAlignment="0" applyProtection="0"/>
    <xf numFmtId="43" fontId="9" fillId="0" borderId="0" applyBorder="0" applyAlignment="0" applyProtection="0"/>
    <xf numFmtId="0" fontId="41" fillId="0" borderId="0"/>
    <xf numFmtId="0" fontId="42" fillId="0" borderId="0" applyNumberFormat="0" applyFill="0" applyBorder="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165" fontId="44" fillId="35" borderId="0" applyBorder="0" applyProtection="0"/>
    <xf numFmtId="0" fontId="45" fillId="0" borderId="0" applyNumberFormat="0" applyFill="0" applyBorder="0" applyAlignment="0" applyProtection="0"/>
    <xf numFmtId="1" fontId="9" fillId="36" borderId="0"/>
    <xf numFmtId="0" fontId="46" fillId="0" borderId="0"/>
    <xf numFmtId="0" fontId="9" fillId="0" borderId="0"/>
    <xf numFmtId="0" fontId="2" fillId="0" borderId="0"/>
    <xf numFmtId="4" fontId="47" fillId="39" borderId="1"/>
    <xf numFmtId="9" fontId="2" fillId="0" borderId="0" applyFont="0" applyFill="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9"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9"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9" fillId="48"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0" fontId="49" fillId="48"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9" fillId="41" borderId="0" applyNumberFormat="0" applyBorder="0" applyAlignment="0" applyProtection="0"/>
    <xf numFmtId="0" fontId="48" fillId="49" borderId="0" applyNumberFormat="0" applyBorder="0" applyAlignment="0" applyProtection="0"/>
    <xf numFmtId="0" fontId="48" fillId="44" borderId="0" applyNumberFormat="0" applyBorder="0" applyAlignment="0" applyProtection="0"/>
    <xf numFmtId="0" fontId="49" fillId="50" borderId="0" applyNumberFormat="0" applyBorder="0" applyAlignment="0" applyProtection="0"/>
    <xf numFmtId="0" fontId="50" fillId="51" borderId="0" applyNumberFormat="0" applyBorder="0" applyAlignment="0" applyProtection="0"/>
    <xf numFmtId="0" fontId="50" fillId="52" borderId="0" applyNumberFormat="0" applyBorder="0" applyAlignment="0" applyProtection="0"/>
    <xf numFmtId="0" fontId="50" fillId="53" borderId="0" applyNumberFormat="0" applyBorder="0" applyAlignment="0" applyProtection="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1" fillId="0" borderId="0"/>
    <xf numFmtId="0" fontId="9" fillId="0" borderId="0"/>
    <xf numFmtId="0" fontId="2" fillId="0" borderId="0"/>
    <xf numFmtId="0" fontId="9" fillId="0" borderId="0"/>
    <xf numFmtId="0" fontId="9" fillId="0" borderId="0"/>
    <xf numFmtId="0" fontId="9" fillId="0" borderId="0"/>
    <xf numFmtId="0" fontId="52" fillId="0" borderId="0"/>
    <xf numFmtId="0" fontId="2" fillId="0" borderId="0"/>
    <xf numFmtId="0" fontId="17" fillId="0" borderId="0"/>
    <xf numFmtId="0" fontId="9" fillId="0" borderId="0"/>
    <xf numFmtId="0" fontId="9" fillId="0" borderId="0"/>
    <xf numFmtId="0" fontId="9" fillId="0" borderId="0"/>
    <xf numFmtId="0" fontId="51" fillId="0" borderId="0"/>
    <xf numFmtId="0" fontId="9" fillId="0" borderId="0"/>
    <xf numFmtId="0" fontId="9" fillId="0" borderId="0"/>
    <xf numFmtId="0" fontId="9" fillId="0" borderId="0"/>
    <xf numFmtId="0" fontId="2" fillId="0" borderId="0"/>
    <xf numFmtId="0" fontId="9" fillId="0" borderId="0"/>
    <xf numFmtId="0" fontId="9" fillId="0" borderId="0"/>
    <xf numFmtId="0" fontId="53" fillId="0" borderId="0"/>
    <xf numFmtId="4" fontId="54" fillId="0" borderId="0" applyNumberFormat="0" applyProtection="0"/>
    <xf numFmtId="4" fontId="55" fillId="54" borderId="19" applyNumberFormat="0" applyProtection="0">
      <alignment vertical="center"/>
    </xf>
    <xf numFmtId="4" fontId="54" fillId="0" borderId="0" applyNumberFormat="0" applyProtection="0">
      <alignment horizontal="left" wrapText="1" indent="1" shrinkToFit="1"/>
    </xf>
    <xf numFmtId="0" fontId="56" fillId="54" borderId="19" applyNumberFormat="0" applyProtection="0">
      <alignment horizontal="left" vertical="top" indent="1"/>
    </xf>
    <xf numFmtId="4" fontId="39" fillId="0" borderId="1" applyNumberFormat="0" applyProtection="0">
      <alignment horizontal="left" vertical="center" indent="1"/>
    </xf>
    <xf numFmtId="4" fontId="57" fillId="55" borderId="0" applyNumberFormat="0" applyProtection="0">
      <alignment horizontal="left" vertical="center" indent="1"/>
    </xf>
    <xf numFmtId="4" fontId="17" fillId="56" borderId="0" applyNumberFormat="0" applyProtection="0">
      <alignment horizontal="left" vertical="center" indent="1"/>
    </xf>
    <xf numFmtId="0" fontId="4" fillId="0" borderId="0" applyNumberFormat="0" applyProtection="0">
      <alignment horizontal="left" wrapText="1" indent="1" shrinkToFit="1"/>
    </xf>
    <xf numFmtId="0" fontId="9" fillId="55" borderId="19" applyNumberFormat="0" applyProtection="0">
      <alignment horizontal="left" vertical="top" indent="1"/>
    </xf>
    <xf numFmtId="0" fontId="4" fillId="0" borderId="0" applyNumberFormat="0" applyProtection="0">
      <alignment horizontal="left" wrapText="1" indent="1" shrinkToFit="1"/>
    </xf>
    <xf numFmtId="0" fontId="9" fillId="56" borderId="19" applyNumberFormat="0" applyProtection="0">
      <alignment horizontal="left" vertical="top" indent="1"/>
    </xf>
    <xf numFmtId="0" fontId="4" fillId="0" borderId="0" applyNumberFormat="0" applyProtection="0">
      <alignment horizontal="left" wrapText="1" indent="1" shrinkToFit="1"/>
    </xf>
    <xf numFmtId="0" fontId="9" fillId="57" borderId="19" applyNumberFormat="0" applyProtection="0">
      <alignment horizontal="left" vertical="top" indent="1"/>
    </xf>
    <xf numFmtId="0" fontId="4" fillId="0" borderId="0" applyNumberFormat="0" applyProtection="0">
      <alignment horizontal="left" wrapText="1" indent="1" shrinkToFit="1"/>
    </xf>
    <xf numFmtId="0" fontId="9" fillId="29" borderId="19" applyNumberFormat="0" applyProtection="0">
      <alignment horizontal="left" vertical="top" indent="1"/>
    </xf>
    <xf numFmtId="0" fontId="9" fillId="37" borderId="1" applyNumberFormat="0">
      <protection locked="0"/>
    </xf>
    <xf numFmtId="4" fontId="58" fillId="30" borderId="19" applyNumberFormat="0" applyProtection="0">
      <alignment vertical="center"/>
    </xf>
    <xf numFmtId="4" fontId="59" fillId="30" borderId="19" applyNumberFormat="0" applyProtection="0">
      <alignment vertical="center"/>
    </xf>
    <xf numFmtId="4" fontId="58" fillId="0" borderId="1" applyNumberFormat="0" applyProtection="0">
      <alignment horizontal="left" vertical="center" indent="1"/>
    </xf>
    <xf numFmtId="0" fontId="58" fillId="30" borderId="19" applyNumberFormat="0" applyProtection="0">
      <alignment horizontal="left" vertical="top" indent="1"/>
    </xf>
    <xf numFmtId="4" fontId="39" fillId="0" borderId="0" applyNumberFormat="0" applyProtection="0">
      <alignment horizontal="right"/>
    </xf>
    <xf numFmtId="4" fontId="39" fillId="0" borderId="0" applyNumberFormat="0" applyProtection="0">
      <alignment horizontal="left" wrapText="1" indent="1"/>
    </xf>
    <xf numFmtId="4" fontId="39" fillId="0" borderId="0" applyNumberFormat="0" applyProtection="0">
      <alignment horizontal="left" wrapText="1" indent="1" shrinkToFit="1"/>
    </xf>
    <xf numFmtId="0" fontId="58" fillId="56" borderId="19" applyNumberFormat="0" applyProtection="0">
      <alignment horizontal="left" vertical="top" indent="1"/>
    </xf>
    <xf numFmtId="0" fontId="60"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7" fillId="0" borderId="0"/>
    <xf numFmtId="0" fontId="2" fillId="0" borderId="0"/>
    <xf numFmtId="0" fontId="7"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2" fillId="0" borderId="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43" fontId="8" fillId="0" borderId="0" applyFont="0" applyFill="0" applyBorder="0" applyAlignment="0" applyProtection="0"/>
    <xf numFmtId="0" fontId="2"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40" fillId="64" borderId="33" applyBorder="0"/>
    <xf numFmtId="0" fontId="141" fillId="65" borderId="1"/>
    <xf numFmtId="4" fontId="47" fillId="31" borderId="1"/>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2" borderId="0" applyNumberFormat="0" applyBorder="0" applyAlignment="0" applyProtection="0"/>
    <xf numFmtId="0" fontId="48" fillId="15" borderId="0" applyNumberFormat="0" applyBorder="0" applyAlignment="0" applyProtection="0"/>
    <xf numFmtId="0" fontId="48" fillId="18" borderId="0" applyNumberFormat="0" applyBorder="0" applyAlignment="0" applyProtection="0"/>
    <xf numFmtId="0" fontId="49" fillId="19"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49" fillId="26" borderId="0" applyNumberFormat="0" applyBorder="0" applyAlignment="0" applyProtection="0"/>
    <xf numFmtId="0" fontId="142" fillId="10" borderId="0" applyNumberFormat="0" applyBorder="0" applyAlignment="0" applyProtection="0"/>
    <xf numFmtId="0" fontId="143" fillId="27" borderId="3" applyNumberFormat="0" applyAlignment="0" applyProtection="0"/>
    <xf numFmtId="0" fontId="144" fillId="28" borderId="4" applyNumberFormat="0" applyAlignment="0" applyProtection="0"/>
    <xf numFmtId="0" fontId="145" fillId="0" borderId="0" applyNumberFormat="0" applyFill="0" applyBorder="0" applyAlignment="0" applyProtection="0"/>
    <xf numFmtId="0" fontId="146" fillId="11" borderId="0" applyNumberFormat="0" applyBorder="0" applyAlignment="0" applyProtection="0"/>
    <xf numFmtId="0" fontId="147" fillId="0" borderId="5" applyNumberFormat="0" applyFill="0" applyAlignment="0" applyProtection="0"/>
    <xf numFmtId="0" fontId="148" fillId="0" borderId="6" applyNumberFormat="0" applyFill="0" applyAlignment="0" applyProtection="0"/>
    <xf numFmtId="0" fontId="149" fillId="0" borderId="7" applyNumberFormat="0" applyFill="0" applyAlignment="0" applyProtection="0"/>
    <xf numFmtId="0" fontId="149" fillId="0" borderId="0" applyNumberFormat="0" applyFill="0" applyBorder="0" applyAlignment="0" applyProtection="0"/>
    <xf numFmtId="0" fontId="150" fillId="14" borderId="3" applyNumberFormat="0" applyAlignment="0" applyProtection="0"/>
    <xf numFmtId="0" fontId="151" fillId="0" borderId="8" applyNumberFormat="0" applyFill="0" applyAlignment="0" applyProtection="0"/>
    <xf numFmtId="0" fontId="152"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3" fillId="33" borderId="9" applyNumberFormat="0" applyFont="0" applyAlignment="0" applyProtection="0"/>
    <xf numFmtId="0" fontId="154" fillId="27" borderId="10" applyNumberFormat="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55" fillId="0" borderId="0" applyNumberFormat="0" applyFill="0" applyBorder="0" applyAlignment="0" applyProtection="0"/>
    <xf numFmtId="0" fontId="50" fillId="0" borderId="11" applyNumberFormat="0" applyFill="0" applyAlignment="0" applyProtection="0"/>
    <xf numFmtId="0" fontId="156" fillId="0" borderId="0" applyNumberFormat="0" applyFill="0" applyBorder="0" applyAlignment="0" applyProtection="0"/>
    <xf numFmtId="43"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cellStyleXfs>
  <cellXfs count="781">
    <xf numFmtId="0" fontId="0" fillId="0" borderId="0" xfId="0"/>
    <xf numFmtId="0" fontId="3" fillId="5" borderId="0" xfId="0" applyFont="1" applyFill="1" applyAlignment="1" applyProtection="1">
      <alignment horizontal="center" vertical="center" wrapText="1"/>
      <protection locked="0"/>
    </xf>
    <xf numFmtId="0" fontId="5" fillId="2" borderId="0" xfId="0" applyFont="1" applyFill="1" applyProtection="1">
      <protection locked="0"/>
    </xf>
    <xf numFmtId="0" fontId="6" fillId="0" borderId="0" xfId="0" applyFont="1" applyProtection="1">
      <protection locked="0"/>
    </xf>
    <xf numFmtId="0" fontId="3" fillId="0" borderId="0" xfId="0" applyFont="1" applyFill="1" applyAlignment="1" applyProtection="1">
      <alignment horizontal="center" vertical="center" wrapText="1"/>
      <protection locked="0"/>
    </xf>
    <xf numFmtId="0" fontId="5" fillId="0" borderId="0" xfId="0" applyFont="1" applyFill="1" applyProtection="1">
      <protection locked="0"/>
    </xf>
    <xf numFmtId="0" fontId="5" fillId="7" borderId="0" xfId="0" applyFont="1" applyFill="1" applyBorder="1" applyProtection="1">
      <protection locked="0"/>
    </xf>
    <xf numFmtId="0" fontId="5" fillId="7" borderId="0" xfId="0" applyFont="1" applyFill="1" applyAlignment="1" applyProtection="1">
      <alignment horizontal="center"/>
      <protection locked="0"/>
    </xf>
    <xf numFmtId="0" fontId="5" fillId="7" borderId="0" xfId="0" applyFont="1" applyFill="1" applyProtection="1">
      <protection locked="0"/>
    </xf>
    <xf numFmtId="0" fontId="4" fillId="0" borderId="0" xfId="0" applyFont="1" applyFill="1" applyAlignment="1" applyProtection="1">
      <alignment horizontal="center" vertical="center" wrapText="1"/>
      <protection locked="0"/>
    </xf>
    <xf numFmtId="0" fontId="3" fillId="8" borderId="0" xfId="0" applyFont="1" applyFill="1" applyAlignment="1" applyProtection="1">
      <alignment horizontal="center" vertical="center" wrapText="1"/>
      <protection locked="0"/>
    </xf>
    <xf numFmtId="0" fontId="4" fillId="0" borderId="0" xfId="0" applyFont="1" applyProtection="1">
      <protection locked="0"/>
    </xf>
    <xf numFmtId="0" fontId="4" fillId="0" borderId="0" xfId="0" applyFont="1" applyFill="1" applyProtection="1">
      <protection locked="0"/>
    </xf>
    <xf numFmtId="0" fontId="4" fillId="38" borderId="0" xfId="0" applyFont="1" applyFill="1" applyProtection="1">
      <protection locked="0"/>
    </xf>
    <xf numFmtId="0" fontId="0" fillId="0" borderId="0" xfId="0" applyFont="1" applyProtection="1">
      <protection locked="0"/>
    </xf>
    <xf numFmtId="0" fontId="64" fillId="0" borderId="0" xfId="0" applyFont="1" applyProtection="1">
      <protection locked="0"/>
    </xf>
    <xf numFmtId="3" fontId="61" fillId="0" borderId="0" xfId="0" applyNumberFormat="1" applyFont="1" applyAlignment="1" applyProtection="1">
      <alignment horizontal="center" vertical="center"/>
      <protection locked="0"/>
    </xf>
    <xf numFmtId="0" fontId="69" fillId="0" borderId="0" xfId="0" applyFont="1"/>
    <xf numFmtId="0" fontId="0" fillId="58" borderId="0" xfId="0" applyFill="1"/>
    <xf numFmtId="0" fontId="0" fillId="39" borderId="0" xfId="0" applyFill="1"/>
    <xf numFmtId="0" fontId="64" fillId="0" borderId="0" xfId="0" applyFont="1"/>
    <xf numFmtId="171" fontId="64" fillId="58" borderId="1" xfId="299" applyNumberFormat="1" applyFont="1" applyFill="1" applyBorder="1" applyAlignment="1">
      <alignment horizontal="center" vertical="center" wrapText="1"/>
    </xf>
    <xf numFmtId="171" fontId="6" fillId="39" borderId="1" xfId="299" applyNumberFormat="1" applyFont="1" applyFill="1" applyBorder="1" applyAlignment="1" applyProtection="1">
      <alignment horizontal="left" vertical="center" wrapText="1"/>
      <protection locked="0"/>
    </xf>
    <xf numFmtId="1" fontId="0" fillId="0" borderId="0" xfId="0" applyNumberFormat="1" applyAlignment="1">
      <alignment horizontal="center"/>
    </xf>
    <xf numFmtId="9" fontId="9" fillId="0" borderId="0" xfId="300" applyFont="1"/>
    <xf numFmtId="0" fontId="0" fillId="0" borderId="0" xfId="0" applyFont="1"/>
    <xf numFmtId="0" fontId="6" fillId="0" borderId="0" xfId="0" applyFont="1" applyFill="1"/>
    <xf numFmtId="0" fontId="9" fillId="0" borderId="0" xfId="0" applyFont="1" applyFill="1" applyAlignment="1">
      <alignment horizontal="left"/>
    </xf>
    <xf numFmtId="0" fontId="9" fillId="0" borderId="0" xfId="0" applyFont="1" applyFill="1"/>
    <xf numFmtId="0" fontId="51" fillId="0" borderId="0" xfId="0" applyFont="1"/>
    <xf numFmtId="0" fontId="0" fillId="0" borderId="0" xfId="0" applyFont="1" applyAlignment="1" applyProtection="1">
      <alignment vertical="center"/>
      <protection locked="0"/>
    </xf>
    <xf numFmtId="0" fontId="51" fillId="0" borderId="0" xfId="0" applyFont="1" applyAlignment="1">
      <alignment horizontal="left" vertical="center"/>
    </xf>
    <xf numFmtId="0" fontId="51" fillId="0" borderId="0" xfId="0" applyFont="1" applyFill="1" applyAlignment="1">
      <alignment horizontal="left" vertical="center"/>
    </xf>
    <xf numFmtId="0" fontId="64" fillId="0" borderId="0" xfId="0" applyFont="1" applyAlignment="1" applyProtection="1">
      <alignment vertical="center"/>
      <protection locked="0"/>
    </xf>
    <xf numFmtId="0" fontId="71" fillId="0" borderId="0" xfId="0" applyFont="1" applyFill="1" applyAlignment="1"/>
    <xf numFmtId="1" fontId="67" fillId="0" borderId="0" xfId="0" applyNumberFormat="1" applyFont="1" applyAlignment="1">
      <alignment horizontal="center"/>
    </xf>
    <xf numFmtId="0" fontId="67" fillId="0" borderId="0" xfId="0" applyFont="1" applyAlignment="1" applyProtection="1">
      <alignment horizontal="center" vertical="center" wrapText="1"/>
      <protection locked="0"/>
    </xf>
    <xf numFmtId="173" fontId="66" fillId="6" borderId="1" xfId="299" applyNumberFormat="1" applyFont="1" applyFill="1" applyBorder="1" applyAlignment="1">
      <alignment horizontal="center" vertical="center" wrapText="1"/>
    </xf>
    <xf numFmtId="173" fontId="66" fillId="58" borderId="1" xfId="299" applyNumberFormat="1" applyFont="1" applyFill="1" applyBorder="1" applyAlignment="1">
      <alignment horizontal="center" vertical="center" wrapText="1"/>
    </xf>
    <xf numFmtId="173" fontId="64" fillId="39" borderId="1" xfId="299" applyNumberFormat="1" applyFont="1" applyFill="1" applyBorder="1" applyAlignment="1">
      <alignment horizontal="center" vertical="center"/>
    </xf>
    <xf numFmtId="173" fontId="64" fillId="0" borderId="1" xfId="299" applyNumberFormat="1" applyFont="1" applyBorder="1" applyAlignment="1">
      <alignment horizontal="center" vertical="center" wrapText="1"/>
    </xf>
    <xf numFmtId="173" fontId="64" fillId="39" borderId="1" xfId="299" applyNumberFormat="1" applyFont="1" applyFill="1" applyBorder="1" applyAlignment="1">
      <alignment horizontal="center" vertical="center" wrapText="1"/>
    </xf>
    <xf numFmtId="173" fontId="0" fillId="39" borderId="1" xfId="299" applyNumberFormat="1" applyFont="1" applyFill="1" applyBorder="1" applyAlignment="1">
      <alignment horizontal="center" vertical="center"/>
    </xf>
    <xf numFmtId="173" fontId="66" fillId="58" borderId="1" xfId="299" applyNumberFormat="1" applyFont="1" applyFill="1" applyBorder="1" applyAlignment="1">
      <alignment horizontal="center" vertical="center"/>
    </xf>
    <xf numFmtId="173" fontId="64" fillId="0" borderId="1" xfId="299" applyNumberFormat="1" applyFont="1" applyFill="1" applyBorder="1" applyAlignment="1">
      <alignment horizontal="center" vertical="center"/>
    </xf>
    <xf numFmtId="173" fontId="66" fillId="0" borderId="1" xfId="299" applyNumberFormat="1" applyFont="1" applyFill="1" applyBorder="1" applyAlignment="1">
      <alignment horizontal="center" vertical="center"/>
    </xf>
    <xf numFmtId="0" fontId="78" fillId="0" borderId="0" xfId="2" applyFont="1" applyAlignment="1" applyProtection="1">
      <alignment horizontal="center"/>
      <protection locked="0"/>
    </xf>
    <xf numFmtId="0" fontId="80" fillId="0" borderId="0" xfId="0" applyFont="1"/>
    <xf numFmtId="0" fontId="81" fillId="0" borderId="0" xfId="2" applyFont="1" applyBorder="1" applyAlignment="1" applyProtection="1">
      <alignment horizontal="center"/>
      <protection locked="0"/>
    </xf>
    <xf numFmtId="4" fontId="80" fillId="0" borderId="0" xfId="0" applyNumberFormat="1" applyFont="1"/>
    <xf numFmtId="10" fontId="80" fillId="0" borderId="0" xfId="0" applyNumberFormat="1" applyFont="1"/>
    <xf numFmtId="0" fontId="80" fillId="0" borderId="0" xfId="0" applyFont="1" applyAlignment="1">
      <alignment wrapText="1"/>
    </xf>
    <xf numFmtId="3" fontId="80" fillId="0" borderId="0" xfId="0" applyNumberFormat="1" applyFont="1"/>
    <xf numFmtId="3" fontId="80" fillId="0" borderId="0" xfId="0" applyNumberFormat="1" applyFont="1" applyProtection="1"/>
    <xf numFmtId="3" fontId="82" fillId="0" borderId="0" xfId="0" applyNumberFormat="1" applyFont="1"/>
    <xf numFmtId="3" fontId="80" fillId="0" borderId="0" xfId="0" applyNumberFormat="1" applyFont="1" applyFill="1"/>
    <xf numFmtId="0" fontId="80" fillId="0" borderId="0" xfId="0" applyFont="1" applyFill="1"/>
    <xf numFmtId="0" fontId="83" fillId="58" borderId="26" xfId="2" applyFont="1" applyFill="1" applyBorder="1" applyAlignment="1" applyProtection="1">
      <alignment horizontal="left" vertical="center" wrapText="1"/>
    </xf>
    <xf numFmtId="0" fontId="83" fillId="58" borderId="27" xfId="2" applyFont="1" applyFill="1" applyBorder="1" applyAlignment="1" applyProtection="1">
      <alignment horizontal="left" vertical="center" wrapText="1"/>
    </xf>
    <xf numFmtId="0" fontId="83" fillId="58" borderId="27" xfId="2" applyFont="1" applyFill="1" applyBorder="1" applyAlignment="1" applyProtection="1">
      <alignment horizontal="center" vertical="center" wrapText="1"/>
    </xf>
    <xf numFmtId="3" fontId="83" fillId="58" borderId="27" xfId="2" applyNumberFormat="1" applyFont="1" applyFill="1" applyBorder="1" applyAlignment="1" applyProtection="1">
      <alignment horizontal="center" vertical="center" wrapText="1"/>
    </xf>
    <xf numFmtId="3" fontId="85" fillId="58" borderId="27" xfId="2" applyNumberFormat="1" applyFont="1" applyFill="1" applyBorder="1" applyAlignment="1" applyProtection="1">
      <alignment horizontal="center" vertical="center" wrapText="1"/>
    </xf>
    <xf numFmtId="0" fontId="83" fillId="58" borderId="28" xfId="2" applyFont="1" applyFill="1" applyBorder="1" applyAlignment="1" applyProtection="1">
      <alignment horizontal="center" vertical="center" wrapText="1"/>
    </xf>
    <xf numFmtId="0" fontId="80" fillId="0" borderId="0" xfId="0" applyFont="1" applyProtection="1"/>
    <xf numFmtId="0" fontId="83" fillId="58" borderId="29" xfId="2" applyFont="1" applyFill="1" applyBorder="1" applyAlignment="1" applyProtection="1">
      <alignment horizontal="center" vertical="center" wrapText="1"/>
    </xf>
    <xf numFmtId="0" fontId="83" fillId="58" borderId="1" xfId="2" applyFont="1" applyFill="1" applyBorder="1" applyAlignment="1" applyProtection="1">
      <alignment horizontal="center" vertical="center" wrapText="1"/>
    </xf>
    <xf numFmtId="0" fontId="85" fillId="58" borderId="1" xfId="2" applyFont="1" applyFill="1" applyBorder="1" applyAlignment="1" applyProtection="1">
      <alignment horizontal="center" vertical="center" wrapText="1"/>
    </xf>
    <xf numFmtId="16" fontId="83" fillId="58" borderId="1" xfId="2" applyNumberFormat="1" applyFont="1" applyFill="1" applyBorder="1" applyAlignment="1" applyProtection="1">
      <alignment horizontal="center" vertical="center" wrapText="1"/>
    </xf>
    <xf numFmtId="3" fontId="83" fillId="58" borderId="1" xfId="2" applyNumberFormat="1" applyFont="1" applyFill="1" applyBorder="1" applyAlignment="1" applyProtection="1">
      <alignment horizontal="center" vertical="center" wrapText="1"/>
    </xf>
    <xf numFmtId="0" fontId="80" fillId="0" borderId="1" xfId="0" applyFont="1" applyBorder="1" applyProtection="1"/>
    <xf numFmtId="0" fontId="87" fillId="0" borderId="1" xfId="0" applyFont="1" applyBorder="1" applyAlignment="1" applyProtection="1">
      <alignment horizontal="left" vertical="center" wrapText="1"/>
    </xf>
    <xf numFmtId="0" fontId="87" fillId="0" borderId="1" xfId="0" applyFont="1" applyBorder="1" applyProtection="1"/>
    <xf numFmtId="3" fontId="87" fillId="0" borderId="1" xfId="0" applyNumberFormat="1" applyFont="1" applyBorder="1" applyAlignment="1" applyProtection="1">
      <alignment horizontal="center" vertical="center"/>
      <protection locked="0"/>
    </xf>
    <xf numFmtId="3" fontId="88" fillId="0" borderId="1" xfId="0" applyNumberFormat="1" applyFont="1" applyBorder="1" applyAlignment="1" applyProtection="1">
      <alignment horizontal="center" vertical="center"/>
    </xf>
    <xf numFmtId="3" fontId="87" fillId="0" borderId="1" xfId="0" applyNumberFormat="1" applyFont="1" applyFill="1" applyBorder="1" applyAlignment="1" applyProtection="1">
      <alignment horizontal="center" vertical="center"/>
    </xf>
    <xf numFmtId="174" fontId="87" fillId="0" borderId="1" xfId="0" applyNumberFormat="1" applyFont="1" applyBorder="1" applyAlignment="1" applyProtection="1">
      <alignment horizontal="center" vertical="center"/>
    </xf>
    <xf numFmtId="3" fontId="87" fillId="0" borderId="1" xfId="0" applyNumberFormat="1" applyFont="1" applyBorder="1" applyAlignment="1" applyProtection="1">
      <alignment horizontal="center" vertical="center"/>
    </xf>
    <xf numFmtId="3" fontId="87" fillId="0" borderId="1" xfId="2" applyNumberFormat="1" applyFont="1" applyFill="1" applyBorder="1" applyAlignment="1" applyProtection="1">
      <alignment horizontal="center" vertical="center" wrapText="1"/>
    </xf>
    <xf numFmtId="0" fontId="83" fillId="58" borderId="1" xfId="2" applyFont="1" applyFill="1" applyBorder="1" applyAlignment="1" applyProtection="1">
      <alignment horizontal="left" vertical="center" wrapText="1"/>
    </xf>
    <xf numFmtId="3" fontId="83" fillId="58" borderId="1" xfId="2" applyNumberFormat="1" applyFont="1" applyFill="1" applyBorder="1" applyAlignment="1" applyProtection="1">
      <alignment horizontal="center" vertical="center" wrapText="1"/>
      <protection locked="0"/>
    </xf>
    <xf numFmtId="3" fontId="85" fillId="58" borderId="1" xfId="2" applyNumberFormat="1" applyFont="1" applyFill="1" applyBorder="1" applyAlignment="1" applyProtection="1">
      <alignment horizontal="center" vertical="center" wrapText="1"/>
      <protection locked="0"/>
    </xf>
    <xf numFmtId="174" fontId="83" fillId="58" borderId="1" xfId="2" applyNumberFormat="1" applyFont="1" applyFill="1" applyBorder="1" applyAlignment="1" applyProtection="1">
      <alignment horizontal="center" vertical="center" wrapText="1"/>
    </xf>
    <xf numFmtId="0" fontId="80" fillId="38" borderId="1" xfId="0" applyFont="1" applyFill="1" applyBorder="1" applyProtection="1"/>
    <xf numFmtId="0" fontId="87" fillId="38" borderId="1" xfId="0" applyFont="1" applyFill="1" applyBorder="1" applyAlignment="1" applyProtection="1">
      <alignment horizontal="left" vertical="center" wrapText="1"/>
    </xf>
    <xf numFmtId="0" fontId="87" fillId="38" borderId="1" xfId="0" applyFont="1" applyFill="1" applyBorder="1" applyProtection="1"/>
    <xf numFmtId="3" fontId="87" fillId="38" borderId="1" xfId="0" applyNumberFormat="1" applyFont="1" applyFill="1" applyBorder="1" applyProtection="1"/>
    <xf numFmtId="3" fontId="87" fillId="38" borderId="1" xfId="0" applyNumberFormat="1" applyFont="1" applyFill="1" applyBorder="1" applyAlignment="1" applyProtection="1">
      <alignment horizontal="center" vertical="center"/>
      <protection locked="0"/>
    </xf>
    <xf numFmtId="3" fontId="88" fillId="38" borderId="1" xfId="0" applyNumberFormat="1" applyFont="1" applyFill="1" applyBorder="1" applyAlignment="1" applyProtection="1">
      <alignment horizontal="center" vertical="center"/>
    </xf>
    <xf numFmtId="3" fontId="87" fillId="38" borderId="1" xfId="0" applyNumberFormat="1" applyFont="1" applyFill="1" applyBorder="1" applyAlignment="1" applyProtection="1">
      <alignment horizontal="center" vertical="center"/>
    </xf>
    <xf numFmtId="174" fontId="87" fillId="38" borderId="1" xfId="0" applyNumberFormat="1" applyFont="1" applyFill="1" applyBorder="1" applyAlignment="1" applyProtection="1">
      <alignment horizontal="center" vertical="center"/>
    </xf>
    <xf numFmtId="3" fontId="87" fillId="38" borderId="1" xfId="2" applyNumberFormat="1" applyFont="1" applyFill="1" applyBorder="1" applyAlignment="1" applyProtection="1">
      <alignment horizontal="center" vertical="center" wrapText="1"/>
    </xf>
    <xf numFmtId="0" fontId="89" fillId="59" borderId="29" xfId="2" applyFont="1" applyFill="1" applyBorder="1" applyAlignment="1" applyProtection="1">
      <alignment horizontal="left" vertical="center" wrapText="1"/>
    </xf>
    <xf numFmtId="0" fontId="89" fillId="59" borderId="1" xfId="2" applyFont="1" applyFill="1" applyBorder="1" applyAlignment="1" applyProtection="1">
      <alignment horizontal="left" vertical="center" wrapText="1"/>
    </xf>
    <xf numFmtId="0" fontId="89" fillId="59" borderId="1" xfId="2" applyFont="1" applyFill="1" applyBorder="1" applyAlignment="1" applyProtection="1">
      <alignment horizontal="center" vertical="center" wrapText="1"/>
    </xf>
    <xf numFmtId="3" fontId="89" fillId="59" borderId="1" xfId="2" applyNumberFormat="1" applyFont="1" applyFill="1" applyBorder="1" applyAlignment="1" applyProtection="1">
      <alignment horizontal="center" vertical="center" wrapText="1"/>
      <protection locked="0"/>
    </xf>
    <xf numFmtId="3" fontId="91" fillId="59" borderId="1" xfId="2" applyNumberFormat="1" applyFont="1" applyFill="1" applyBorder="1" applyAlignment="1" applyProtection="1">
      <alignment horizontal="center" vertical="center" wrapText="1"/>
    </xf>
    <xf numFmtId="3" fontId="89" fillId="59" borderId="1" xfId="2" applyNumberFormat="1" applyFont="1" applyFill="1" applyBorder="1" applyAlignment="1" applyProtection="1">
      <alignment horizontal="center" vertical="center" wrapText="1"/>
    </xf>
    <xf numFmtId="174" fontId="83" fillId="59" borderId="1" xfId="2" applyNumberFormat="1" applyFont="1" applyFill="1" applyBorder="1" applyAlignment="1" applyProtection="1">
      <alignment horizontal="center" vertical="center" wrapText="1"/>
    </xf>
    <xf numFmtId="174" fontId="92" fillId="59" borderId="1" xfId="2" applyNumberFormat="1" applyFont="1" applyFill="1" applyBorder="1" applyAlignment="1" applyProtection="1">
      <alignment horizontal="center" vertical="center" wrapText="1"/>
    </xf>
    <xf numFmtId="174" fontId="93" fillId="59" borderId="1" xfId="2" applyNumberFormat="1" applyFont="1" applyFill="1" applyBorder="1" applyAlignment="1" applyProtection="1">
      <alignment horizontal="center" vertical="center" wrapText="1"/>
    </xf>
    <xf numFmtId="174" fontId="89" fillId="59" borderId="1" xfId="2" applyNumberFormat="1" applyFont="1" applyFill="1" applyBorder="1" applyAlignment="1" applyProtection="1">
      <alignment horizontal="center" vertical="center" wrapText="1"/>
    </xf>
    <xf numFmtId="3" fontId="89" fillId="38" borderId="1" xfId="2" applyNumberFormat="1" applyFont="1" applyFill="1" applyBorder="1" applyAlignment="1" applyProtection="1">
      <alignment horizontal="center" vertical="center" wrapText="1"/>
      <protection locked="0"/>
    </xf>
    <xf numFmtId="174" fontId="89" fillId="38" borderId="1" xfId="2" applyNumberFormat="1" applyFont="1" applyFill="1" applyBorder="1" applyAlignment="1" applyProtection="1">
      <alignment horizontal="center" vertical="center"/>
      <protection locked="0"/>
    </xf>
    <xf numFmtId="174" fontId="89" fillId="38" borderId="30" xfId="2" applyNumberFormat="1" applyFont="1" applyFill="1" applyBorder="1" applyAlignment="1" applyProtection="1">
      <alignment horizontal="center" vertical="center"/>
      <protection locked="0"/>
    </xf>
    <xf numFmtId="0" fontId="83" fillId="38" borderId="29" xfId="2" applyFont="1" applyFill="1" applyBorder="1" applyAlignment="1" applyProtection="1">
      <alignment horizontal="left" vertical="center" wrapText="1"/>
    </xf>
    <xf numFmtId="0" fontId="83" fillId="38" borderId="1" xfId="2" applyFont="1" applyFill="1" applyBorder="1" applyAlignment="1" applyProtection="1">
      <alignment horizontal="left" vertical="center" wrapText="1"/>
    </xf>
    <xf numFmtId="0" fontId="83" fillId="38" borderId="1" xfId="2" applyFont="1" applyFill="1" applyBorder="1" applyAlignment="1" applyProtection="1">
      <alignment horizontal="center" vertical="center" wrapText="1"/>
    </xf>
    <xf numFmtId="3" fontId="83" fillId="38" borderId="1" xfId="2" applyNumberFormat="1" applyFont="1" applyFill="1" applyBorder="1" applyAlignment="1" applyProtection="1">
      <alignment horizontal="center" vertical="center" wrapText="1"/>
      <protection locked="0"/>
    </xf>
    <xf numFmtId="3" fontId="85" fillId="38" borderId="1" xfId="2" applyNumberFormat="1" applyFont="1" applyFill="1" applyBorder="1" applyAlignment="1" applyProtection="1">
      <alignment horizontal="center" vertical="center" wrapText="1"/>
    </xf>
    <xf numFmtId="3" fontId="83" fillId="38" borderId="1" xfId="2" applyNumberFormat="1" applyFont="1" applyFill="1" applyBorder="1" applyAlignment="1" applyProtection="1">
      <alignment horizontal="center" vertical="center" wrapText="1"/>
    </xf>
    <xf numFmtId="174" fontId="83" fillId="38" borderId="1" xfId="2" applyNumberFormat="1" applyFont="1" applyFill="1" applyBorder="1" applyAlignment="1" applyProtection="1">
      <alignment horizontal="center" vertical="center" wrapText="1"/>
    </xf>
    <xf numFmtId="3" fontId="83" fillId="38" borderId="1" xfId="0" applyNumberFormat="1" applyFont="1" applyFill="1" applyBorder="1" applyAlignment="1" applyProtection="1">
      <alignment horizontal="center" vertical="center"/>
    </xf>
    <xf numFmtId="174" fontId="83" fillId="38" borderId="1" xfId="2" applyNumberFormat="1" applyFont="1" applyFill="1" applyBorder="1" applyAlignment="1" applyProtection="1">
      <alignment horizontal="center" vertical="center"/>
      <protection locked="0"/>
    </xf>
    <xf numFmtId="174" fontId="83" fillId="38" borderId="30" xfId="2" applyNumberFormat="1" applyFont="1" applyFill="1" applyBorder="1" applyAlignment="1" applyProtection="1">
      <alignment horizontal="center" vertical="center"/>
      <protection locked="0"/>
    </xf>
    <xf numFmtId="0" fontId="94" fillId="38" borderId="29" xfId="2" applyFont="1" applyFill="1" applyBorder="1" applyAlignment="1" applyProtection="1">
      <alignment horizontal="left" vertical="center" wrapText="1"/>
      <protection locked="0"/>
    </xf>
    <xf numFmtId="0" fontId="94" fillId="38" borderId="1" xfId="2" applyFont="1" applyFill="1" applyBorder="1" applyAlignment="1" applyProtection="1">
      <alignment horizontal="left" vertical="center" wrapText="1"/>
      <protection locked="0"/>
    </xf>
    <xf numFmtId="0" fontId="94" fillId="38" borderId="1" xfId="2" applyFont="1" applyFill="1" applyBorder="1" applyAlignment="1" applyProtection="1">
      <alignment horizontal="center" vertical="center" wrapText="1"/>
      <protection locked="0"/>
    </xf>
    <xf numFmtId="3" fontId="94" fillId="38" borderId="1" xfId="2" applyNumberFormat="1" applyFont="1" applyFill="1" applyBorder="1" applyAlignment="1" applyProtection="1">
      <alignment horizontal="center" vertical="center"/>
      <protection locked="0"/>
    </xf>
    <xf numFmtId="3" fontId="95" fillId="38" borderId="1" xfId="0" applyNumberFormat="1" applyFont="1" applyFill="1" applyBorder="1" applyAlignment="1" applyProtection="1">
      <alignment horizontal="center" vertical="center"/>
      <protection locked="0"/>
    </xf>
    <xf numFmtId="3" fontId="96" fillId="38" borderId="1" xfId="2" applyNumberFormat="1" applyFont="1" applyFill="1" applyBorder="1" applyAlignment="1" applyProtection="1">
      <alignment horizontal="center" vertical="center"/>
      <protection locked="0"/>
    </xf>
    <xf numFmtId="174" fontId="94" fillId="38" borderId="1" xfId="2" applyNumberFormat="1" applyFont="1" applyFill="1" applyBorder="1" applyAlignment="1" applyProtection="1">
      <alignment horizontal="center" vertical="center" wrapText="1"/>
    </xf>
    <xf numFmtId="174" fontId="94" fillId="38" borderId="1" xfId="2" applyNumberFormat="1" applyFont="1" applyFill="1" applyBorder="1" applyAlignment="1" applyProtection="1">
      <alignment horizontal="center" vertical="center" wrapText="1"/>
      <protection locked="0"/>
    </xf>
    <xf numFmtId="3" fontId="94" fillId="38" borderId="1" xfId="2" applyNumberFormat="1" applyFont="1" applyFill="1" applyBorder="1" applyAlignment="1" applyProtection="1">
      <alignment horizontal="center" vertical="center" wrapText="1"/>
      <protection locked="0"/>
    </xf>
    <xf numFmtId="1" fontId="94" fillId="38" borderId="1" xfId="2" applyNumberFormat="1" applyFont="1" applyFill="1" applyBorder="1" applyAlignment="1" applyProtection="1">
      <alignment horizontal="center" vertical="center" wrapText="1"/>
      <protection locked="0"/>
    </xf>
    <xf numFmtId="3" fontId="94" fillId="38" borderId="1" xfId="0" applyNumberFormat="1" applyFont="1" applyFill="1" applyBorder="1" applyAlignment="1" applyProtection="1">
      <alignment horizontal="center" vertical="center"/>
      <protection locked="0"/>
    </xf>
    <xf numFmtId="174" fontId="95" fillId="38" borderId="1" xfId="0" applyNumberFormat="1" applyFont="1" applyFill="1" applyBorder="1" applyAlignment="1" applyProtection="1">
      <alignment horizontal="center" vertical="center"/>
    </xf>
    <xf numFmtId="174" fontId="94" fillId="38" borderId="1" xfId="2" applyNumberFormat="1" applyFont="1" applyFill="1" applyBorder="1" applyAlignment="1" applyProtection="1">
      <alignment horizontal="center" vertical="center"/>
      <protection locked="0"/>
    </xf>
    <xf numFmtId="174" fontId="94" fillId="38" borderId="30" xfId="2" applyNumberFormat="1" applyFont="1" applyFill="1" applyBorder="1" applyAlignment="1" applyProtection="1">
      <alignment horizontal="center" vertical="center"/>
      <protection locked="0"/>
    </xf>
    <xf numFmtId="3" fontId="97" fillId="38" borderId="1" xfId="2" applyNumberFormat="1" applyFont="1" applyFill="1" applyBorder="1" applyAlignment="1" applyProtection="1">
      <alignment horizontal="center" vertical="center"/>
      <protection locked="0"/>
    </xf>
    <xf numFmtId="3" fontId="98" fillId="0" borderId="31" xfId="0" applyNumberFormat="1" applyFont="1" applyFill="1" applyBorder="1" applyAlignment="1">
      <alignment horizontal="center" vertical="center" wrapText="1" readingOrder="1"/>
    </xf>
    <xf numFmtId="174" fontId="94" fillId="0" borderId="1" xfId="2" applyNumberFormat="1" applyFont="1" applyFill="1" applyBorder="1" applyAlignment="1" applyProtection="1">
      <alignment horizontal="center" vertical="center" wrapText="1"/>
    </xf>
    <xf numFmtId="174" fontId="94" fillId="0" borderId="1" xfId="2" applyNumberFormat="1" applyFont="1" applyFill="1" applyBorder="1" applyAlignment="1" applyProtection="1">
      <alignment horizontal="center" vertical="center" wrapText="1"/>
      <protection locked="0"/>
    </xf>
    <xf numFmtId="3" fontId="95" fillId="0" borderId="1" xfId="0" applyNumberFormat="1" applyFont="1" applyFill="1" applyBorder="1" applyAlignment="1">
      <alignment horizontal="center" vertical="center"/>
    </xf>
    <xf numFmtId="3" fontId="95" fillId="0" borderId="1" xfId="2" applyNumberFormat="1" applyFont="1" applyFill="1" applyBorder="1" applyAlignment="1" applyProtection="1">
      <alignment horizontal="center" vertical="center" wrapText="1"/>
      <protection locked="0"/>
    </xf>
    <xf numFmtId="3" fontId="94" fillId="0" borderId="1" xfId="2" applyNumberFormat="1" applyFont="1" applyFill="1" applyBorder="1" applyAlignment="1" applyProtection="1">
      <alignment horizontal="center" vertical="center" wrapText="1"/>
      <protection locked="0"/>
    </xf>
    <xf numFmtId="3" fontId="94" fillId="0" borderId="1" xfId="2" applyNumberFormat="1" applyFont="1" applyFill="1" applyBorder="1" applyAlignment="1" applyProtection="1">
      <alignment horizontal="center" vertical="center"/>
      <protection locked="0"/>
    </xf>
    <xf numFmtId="1" fontId="94" fillId="0" borderId="1" xfId="2" applyNumberFormat="1" applyFont="1" applyFill="1" applyBorder="1" applyAlignment="1" applyProtection="1">
      <alignment horizontal="center" vertical="center" wrapText="1"/>
      <protection locked="0"/>
    </xf>
    <xf numFmtId="3" fontId="83" fillId="0" borderId="1" xfId="2" applyNumberFormat="1" applyFont="1" applyFill="1" applyBorder="1" applyAlignment="1" applyProtection="1">
      <alignment horizontal="center" vertical="center" wrapText="1"/>
    </xf>
    <xf numFmtId="174" fontId="83" fillId="0" borderId="1" xfId="2" applyNumberFormat="1" applyFont="1" applyFill="1" applyBorder="1" applyAlignment="1" applyProtection="1">
      <alignment horizontal="center" vertical="center" wrapText="1"/>
    </xf>
    <xf numFmtId="0" fontId="94" fillId="38" borderId="29" xfId="2" applyFont="1" applyFill="1" applyBorder="1" applyAlignment="1" applyProtection="1">
      <alignment horizontal="left" vertical="center" wrapText="1"/>
    </xf>
    <xf numFmtId="0" fontId="94" fillId="38" borderId="1" xfId="2" applyFont="1" applyFill="1" applyBorder="1" applyAlignment="1" applyProtection="1">
      <alignment horizontal="left" vertical="center" wrapText="1"/>
    </xf>
    <xf numFmtId="0" fontId="94" fillId="38" borderId="1" xfId="2" applyFont="1" applyFill="1" applyBorder="1" applyAlignment="1" applyProtection="1">
      <alignment horizontal="center" vertical="center" wrapText="1"/>
    </xf>
    <xf numFmtId="3" fontId="96" fillId="38" borderId="1" xfId="2" applyNumberFormat="1" applyFont="1" applyFill="1" applyBorder="1" applyAlignment="1" applyProtection="1">
      <alignment horizontal="center" vertical="center"/>
    </xf>
    <xf numFmtId="3" fontId="94" fillId="0" borderId="1" xfId="2" applyNumberFormat="1" applyFont="1" applyFill="1" applyBorder="1" applyAlignment="1" applyProtection="1">
      <alignment horizontal="center" vertical="center"/>
    </xf>
    <xf numFmtId="3" fontId="94" fillId="0" borderId="1" xfId="2" applyNumberFormat="1" applyFont="1" applyFill="1" applyBorder="1" applyAlignment="1" applyProtection="1">
      <alignment horizontal="center" vertical="center" wrapText="1"/>
    </xf>
    <xf numFmtId="3" fontId="94" fillId="38" borderId="1" xfId="2" applyNumberFormat="1" applyFont="1" applyFill="1" applyBorder="1" applyAlignment="1" applyProtection="1">
      <alignment horizontal="center" vertical="center" wrapText="1"/>
    </xf>
    <xf numFmtId="3" fontId="94" fillId="38" borderId="1" xfId="0" applyNumberFormat="1" applyFont="1" applyFill="1" applyBorder="1" applyAlignment="1" applyProtection="1">
      <alignment horizontal="center" vertical="center"/>
    </xf>
    <xf numFmtId="173" fontId="99" fillId="0" borderId="1" xfId="0" applyNumberFormat="1" applyFont="1" applyFill="1" applyBorder="1" applyAlignment="1">
      <alignment horizontal="center" vertical="center" wrapText="1"/>
    </xf>
    <xf numFmtId="174" fontId="95" fillId="0" borderId="1" xfId="2" applyNumberFormat="1" applyFont="1" applyFill="1" applyBorder="1" applyAlignment="1" applyProtection="1">
      <alignment horizontal="center" vertical="center" wrapText="1"/>
    </xf>
    <xf numFmtId="174" fontId="95" fillId="0" borderId="1" xfId="2" applyNumberFormat="1" applyFont="1" applyFill="1" applyBorder="1" applyAlignment="1" applyProtection="1">
      <alignment horizontal="center" vertical="center" wrapText="1"/>
      <protection locked="0"/>
    </xf>
    <xf numFmtId="1" fontId="95" fillId="0" borderId="1" xfId="2" applyNumberFormat="1" applyFont="1" applyFill="1" applyBorder="1" applyAlignment="1" applyProtection="1">
      <alignment horizontal="center" vertical="center" wrapText="1"/>
      <protection locked="0"/>
    </xf>
    <xf numFmtId="3" fontId="95" fillId="38" borderId="1" xfId="2" applyNumberFormat="1" applyFont="1" applyFill="1" applyBorder="1" applyAlignment="1" applyProtection="1">
      <alignment horizontal="center" vertical="center" wrapText="1"/>
      <protection locked="0"/>
    </xf>
    <xf numFmtId="174" fontId="95" fillId="38" borderId="1" xfId="2" applyNumberFormat="1" applyFont="1" applyFill="1" applyBorder="1" applyAlignment="1" applyProtection="1">
      <alignment horizontal="center" vertical="center" wrapText="1"/>
    </xf>
    <xf numFmtId="3" fontId="95" fillId="0" borderId="32" xfId="0" applyNumberFormat="1" applyFont="1" applyFill="1" applyBorder="1" applyAlignment="1">
      <alignment horizontal="center" vertical="center"/>
    </xf>
    <xf numFmtId="3" fontId="94" fillId="38" borderId="1" xfId="2" applyNumberFormat="1" applyFont="1" applyFill="1" applyBorder="1" applyAlignment="1" applyProtection="1">
      <alignment horizontal="center" vertical="center"/>
    </xf>
    <xf numFmtId="173" fontId="99" fillId="0" borderId="22" xfId="0" applyNumberFormat="1" applyFont="1" applyFill="1" applyBorder="1" applyAlignment="1">
      <alignment horizontal="center" vertical="center" wrapText="1"/>
    </xf>
    <xf numFmtId="9" fontId="94" fillId="0" borderId="1" xfId="170" applyFont="1" applyFill="1" applyBorder="1" applyAlignment="1" applyProtection="1">
      <alignment horizontal="center" vertical="center" wrapText="1"/>
      <protection locked="0"/>
    </xf>
    <xf numFmtId="173" fontId="100" fillId="38" borderId="1" xfId="0" applyNumberFormat="1" applyFont="1" applyFill="1" applyBorder="1" applyAlignment="1">
      <alignment horizontal="center" vertical="center" wrapText="1"/>
    </xf>
    <xf numFmtId="3" fontId="85" fillId="38" borderId="12" xfId="2" applyNumberFormat="1" applyFont="1" applyFill="1" applyBorder="1" applyAlignment="1" applyProtection="1">
      <alignment horizontal="center" vertical="center" wrapText="1"/>
    </xf>
    <xf numFmtId="174" fontId="83" fillId="0" borderId="13" xfId="2" applyNumberFormat="1" applyFont="1" applyFill="1" applyBorder="1" applyAlignment="1" applyProtection="1">
      <alignment horizontal="center" vertical="center" wrapText="1"/>
    </xf>
    <xf numFmtId="3" fontId="96" fillId="38" borderId="12" xfId="2" applyNumberFormat="1" applyFont="1" applyFill="1" applyBorder="1" applyAlignment="1" applyProtection="1">
      <alignment horizontal="center" vertical="center"/>
      <protection locked="0"/>
    </xf>
    <xf numFmtId="174" fontId="94" fillId="0" borderId="13" xfId="2" applyNumberFormat="1" applyFont="1" applyFill="1" applyBorder="1" applyAlignment="1" applyProtection="1">
      <alignment horizontal="center" vertical="center" wrapText="1"/>
    </xf>
    <xf numFmtId="3" fontId="83" fillId="38" borderId="23" xfId="2" applyNumberFormat="1" applyFont="1" applyFill="1" applyBorder="1" applyAlignment="1" applyProtection="1">
      <alignment horizontal="center" vertical="center" wrapText="1"/>
    </xf>
    <xf numFmtId="165" fontId="94" fillId="38" borderId="1" xfId="2" applyNumberFormat="1" applyFont="1" applyFill="1" applyBorder="1" applyAlignment="1" applyProtection="1">
      <alignment horizontal="center" vertical="center" wrapText="1"/>
      <protection locked="0"/>
    </xf>
    <xf numFmtId="3" fontId="95" fillId="38" borderId="1" xfId="2" applyNumberFormat="1" applyFont="1" applyFill="1" applyBorder="1" applyAlignment="1" applyProtection="1">
      <alignment horizontal="center" vertical="center" wrapText="1"/>
    </xf>
    <xf numFmtId="38" fontId="94" fillId="38" borderId="1" xfId="2" applyNumberFormat="1" applyFont="1" applyFill="1" applyBorder="1" applyAlignment="1" applyProtection="1">
      <alignment horizontal="center" vertical="center"/>
      <protection locked="0"/>
    </xf>
    <xf numFmtId="174" fontId="95" fillId="38" borderId="1" xfId="2" applyNumberFormat="1" applyFont="1" applyFill="1" applyBorder="1" applyAlignment="1" applyProtection="1">
      <alignment horizontal="center" vertical="center"/>
      <protection locked="0"/>
    </xf>
    <xf numFmtId="3" fontId="95" fillId="59" borderId="1" xfId="2" applyNumberFormat="1" applyFont="1" applyFill="1" applyBorder="1" applyAlignment="1" applyProtection="1">
      <alignment horizontal="center" vertical="center" wrapText="1"/>
      <protection locked="0"/>
    </xf>
    <xf numFmtId="3" fontId="89" fillId="38" borderId="1" xfId="2" applyNumberFormat="1" applyFont="1" applyFill="1" applyBorder="1" applyAlignment="1" applyProtection="1">
      <alignment horizontal="center" vertical="center" wrapText="1"/>
    </xf>
    <xf numFmtId="0" fontId="102" fillId="38" borderId="1" xfId="0" applyFont="1" applyFill="1" applyBorder="1" applyAlignment="1">
      <alignment vertical="center" wrapText="1"/>
    </xf>
    <xf numFmtId="0" fontId="103" fillId="38" borderId="1" xfId="0" applyFont="1" applyFill="1" applyBorder="1" applyAlignment="1">
      <alignment vertical="top" wrapText="1"/>
    </xf>
    <xf numFmtId="3" fontId="94" fillId="38" borderId="1" xfId="0" applyNumberFormat="1" applyFont="1" applyFill="1" applyBorder="1" applyAlignment="1">
      <alignment horizontal="center" vertical="center"/>
    </xf>
    <xf numFmtId="0" fontId="103" fillId="38" borderId="1" xfId="0" applyFont="1" applyFill="1" applyBorder="1" applyAlignment="1">
      <alignment horizontal="left" vertical="top" wrapText="1"/>
    </xf>
    <xf numFmtId="3" fontId="96" fillId="38" borderId="1" xfId="0" applyNumberFormat="1" applyFont="1" applyFill="1" applyBorder="1" applyAlignment="1" applyProtection="1">
      <alignment horizontal="center" vertical="center"/>
      <protection locked="0"/>
    </xf>
    <xf numFmtId="3" fontId="94" fillId="0" borderId="1" xfId="0" applyNumberFormat="1" applyFont="1" applyFill="1" applyBorder="1" applyAlignment="1" applyProtection="1">
      <alignment horizontal="center" vertical="center"/>
      <protection locked="0"/>
    </xf>
    <xf numFmtId="174" fontId="95" fillId="0" borderId="1" xfId="0" applyNumberFormat="1" applyFont="1" applyBorder="1" applyAlignment="1" applyProtection="1">
      <alignment horizontal="center" vertical="center"/>
    </xf>
    <xf numFmtId="3" fontId="96" fillId="38" borderId="1" xfId="2" applyNumberFormat="1" applyFont="1" applyFill="1" applyBorder="1" applyAlignment="1" applyProtection="1">
      <alignment horizontal="center" vertical="center" wrapText="1"/>
      <protection locked="0"/>
    </xf>
    <xf numFmtId="3" fontId="96" fillId="38" borderId="1" xfId="2" applyNumberFormat="1" applyFont="1" applyFill="1" applyBorder="1" applyAlignment="1" applyProtection="1">
      <alignment horizontal="center" vertical="center" wrapText="1"/>
    </xf>
    <xf numFmtId="3" fontId="94" fillId="0" borderId="1" xfId="0" applyNumberFormat="1" applyFont="1" applyFill="1" applyBorder="1" applyAlignment="1" applyProtection="1">
      <alignment horizontal="center" vertical="center"/>
    </xf>
    <xf numFmtId="3" fontId="97" fillId="38" borderId="1" xfId="2" applyNumberFormat="1" applyFont="1" applyFill="1" applyBorder="1" applyAlignment="1" applyProtection="1">
      <alignment horizontal="left" vertical="top" wrapText="1"/>
      <protection locked="0"/>
    </xf>
    <xf numFmtId="3" fontId="97" fillId="38" borderId="1" xfId="2" applyNumberFormat="1" applyFont="1" applyFill="1" applyBorder="1" applyAlignment="1" applyProtection="1">
      <alignment horizontal="left" vertical="center" wrapText="1"/>
      <protection locked="0"/>
    </xf>
    <xf numFmtId="3" fontId="97" fillId="38" borderId="1" xfId="2" applyNumberFormat="1" applyFont="1" applyFill="1" applyBorder="1" applyAlignment="1" applyProtection="1">
      <alignment horizontal="center" vertical="center" wrapText="1"/>
      <protection locked="0"/>
    </xf>
    <xf numFmtId="0" fontId="103" fillId="38" borderId="1" xfId="0" applyFont="1" applyFill="1" applyBorder="1" applyAlignment="1">
      <alignment horizontal="justify" vertical="top"/>
    </xf>
    <xf numFmtId="0" fontId="103" fillId="38" borderId="1" xfId="0" applyFont="1" applyFill="1" applyBorder="1" applyAlignment="1">
      <alignment horizontal="justify" vertical="center"/>
    </xf>
    <xf numFmtId="3" fontId="104" fillId="38" borderId="1" xfId="2" applyNumberFormat="1" applyFont="1" applyFill="1" applyBorder="1" applyAlignment="1" applyProtection="1">
      <alignment horizontal="left" vertical="center" wrapText="1"/>
      <protection locked="0"/>
    </xf>
    <xf numFmtId="3" fontId="104" fillId="38" borderId="1" xfId="2" applyNumberFormat="1" applyFont="1" applyFill="1" applyBorder="1" applyAlignment="1" applyProtection="1">
      <alignment horizontal="left" vertical="top" wrapText="1"/>
      <protection locked="0"/>
    </xf>
    <xf numFmtId="174" fontId="83" fillId="0" borderId="1" xfId="2" applyNumberFormat="1" applyFont="1" applyFill="1" applyBorder="1" applyAlignment="1" applyProtection="1">
      <alignment horizontal="center" vertical="center" wrapText="1"/>
      <protection locked="0"/>
    </xf>
    <xf numFmtId="3" fontId="94" fillId="0" borderId="1" xfId="0" applyNumberFormat="1" applyFont="1" applyBorder="1" applyAlignment="1" applyProtection="1">
      <alignment horizontal="center" vertical="center"/>
      <protection locked="0"/>
    </xf>
    <xf numFmtId="174" fontId="83" fillId="38" borderId="1" xfId="2" applyNumberFormat="1" applyFont="1" applyFill="1" applyBorder="1" applyAlignment="1" applyProtection="1">
      <alignment horizontal="center" vertical="center" wrapText="1"/>
      <protection locked="0"/>
    </xf>
    <xf numFmtId="3" fontId="83" fillId="59" borderId="1" xfId="2" applyNumberFormat="1" applyFont="1" applyFill="1" applyBorder="1" applyAlignment="1" applyProtection="1">
      <alignment horizontal="center" vertical="center" wrapText="1"/>
      <protection locked="0"/>
    </xf>
    <xf numFmtId="3" fontId="91" fillId="59" borderId="1" xfId="2" applyNumberFormat="1" applyFont="1" applyFill="1" applyBorder="1" applyAlignment="1" applyProtection="1">
      <alignment horizontal="center" vertical="center" wrapText="1"/>
      <protection locked="0"/>
    </xf>
    <xf numFmtId="3" fontId="89" fillId="38" borderId="1" xfId="168" applyNumberFormat="1" applyFont="1" applyFill="1" applyBorder="1" applyAlignment="1" applyProtection="1">
      <alignment horizontal="center" vertical="center" wrapText="1"/>
      <protection locked="0"/>
    </xf>
    <xf numFmtId="0" fontId="89" fillId="60" borderId="29" xfId="2" applyFont="1" applyFill="1" applyBorder="1" applyAlignment="1" applyProtection="1">
      <alignment horizontal="left" vertical="center" wrapText="1"/>
    </xf>
    <xf numFmtId="0" fontId="89" fillId="60" borderId="1" xfId="2" applyFont="1" applyFill="1" applyBorder="1" applyAlignment="1" applyProtection="1">
      <alignment horizontal="left" vertical="center" wrapText="1"/>
    </xf>
    <xf numFmtId="0" fontId="89" fillId="60" borderId="1" xfId="2" applyFont="1" applyFill="1" applyBorder="1" applyAlignment="1" applyProtection="1">
      <alignment horizontal="center" vertical="center" wrapText="1"/>
    </xf>
    <xf numFmtId="3" fontId="89" fillId="60" borderId="1" xfId="2" applyNumberFormat="1" applyFont="1" applyFill="1" applyBorder="1" applyAlignment="1" applyProtection="1">
      <alignment horizontal="center" vertical="center" wrapText="1"/>
    </xf>
    <xf numFmtId="3" fontId="89" fillId="60" borderId="1" xfId="2" applyNumberFormat="1" applyFont="1" applyFill="1" applyBorder="1" applyAlignment="1" applyProtection="1">
      <alignment horizontal="center" vertical="center" wrapText="1"/>
      <protection locked="0"/>
    </xf>
    <xf numFmtId="3" fontId="83" fillId="60" borderId="1" xfId="2" applyNumberFormat="1" applyFont="1" applyFill="1" applyBorder="1" applyAlignment="1" applyProtection="1">
      <alignment horizontal="center" vertical="center" wrapText="1"/>
      <protection locked="0"/>
    </xf>
    <xf numFmtId="3" fontId="91" fillId="60" borderId="1" xfId="2" applyNumberFormat="1" applyFont="1" applyFill="1" applyBorder="1" applyAlignment="1" applyProtection="1">
      <alignment horizontal="center" vertical="center" wrapText="1"/>
    </xf>
    <xf numFmtId="174" fontId="83" fillId="60" borderId="1" xfId="2" applyNumberFormat="1" applyFont="1" applyFill="1" applyBorder="1" applyAlignment="1" applyProtection="1">
      <alignment horizontal="center" vertical="center" wrapText="1"/>
    </xf>
    <xf numFmtId="174" fontId="92" fillId="60" borderId="1" xfId="2" applyNumberFormat="1" applyFont="1" applyFill="1" applyBorder="1" applyAlignment="1" applyProtection="1">
      <alignment horizontal="center" vertical="center" wrapText="1"/>
    </xf>
    <xf numFmtId="174" fontId="83" fillId="60" borderId="1" xfId="2" applyNumberFormat="1" applyFont="1" applyFill="1" applyBorder="1" applyAlignment="1" applyProtection="1">
      <alignment horizontal="center" vertical="center" wrapText="1"/>
      <protection locked="0"/>
    </xf>
    <xf numFmtId="174" fontId="89" fillId="38" borderId="1" xfId="2" applyNumberFormat="1" applyFont="1" applyFill="1" applyBorder="1" applyAlignment="1" applyProtection="1">
      <alignment horizontal="center" vertical="center" wrapText="1"/>
    </xf>
    <xf numFmtId="174" fontId="89" fillId="60" borderId="1" xfId="2" applyNumberFormat="1" applyFont="1" applyFill="1" applyBorder="1" applyAlignment="1" applyProtection="1">
      <alignment horizontal="center" vertical="center" wrapText="1"/>
    </xf>
    <xf numFmtId="0" fontId="80" fillId="0" borderId="0" xfId="0" applyFont="1" applyFill="1" applyProtection="1"/>
    <xf numFmtId="3" fontId="96" fillId="0" borderId="1" xfId="2" applyNumberFormat="1" applyFont="1" applyFill="1" applyBorder="1" applyAlignment="1" applyProtection="1">
      <alignment horizontal="center" vertical="center"/>
      <protection locked="0"/>
    </xf>
    <xf numFmtId="3" fontId="94" fillId="38" borderId="1" xfId="169" applyNumberFormat="1" applyFont="1" applyFill="1" applyBorder="1" applyAlignment="1">
      <alignment horizontal="center" vertical="center"/>
    </xf>
    <xf numFmtId="3" fontId="85" fillId="0" borderId="1" xfId="2" applyNumberFormat="1" applyFont="1" applyFill="1" applyBorder="1" applyAlignment="1" applyProtection="1">
      <alignment horizontal="center" vertical="center" wrapText="1"/>
    </xf>
    <xf numFmtId="3" fontId="96" fillId="0" borderId="1" xfId="2" applyNumberFormat="1" applyFont="1" applyFill="1" applyBorder="1" applyAlignment="1" applyProtection="1">
      <alignment horizontal="center" vertical="center"/>
    </xf>
    <xf numFmtId="4" fontId="106" fillId="0" borderId="0" xfId="0" applyNumberFormat="1" applyFont="1" applyFill="1" applyAlignment="1">
      <alignment vertical="center"/>
    </xf>
    <xf numFmtId="0" fontId="80" fillId="38" borderId="0" xfId="0" applyFont="1" applyFill="1"/>
    <xf numFmtId="0" fontId="80" fillId="38" borderId="0" xfId="0" applyFont="1" applyFill="1" applyProtection="1"/>
    <xf numFmtId="3" fontId="83" fillId="38" borderId="1" xfId="2" applyNumberFormat="1" applyFont="1" applyFill="1" applyBorder="1" applyAlignment="1" applyProtection="1">
      <alignment horizontal="center" vertical="center"/>
      <protection locked="0"/>
    </xf>
    <xf numFmtId="0" fontId="107" fillId="0" borderId="0" xfId="0" applyFont="1" applyFill="1" applyProtection="1"/>
    <xf numFmtId="0" fontId="94" fillId="0" borderId="29" xfId="2" applyFont="1" applyFill="1" applyBorder="1" applyAlignment="1" applyProtection="1">
      <alignment horizontal="left" vertical="center" wrapText="1"/>
      <protection locked="0"/>
    </xf>
    <xf numFmtId="0" fontId="94" fillId="0" borderId="1" xfId="2" applyFont="1" applyFill="1" applyBorder="1" applyAlignment="1" applyProtection="1">
      <alignment horizontal="left" vertical="center" wrapText="1"/>
      <protection locked="0"/>
    </xf>
    <xf numFmtId="0" fontId="94" fillId="0" borderId="1" xfId="2" applyFont="1" applyFill="1" applyBorder="1" applyAlignment="1" applyProtection="1">
      <alignment horizontal="center" vertical="center" wrapText="1"/>
      <protection locked="0"/>
    </xf>
    <xf numFmtId="3" fontId="94" fillId="0" borderId="1" xfId="169" applyNumberFormat="1" applyFont="1" applyFill="1" applyBorder="1" applyAlignment="1">
      <alignment horizontal="center" vertical="center"/>
    </xf>
    <xf numFmtId="3" fontId="83" fillId="0" borderId="1" xfId="2" applyNumberFormat="1" applyFont="1" applyFill="1" applyBorder="1" applyAlignment="1" applyProtection="1">
      <alignment horizontal="center" vertical="center" wrapText="1"/>
      <protection locked="0"/>
    </xf>
    <xf numFmtId="3" fontId="95" fillId="0" borderId="1" xfId="0" applyNumberFormat="1" applyFont="1" applyFill="1" applyBorder="1" applyAlignment="1" applyProtection="1">
      <alignment horizontal="center" vertical="center"/>
      <protection locked="0"/>
    </xf>
    <xf numFmtId="174" fontId="95" fillId="0" borderId="1" xfId="0" applyNumberFormat="1" applyFont="1" applyFill="1" applyBorder="1" applyAlignment="1" applyProtection="1">
      <alignment horizontal="center" vertical="center"/>
    </xf>
    <xf numFmtId="174" fontId="94" fillId="0" borderId="1" xfId="2" applyNumberFormat="1" applyFont="1" applyFill="1" applyBorder="1" applyAlignment="1" applyProtection="1">
      <alignment horizontal="center" vertical="center"/>
      <protection locked="0"/>
    </xf>
    <xf numFmtId="174" fontId="94" fillId="0" borderId="30" xfId="2" applyNumberFormat="1" applyFont="1" applyFill="1" applyBorder="1" applyAlignment="1" applyProtection="1">
      <alignment horizontal="center" vertical="center"/>
      <protection locked="0"/>
    </xf>
    <xf numFmtId="4" fontId="94" fillId="38" borderId="1" xfId="2" applyNumberFormat="1" applyFont="1" applyFill="1" applyBorder="1" applyAlignment="1" applyProtection="1">
      <alignment horizontal="center" vertical="center"/>
      <protection locked="0"/>
    </xf>
    <xf numFmtId="3" fontId="85" fillId="0" borderId="1" xfId="2" applyNumberFormat="1" applyFont="1" applyFill="1" applyBorder="1" applyAlignment="1" applyProtection="1">
      <alignment horizontal="center" vertical="center" wrapText="1"/>
      <protection locked="0"/>
    </xf>
    <xf numFmtId="3" fontId="96" fillId="0" borderId="1" xfId="2" applyNumberFormat="1" applyFont="1" applyFill="1" applyBorder="1" applyAlignment="1" applyProtection="1">
      <alignment horizontal="center" vertical="center" wrapText="1"/>
    </xf>
    <xf numFmtId="3" fontId="87" fillId="38" borderId="1" xfId="2" applyNumberFormat="1" applyFont="1" applyFill="1" applyBorder="1" applyAlignment="1" applyProtection="1">
      <alignment horizontal="center" vertical="center"/>
      <protection locked="0"/>
    </xf>
    <xf numFmtId="173" fontId="94" fillId="38" borderId="1" xfId="2" applyNumberFormat="1" applyFont="1" applyFill="1" applyBorder="1" applyAlignment="1" applyProtection="1">
      <alignment horizontal="center" vertical="center" wrapText="1"/>
      <protection locked="0"/>
    </xf>
    <xf numFmtId="175" fontId="94" fillId="38" borderId="1" xfId="2" applyNumberFormat="1" applyFont="1" applyFill="1" applyBorder="1" applyAlignment="1" applyProtection="1">
      <alignment horizontal="center" vertical="center" wrapText="1"/>
      <protection locked="0"/>
    </xf>
    <xf numFmtId="3" fontId="94" fillId="38" borderId="0" xfId="169" applyNumberFormat="1" applyFont="1" applyFill="1" applyBorder="1" applyAlignment="1">
      <alignment horizontal="center" vertical="center"/>
    </xf>
    <xf numFmtId="3" fontId="94" fillId="38" borderId="21" xfId="2" applyNumberFormat="1" applyFont="1" applyFill="1" applyBorder="1" applyAlignment="1" applyProtection="1">
      <alignment horizontal="center" vertical="center" wrapText="1"/>
      <protection locked="0"/>
    </xf>
    <xf numFmtId="3" fontId="94" fillId="38" borderId="0" xfId="2" applyNumberFormat="1" applyFont="1" applyFill="1" applyBorder="1" applyAlignment="1" applyProtection="1">
      <alignment horizontal="center" vertical="center" wrapText="1"/>
      <protection locked="0"/>
    </xf>
    <xf numFmtId="3" fontId="100" fillId="38" borderId="1" xfId="2" applyNumberFormat="1" applyFont="1" applyFill="1" applyBorder="1" applyAlignment="1" applyProtection="1">
      <alignment horizontal="center" vertical="center"/>
      <protection locked="0"/>
    </xf>
    <xf numFmtId="3" fontId="95" fillId="38" borderId="1" xfId="2" applyNumberFormat="1" applyFont="1" applyFill="1" applyBorder="1" applyAlignment="1" applyProtection="1">
      <alignment horizontal="center" vertical="center"/>
      <protection locked="0"/>
    </xf>
    <xf numFmtId="174" fontId="95" fillId="38" borderId="1" xfId="2" applyNumberFormat="1" applyFont="1" applyFill="1" applyBorder="1" applyAlignment="1" applyProtection="1">
      <alignment horizontal="center" vertical="center" wrapText="1"/>
      <protection locked="0"/>
    </xf>
    <xf numFmtId="38" fontId="95" fillId="38" borderId="1" xfId="2" applyNumberFormat="1" applyFont="1" applyFill="1" applyBorder="1" applyAlignment="1" applyProtection="1">
      <alignment horizontal="center" vertical="center"/>
      <protection locked="0"/>
    </xf>
    <xf numFmtId="0" fontId="80" fillId="0" borderId="0" xfId="0" applyFont="1" applyProtection="1">
      <protection locked="0"/>
    </xf>
    <xf numFmtId="0" fontId="80" fillId="0" borderId="0" xfId="0" applyFont="1" applyAlignment="1" applyProtection="1">
      <alignment wrapText="1"/>
      <protection locked="0"/>
    </xf>
    <xf numFmtId="3" fontId="80" fillId="0" borderId="0" xfId="0" applyNumberFormat="1" applyFont="1" applyProtection="1">
      <protection locked="0"/>
    </xf>
    <xf numFmtId="3" fontId="82" fillId="0" borderId="0" xfId="0" applyNumberFormat="1" applyFont="1" applyProtection="1">
      <protection locked="0"/>
    </xf>
    <xf numFmtId="3" fontId="80" fillId="0" borderId="0" xfId="0" applyNumberFormat="1" applyFont="1" applyFill="1" applyProtection="1">
      <protection locked="0"/>
    </xf>
    <xf numFmtId="174" fontId="80" fillId="0" borderId="0" xfId="0" applyNumberFormat="1" applyFont="1" applyProtection="1">
      <protection locked="0"/>
    </xf>
    <xf numFmtId="0" fontId="108" fillId="0" borderId="0" xfId="2" applyFont="1" applyBorder="1" applyAlignment="1" applyProtection="1">
      <alignment horizontal="left"/>
      <protection locked="0"/>
    </xf>
    <xf numFmtId="0" fontId="92" fillId="0" borderId="0" xfId="2" applyFont="1" applyBorder="1" applyAlignment="1" applyProtection="1">
      <alignment horizontal="left" wrapText="1"/>
      <protection locked="0"/>
    </xf>
    <xf numFmtId="0" fontId="94" fillId="0" borderId="0" xfId="2" applyFont="1" applyAlignment="1" applyProtection="1">
      <alignment horizontal="center" vertical="center" wrapText="1"/>
      <protection locked="0"/>
    </xf>
    <xf numFmtId="4" fontId="94" fillId="0" borderId="0" xfId="2" applyNumberFormat="1" applyFont="1" applyBorder="1" applyAlignment="1" applyProtection="1">
      <alignment horizontal="right" vertical="center"/>
      <protection locked="0"/>
    </xf>
    <xf numFmtId="9" fontId="96" fillId="0" borderId="0" xfId="170" applyFont="1" applyBorder="1" applyAlignment="1" applyProtection="1">
      <alignment horizontal="right" vertical="center"/>
      <protection locked="0"/>
    </xf>
    <xf numFmtId="4" fontId="94" fillId="0" borderId="0" xfId="2" applyNumberFormat="1" applyFont="1" applyFill="1" applyAlignment="1" applyProtection="1">
      <alignment horizontal="right" vertical="center"/>
      <protection locked="0"/>
    </xf>
    <xf numFmtId="174" fontId="94" fillId="0" borderId="0" xfId="2" applyNumberFormat="1" applyFont="1" applyFill="1" applyBorder="1" applyAlignment="1" applyProtection="1">
      <alignment horizontal="center" vertical="center" wrapText="1"/>
      <protection locked="0"/>
    </xf>
    <xf numFmtId="10" fontId="94" fillId="0" borderId="0" xfId="2" applyNumberFormat="1" applyFont="1" applyAlignment="1" applyProtection="1">
      <protection locked="0"/>
    </xf>
    <xf numFmtId="0" fontId="80" fillId="0" borderId="0" xfId="2" applyFont="1" applyProtection="1">
      <protection locked="0"/>
    </xf>
    <xf numFmtId="0" fontId="109" fillId="0" borderId="0" xfId="2" applyFont="1" applyBorder="1" applyAlignment="1" applyProtection="1">
      <alignment horizontal="left"/>
      <protection locked="0"/>
    </xf>
    <xf numFmtId="4" fontId="94" fillId="0" borderId="0" xfId="2" applyNumberFormat="1" applyFont="1" applyAlignment="1" applyProtection="1">
      <protection locked="0"/>
    </xf>
    <xf numFmtId="4" fontId="96" fillId="0" borderId="0" xfId="2" applyNumberFormat="1" applyFont="1" applyBorder="1" applyAlignment="1" applyProtection="1">
      <alignment horizontal="right" vertical="center"/>
      <protection locked="0"/>
    </xf>
    <xf numFmtId="4" fontId="94" fillId="0" borderId="0" xfId="2" applyNumberFormat="1" applyFont="1" applyAlignment="1" applyProtection="1">
      <alignment horizontal="right" vertical="center"/>
      <protection locked="0"/>
    </xf>
    <xf numFmtId="0" fontId="108" fillId="0" borderId="0" xfId="2" applyFont="1" applyBorder="1" applyAlignment="1" applyProtection="1">
      <alignment horizontal="left" wrapText="1"/>
      <protection locked="0"/>
    </xf>
    <xf numFmtId="0" fontId="108" fillId="0" borderId="0" xfId="2" applyFont="1" applyBorder="1" applyAlignment="1" applyProtection="1">
      <alignment wrapText="1"/>
      <protection locked="0"/>
    </xf>
    <xf numFmtId="0" fontId="108" fillId="0" borderId="0" xfId="2" applyFont="1" applyBorder="1" applyAlignment="1" applyProtection="1">
      <alignment horizontal="left" vertical="center" wrapText="1"/>
      <protection locked="0"/>
    </xf>
    <xf numFmtId="0" fontId="110" fillId="0" borderId="0" xfId="2" applyFont="1" applyBorder="1" applyAlignment="1" applyProtection="1">
      <alignment horizontal="left" vertical="center" wrapText="1"/>
      <protection locked="0"/>
    </xf>
    <xf numFmtId="0" fontId="108" fillId="0" borderId="0" xfId="2" applyFont="1" applyFill="1" applyBorder="1" applyAlignment="1" applyProtection="1">
      <alignment horizontal="left" vertical="center" wrapText="1"/>
      <protection locked="0"/>
    </xf>
    <xf numFmtId="0" fontId="108" fillId="0" borderId="0" xfId="2" applyFont="1" applyBorder="1" applyAlignment="1" applyProtection="1">
      <protection locked="0"/>
    </xf>
    <xf numFmtId="0" fontId="110" fillId="0" borderId="0" xfId="0" applyFont="1"/>
    <xf numFmtId="0" fontId="95" fillId="0" borderId="0" xfId="2" applyFont="1" applyBorder="1" applyAlignment="1" applyProtection="1">
      <alignment vertical="center" wrapText="1"/>
      <protection locked="0"/>
    </xf>
    <xf numFmtId="0" fontId="110" fillId="0" borderId="0" xfId="2" applyFont="1" applyBorder="1" applyAlignment="1" applyProtection="1">
      <alignment horizontal="left" wrapText="1"/>
      <protection locked="0"/>
    </xf>
    <xf numFmtId="0" fontId="108" fillId="0" borderId="0" xfId="2" applyFont="1" applyFill="1" applyBorder="1" applyAlignment="1" applyProtection="1">
      <alignment horizontal="left" wrapText="1"/>
      <protection locked="0"/>
    </xf>
    <xf numFmtId="0" fontId="113" fillId="0" borderId="0" xfId="0" applyFont="1" applyFill="1" applyAlignment="1">
      <alignment horizontal="left" vertical="top" wrapText="1"/>
    </xf>
    <xf numFmtId="0" fontId="95" fillId="0" borderId="0" xfId="0" applyFont="1" applyFill="1" applyProtection="1">
      <protection locked="0"/>
    </xf>
    <xf numFmtId="0" fontId="95" fillId="0" borderId="0" xfId="0" applyFont="1" applyFill="1" applyAlignment="1" applyProtection="1">
      <alignment vertical="top" wrapText="1"/>
      <protection locked="0"/>
    </xf>
    <xf numFmtId="0" fontId="0" fillId="0" borderId="0" xfId="0" applyAlignment="1">
      <alignment horizontal="left" wrapText="1"/>
    </xf>
    <xf numFmtId="0" fontId="113" fillId="0" borderId="0" xfId="0" applyFont="1" applyFill="1" applyAlignment="1">
      <alignment vertical="top" wrapText="1"/>
    </xf>
    <xf numFmtId="0" fontId="100" fillId="0" borderId="0" xfId="0" applyFont="1" applyFill="1" applyProtection="1">
      <protection locked="0"/>
    </xf>
    <xf numFmtId="0" fontId="95" fillId="0" borderId="0" xfId="0" applyFont="1" applyFill="1" applyAlignment="1" applyProtection="1">
      <alignment horizontal="left" vertical="top" wrapText="1"/>
      <protection locked="0"/>
    </xf>
    <xf numFmtId="0" fontId="2" fillId="0" borderId="0" xfId="0" applyFont="1" applyFill="1" applyAlignment="1">
      <alignment horizontal="left" vertical="top" wrapText="1"/>
    </xf>
    <xf numFmtId="0" fontId="95" fillId="0" borderId="0" xfId="0" applyFont="1" applyAlignment="1">
      <alignment wrapText="1"/>
    </xf>
    <xf numFmtId="0" fontId="95" fillId="0" borderId="0" xfId="0" applyFont="1" applyAlignment="1">
      <alignment horizontal="left" wrapText="1"/>
    </xf>
    <xf numFmtId="0" fontId="95" fillId="0" borderId="0" xfId="0" applyFont="1" applyAlignment="1">
      <alignment vertical="center" wrapText="1"/>
    </xf>
    <xf numFmtId="0" fontId="82" fillId="0" borderId="0" xfId="0" applyFont="1"/>
    <xf numFmtId="3" fontId="80" fillId="61" borderId="0" xfId="0" applyNumberFormat="1" applyFont="1" applyFill="1"/>
    <xf numFmtId="3" fontId="83" fillId="61" borderId="27" xfId="2" applyNumberFormat="1" applyFont="1" applyFill="1" applyBorder="1" applyAlignment="1" applyProtection="1">
      <alignment horizontal="center" vertical="center" wrapText="1"/>
    </xf>
    <xf numFmtId="3" fontId="83" fillId="61" borderId="1" xfId="2" applyNumberFormat="1" applyFont="1" applyFill="1" applyBorder="1" applyAlignment="1" applyProtection="1">
      <alignment horizontal="center" vertical="center" wrapText="1"/>
    </xf>
    <xf numFmtId="3" fontId="87" fillId="61" borderId="1" xfId="0" applyNumberFormat="1" applyFont="1" applyFill="1" applyBorder="1" applyAlignment="1" applyProtection="1">
      <alignment horizontal="center" vertical="center"/>
    </xf>
    <xf numFmtId="3" fontId="89" fillId="61" borderId="1" xfId="2" applyNumberFormat="1" applyFont="1" applyFill="1" applyBorder="1" applyAlignment="1" applyProtection="1">
      <alignment horizontal="center" vertical="center" wrapText="1"/>
    </xf>
    <xf numFmtId="3" fontId="94" fillId="61" borderId="1" xfId="0" applyNumberFormat="1" applyFont="1" applyFill="1" applyBorder="1" applyAlignment="1" applyProtection="1">
      <alignment horizontal="center" vertical="center"/>
      <protection locked="0"/>
    </xf>
    <xf numFmtId="3" fontId="94" fillId="61" borderId="1" xfId="2" applyNumberFormat="1" applyFont="1" applyFill="1" applyBorder="1" applyAlignment="1" applyProtection="1">
      <alignment horizontal="center" vertical="center" wrapText="1"/>
    </xf>
    <xf numFmtId="3" fontId="94" fillId="61" borderId="1" xfId="0" applyNumberFormat="1" applyFont="1" applyFill="1" applyBorder="1" applyAlignment="1" applyProtection="1">
      <alignment horizontal="center" vertical="center"/>
    </xf>
    <xf numFmtId="3" fontId="95" fillId="61" borderId="1" xfId="0" applyNumberFormat="1" applyFont="1" applyFill="1" applyBorder="1" applyAlignment="1" applyProtection="1">
      <alignment horizontal="center" vertical="center"/>
      <protection locked="0"/>
    </xf>
    <xf numFmtId="3" fontId="94" fillId="61" borderId="1" xfId="2" applyNumberFormat="1" applyFont="1" applyFill="1" applyBorder="1" applyAlignment="1" applyProtection="1">
      <alignment horizontal="center" vertical="center" wrapText="1"/>
      <protection locked="0"/>
    </xf>
    <xf numFmtId="3" fontId="94" fillId="61" borderId="1" xfId="2" applyNumberFormat="1" applyFont="1" applyFill="1" applyBorder="1" applyAlignment="1" applyProtection="1">
      <alignment horizontal="center" vertical="center"/>
      <protection locked="0"/>
    </xf>
    <xf numFmtId="3" fontId="83" fillId="61" borderId="1" xfId="0" applyNumberFormat="1" applyFont="1" applyFill="1" applyBorder="1" applyAlignment="1" applyProtection="1">
      <alignment horizontal="center" vertical="center"/>
    </xf>
    <xf numFmtId="3" fontId="83" fillId="61" borderId="1" xfId="2" applyNumberFormat="1" applyFont="1" applyFill="1" applyBorder="1" applyAlignment="1" applyProtection="1">
      <alignment horizontal="center" vertical="center" wrapText="1"/>
      <protection locked="0"/>
    </xf>
    <xf numFmtId="3" fontId="95" fillId="61" borderId="1" xfId="0" applyNumberFormat="1" applyFont="1" applyFill="1" applyBorder="1" applyAlignment="1" applyProtection="1">
      <alignment horizontal="center" vertical="center"/>
    </xf>
    <xf numFmtId="3" fontId="80" fillId="61" borderId="0" xfId="0" applyNumberFormat="1" applyFont="1" applyFill="1" applyProtection="1">
      <protection locked="0"/>
    </xf>
    <xf numFmtId="3" fontId="94" fillId="61" borderId="0" xfId="2" applyNumberFormat="1" applyFont="1" applyFill="1" applyAlignment="1" applyProtection="1">
      <alignment horizontal="right"/>
      <protection locked="0"/>
    </xf>
    <xf numFmtId="4" fontId="94" fillId="61" borderId="0" xfId="2" applyNumberFormat="1" applyFont="1" applyFill="1" applyAlignment="1" applyProtection="1">
      <alignment horizontal="right" vertical="center"/>
      <protection locked="0"/>
    </xf>
    <xf numFmtId="0" fontId="108" fillId="61" borderId="0" xfId="2" applyFont="1" applyFill="1" applyBorder="1" applyAlignment="1" applyProtection="1">
      <alignment horizontal="left" vertical="center" wrapText="1"/>
      <protection locked="0"/>
    </xf>
    <xf numFmtId="0" fontId="108" fillId="61" borderId="0" xfId="2" applyFont="1" applyFill="1" applyBorder="1" applyAlignment="1" applyProtection="1">
      <alignment horizontal="left" wrapText="1"/>
      <protection locked="0"/>
    </xf>
    <xf numFmtId="0" fontId="95" fillId="61" borderId="0" xfId="0" applyFont="1" applyFill="1" applyProtection="1">
      <protection locked="0"/>
    </xf>
    <xf numFmtId="0" fontId="113" fillId="61" borderId="0" xfId="0" applyFont="1" applyFill="1" applyAlignment="1">
      <alignment horizontal="left" vertical="top" wrapText="1"/>
    </xf>
    <xf numFmtId="0" fontId="80" fillId="61" borderId="0" xfId="0" applyFont="1" applyFill="1"/>
    <xf numFmtId="1" fontId="66" fillId="39" borderId="12" xfId="299" applyNumberFormat="1" applyFont="1" applyFill="1" applyBorder="1" applyAlignment="1">
      <alignment horizontal="center" vertical="center" wrapText="1"/>
    </xf>
    <xf numFmtId="1" fontId="66" fillId="39" borderId="13" xfId="299" applyNumberFormat="1" applyFont="1" applyFill="1" applyBorder="1" applyAlignment="1">
      <alignment horizontal="center" vertical="center" wrapText="1"/>
    </xf>
    <xf numFmtId="173" fontId="66" fillId="39" borderId="1" xfId="299" applyNumberFormat="1" applyFont="1" applyFill="1" applyBorder="1" applyAlignment="1">
      <alignment horizontal="center" vertical="center" wrapText="1"/>
    </xf>
    <xf numFmtId="1" fontId="0" fillId="39" borderId="0" xfId="0" applyNumberFormat="1" applyFill="1" applyAlignment="1">
      <alignment horizontal="center"/>
    </xf>
    <xf numFmtId="0" fontId="70" fillId="0" borderId="0" xfId="0" applyFont="1"/>
    <xf numFmtId="0" fontId="47" fillId="0" borderId="0" xfId="0" applyFont="1" applyAlignment="1">
      <alignment horizontal="left"/>
    </xf>
    <xf numFmtId="0" fontId="47" fillId="0" borderId="0" xfId="0" applyFont="1"/>
    <xf numFmtId="0" fontId="47" fillId="0" borderId="0" xfId="0" applyFont="1" applyFill="1"/>
    <xf numFmtId="0" fontId="47" fillId="0" borderId="0" xfId="0" applyFont="1" applyAlignment="1">
      <alignment wrapText="1"/>
    </xf>
    <xf numFmtId="3" fontId="121" fillId="0" borderId="0" xfId="0" applyNumberFormat="1" applyFont="1" applyFill="1" applyBorder="1" applyAlignment="1">
      <alignment horizontal="right" vertical="center" wrapText="1"/>
    </xf>
    <xf numFmtId="0" fontId="68" fillId="0" borderId="0" xfId="0" applyFont="1"/>
    <xf numFmtId="0" fontId="4" fillId="0" borderId="0" xfId="0" applyFont="1"/>
    <xf numFmtId="0" fontId="67" fillId="0" borderId="0" xfId="0" applyFont="1" applyFill="1" applyBorder="1" applyAlignment="1">
      <alignment horizontal="center"/>
    </xf>
    <xf numFmtId="0" fontId="47" fillId="0" borderId="1" xfId="0" applyFont="1" applyBorder="1"/>
    <xf numFmtId="0" fontId="67" fillId="58" borderId="1" xfId="0" applyFont="1" applyFill="1" applyBorder="1" applyAlignment="1">
      <alignment horizontal="center" wrapText="1"/>
    </xf>
    <xf numFmtId="0" fontId="120" fillId="58" borderId="1" xfId="301" applyFont="1" applyFill="1" applyBorder="1" applyAlignment="1" applyProtection="1">
      <alignment horizontal="center" vertical="center" wrapText="1"/>
    </xf>
    <xf numFmtId="4" fontId="120" fillId="58" borderId="1" xfId="301" applyNumberFormat="1" applyFont="1" applyFill="1" applyBorder="1" applyAlignment="1" applyProtection="1">
      <alignment horizontal="center" vertical="center" wrapText="1"/>
    </xf>
    <xf numFmtId="0" fontId="67" fillId="58" borderId="1" xfId="0" applyFont="1" applyFill="1" applyBorder="1" applyAlignment="1">
      <alignment horizontal="center" vertical="center"/>
    </xf>
    <xf numFmtId="0" fontId="3" fillId="58" borderId="1" xfId="301" applyFont="1" applyFill="1" applyBorder="1" applyAlignment="1" applyProtection="1">
      <alignment horizontal="center" vertical="center" wrapText="1"/>
    </xf>
    <xf numFmtId="0" fontId="67" fillId="58" borderId="1" xfId="0" applyFont="1" applyFill="1" applyBorder="1" applyAlignment="1">
      <alignment horizontal="center" vertical="center" wrapText="1"/>
    </xf>
    <xf numFmtId="0" fontId="123" fillId="58" borderId="1" xfId="0" applyFont="1" applyFill="1" applyBorder="1" applyAlignment="1" applyProtection="1">
      <alignment horizontal="center" vertical="center" wrapText="1"/>
    </xf>
    <xf numFmtId="3" fontId="67" fillId="58" borderId="1" xfId="0" applyNumberFormat="1" applyFont="1" applyFill="1" applyBorder="1" applyAlignment="1">
      <alignment horizontal="center" vertical="center"/>
    </xf>
    <xf numFmtId="0" fontId="3" fillId="0" borderId="1" xfId="301" applyFont="1" applyFill="1" applyBorder="1" applyAlignment="1" applyProtection="1">
      <alignment horizontal="center" vertical="center" wrapText="1"/>
    </xf>
    <xf numFmtId="3" fontId="3" fillId="0" borderId="1" xfId="301" applyNumberFormat="1" applyFont="1" applyFill="1" applyBorder="1" applyAlignment="1" applyProtection="1">
      <alignment horizontal="right" vertical="center" wrapText="1"/>
    </xf>
    <xf numFmtId="3" fontId="67" fillId="0" borderId="1" xfId="0" applyNumberFormat="1" applyFont="1" applyBorder="1" applyAlignment="1">
      <alignment vertical="center"/>
    </xf>
    <xf numFmtId="0" fontId="67" fillId="0" borderId="1" xfId="0" applyFont="1" applyBorder="1" applyAlignment="1">
      <alignment wrapText="1"/>
    </xf>
    <xf numFmtId="3" fontId="68" fillId="0" borderId="0" xfId="0" applyNumberFormat="1" applyFont="1"/>
    <xf numFmtId="3" fontId="123" fillId="0" borderId="1" xfId="0" applyNumberFormat="1" applyFont="1" applyFill="1" applyBorder="1" applyAlignment="1" applyProtection="1">
      <alignment horizontal="right" vertical="center" wrapText="1"/>
    </xf>
    <xf numFmtId="174" fontId="123" fillId="0" borderId="1" xfId="0" applyNumberFormat="1" applyFont="1" applyFill="1" applyBorder="1" applyAlignment="1" applyProtection="1">
      <alignment horizontal="right" vertical="center" wrapText="1"/>
    </xf>
    <xf numFmtId="0" fontId="67" fillId="0" borderId="0" xfId="0" applyFont="1"/>
    <xf numFmtId="3" fontId="67" fillId="0" borderId="1" xfId="0" applyNumberFormat="1" applyFont="1" applyBorder="1"/>
    <xf numFmtId="174" fontId="67" fillId="0" borderId="1" xfId="0" applyNumberFormat="1" applyFont="1" applyBorder="1"/>
    <xf numFmtId="3" fontId="47" fillId="0" borderId="0" xfId="0" applyNumberFormat="1" applyFont="1"/>
    <xf numFmtId="0" fontId="120" fillId="58" borderId="1" xfId="301" applyFont="1" applyFill="1" applyBorder="1" applyAlignment="1" applyProtection="1">
      <alignment horizontal="left" vertical="center" wrapText="1"/>
    </xf>
    <xf numFmtId="3" fontId="120" fillId="58" borderId="1" xfId="301" applyNumberFormat="1" applyFont="1" applyFill="1" applyBorder="1" applyAlignment="1" applyProtection="1">
      <alignment horizontal="right" vertical="center" wrapText="1"/>
    </xf>
    <xf numFmtId="3" fontId="47" fillId="58" borderId="1" xfId="0" applyNumberFormat="1" applyFont="1" applyFill="1" applyBorder="1" applyAlignment="1">
      <alignment vertical="center"/>
    </xf>
    <xf numFmtId="0" fontId="47" fillId="58" borderId="1" xfId="0" applyFont="1" applyFill="1" applyBorder="1" applyAlignment="1">
      <alignment wrapText="1"/>
    </xf>
    <xf numFmtId="3" fontId="123" fillId="58" borderId="1" xfId="0" applyNumberFormat="1" applyFont="1" applyFill="1" applyBorder="1" applyAlignment="1" applyProtection="1">
      <alignment horizontal="right" vertical="center" wrapText="1"/>
    </xf>
    <xf numFmtId="0" fontId="47" fillId="58" borderId="1" xfId="0" applyFont="1" applyFill="1" applyBorder="1"/>
    <xf numFmtId="174" fontId="47" fillId="58" borderId="1" xfId="0" applyNumberFormat="1" applyFont="1" applyFill="1" applyBorder="1"/>
    <xf numFmtId="3" fontId="47" fillId="58" borderId="1" xfId="0" applyNumberFormat="1" applyFont="1" applyFill="1" applyBorder="1"/>
    <xf numFmtId="3" fontId="126" fillId="0" borderId="0" xfId="0" applyNumberFormat="1" applyFont="1"/>
    <xf numFmtId="0" fontId="120" fillId="0" borderId="1" xfId="301" applyFont="1" applyFill="1" applyBorder="1" applyAlignment="1" applyProtection="1">
      <alignment horizontal="center" vertical="center" wrapText="1"/>
    </xf>
    <xf numFmtId="3" fontId="120" fillId="0" borderId="1" xfId="301" applyNumberFormat="1" applyFont="1" applyFill="1" applyBorder="1" applyAlignment="1" applyProtection="1">
      <alignment horizontal="right" vertical="center" wrapText="1"/>
    </xf>
    <xf numFmtId="3" fontId="127" fillId="0" borderId="1" xfId="301" applyNumberFormat="1" applyFont="1" applyFill="1" applyBorder="1" applyAlignment="1" applyProtection="1">
      <alignment horizontal="right" vertical="center" wrapText="1"/>
    </xf>
    <xf numFmtId="0" fontId="47" fillId="0" borderId="1" xfId="0" applyFont="1" applyBorder="1" applyAlignment="1">
      <alignment wrapText="1"/>
    </xf>
    <xf numFmtId="174" fontId="120" fillId="0" borderId="1" xfId="301" applyNumberFormat="1" applyFont="1" applyFill="1" applyBorder="1" applyAlignment="1" applyProtection="1">
      <alignment horizontal="right" vertical="center" wrapText="1"/>
    </xf>
    <xf numFmtId="3" fontId="47" fillId="0" borderId="1" xfId="0" applyNumberFormat="1" applyFont="1" applyBorder="1" applyAlignment="1">
      <alignment vertical="center"/>
    </xf>
    <xf numFmtId="3" fontId="47" fillId="0" borderId="1" xfId="0" applyNumberFormat="1" applyFont="1" applyFill="1" applyBorder="1" applyAlignment="1">
      <alignment vertical="center"/>
    </xf>
    <xf numFmtId="3" fontId="67" fillId="0" borderId="1" xfId="0" applyNumberFormat="1" applyFont="1" applyFill="1" applyBorder="1" applyAlignment="1">
      <alignment vertical="center"/>
    </xf>
    <xf numFmtId="0" fontId="47" fillId="0" borderId="1" xfId="0" applyFont="1" applyBorder="1" applyAlignment="1">
      <alignment horizontal="right" vertical="center"/>
    </xf>
    <xf numFmtId="174" fontId="47" fillId="0" borderId="1" xfId="0" applyNumberFormat="1" applyFont="1" applyBorder="1" applyAlignment="1">
      <alignment horizontal="right" vertical="center"/>
    </xf>
    <xf numFmtId="3" fontId="47" fillId="0" borderId="1" xfId="0" applyNumberFormat="1" applyFont="1" applyBorder="1" applyAlignment="1">
      <alignment horizontal="right" vertical="center"/>
    </xf>
    <xf numFmtId="0" fontId="47" fillId="58" borderId="1" xfId="0" applyFont="1" applyFill="1" applyBorder="1" applyAlignment="1">
      <alignment horizontal="right" vertical="center"/>
    </xf>
    <xf numFmtId="174" fontId="47" fillId="58" borderId="1" xfId="0" applyNumberFormat="1" applyFont="1" applyFill="1" applyBorder="1" applyAlignment="1">
      <alignment horizontal="right" vertical="center"/>
    </xf>
    <xf numFmtId="3" fontId="47" fillId="58" borderId="1" xfId="0" applyNumberFormat="1" applyFont="1" applyFill="1" applyBorder="1" applyAlignment="1">
      <alignment horizontal="right" vertical="center"/>
    </xf>
    <xf numFmtId="3" fontId="120" fillId="58" borderId="1" xfId="301" applyNumberFormat="1" applyFont="1" applyFill="1" applyBorder="1" applyAlignment="1" applyProtection="1">
      <alignment horizontal="center" vertical="center" wrapText="1"/>
    </xf>
    <xf numFmtId="3" fontId="67" fillId="58" borderId="1" xfId="0" applyNumberFormat="1" applyFont="1" applyFill="1" applyBorder="1" applyAlignment="1">
      <alignment vertical="center"/>
    </xf>
    <xf numFmtId="174" fontId="123" fillId="58" borderId="1" xfId="0" applyNumberFormat="1" applyFont="1" applyFill="1" applyBorder="1" applyAlignment="1" applyProtection="1">
      <alignment horizontal="right" vertical="center" wrapText="1"/>
    </xf>
    <xf numFmtId="174" fontId="120" fillId="58" borderId="1" xfId="301" applyNumberFormat="1" applyFont="1" applyFill="1" applyBorder="1" applyAlignment="1" applyProtection="1">
      <alignment horizontal="right" vertical="center" wrapText="1"/>
    </xf>
    <xf numFmtId="0" fontId="120" fillId="0" borderId="1" xfId="301" applyFont="1" applyFill="1" applyBorder="1" applyAlignment="1" applyProtection="1">
      <alignment horizontal="left" vertical="center" wrapText="1"/>
    </xf>
    <xf numFmtId="0" fontId="4" fillId="0" borderId="1" xfId="301" applyFont="1" applyFill="1" applyBorder="1" applyAlignment="1" applyProtection="1">
      <alignment horizontal="center" vertical="center" wrapText="1"/>
    </xf>
    <xf numFmtId="0" fontId="126" fillId="0" borderId="1" xfId="301" applyFont="1" applyFill="1" applyBorder="1" applyAlignment="1" applyProtection="1">
      <alignment horizontal="left" vertical="center" wrapText="1"/>
    </xf>
    <xf numFmtId="0" fontId="126" fillId="0" borderId="1" xfId="301" applyFont="1" applyFill="1" applyBorder="1" applyAlignment="1" applyProtection="1">
      <alignment horizontal="center" vertical="center" wrapText="1"/>
    </xf>
    <xf numFmtId="3" fontId="126" fillId="0" borderId="1" xfId="301" applyNumberFormat="1" applyFont="1" applyFill="1" applyBorder="1" applyAlignment="1" applyProtection="1">
      <alignment horizontal="right" vertical="center"/>
    </xf>
    <xf numFmtId="3" fontId="128" fillId="0" borderId="1" xfId="0" applyNumberFormat="1" applyFont="1" applyFill="1" applyBorder="1" applyAlignment="1" applyProtection="1">
      <alignment horizontal="right" vertical="center" wrapText="1"/>
    </xf>
    <xf numFmtId="3" fontId="4" fillId="0" borderId="1" xfId="0" applyNumberFormat="1" applyFont="1" applyFill="1" applyBorder="1" applyAlignment="1" applyProtection="1">
      <alignment horizontal="right" vertical="center" wrapText="1"/>
    </xf>
    <xf numFmtId="174" fontId="4" fillId="0" borderId="1" xfId="301" applyNumberFormat="1" applyFont="1" applyFill="1" applyBorder="1" applyAlignment="1" applyProtection="1">
      <alignment horizontal="right" vertical="center" wrapText="1"/>
    </xf>
    <xf numFmtId="3" fontId="4" fillId="0" borderId="1" xfId="301" applyNumberFormat="1" applyFont="1" applyFill="1" applyBorder="1" applyAlignment="1" applyProtection="1">
      <alignment horizontal="right" vertical="center" wrapText="1"/>
    </xf>
    <xf numFmtId="3" fontId="47" fillId="61" borderId="1" xfId="0" applyNumberFormat="1" applyFont="1" applyFill="1" applyBorder="1" applyAlignment="1">
      <alignment vertical="center"/>
    </xf>
    <xf numFmtId="3" fontId="129" fillId="0" borderId="1" xfId="302" applyNumberFormat="1" applyFont="1" applyFill="1" applyBorder="1" applyAlignment="1">
      <alignment horizontal="right" vertical="center" wrapText="1"/>
    </xf>
    <xf numFmtId="3" fontId="120" fillId="0" borderId="1" xfId="301" applyNumberFormat="1" applyFont="1" applyFill="1" applyBorder="1" applyAlignment="1" applyProtection="1">
      <alignment horizontal="right" vertical="center"/>
    </xf>
    <xf numFmtId="174" fontId="3" fillId="0" borderId="1" xfId="301" applyNumberFormat="1" applyFont="1" applyFill="1" applyBorder="1" applyAlignment="1" applyProtection="1">
      <alignment horizontal="right" vertical="center" wrapText="1"/>
    </xf>
    <xf numFmtId="0" fontId="130" fillId="0" borderId="1" xfId="301" applyFont="1" applyFill="1" applyBorder="1" applyAlignment="1" applyProtection="1">
      <alignment horizontal="right" vertical="center" wrapText="1"/>
    </xf>
    <xf numFmtId="0" fontId="126" fillId="0" borderId="1" xfId="301" applyFont="1" applyFill="1" applyBorder="1" applyAlignment="1" applyProtection="1">
      <alignment horizontal="center" wrapText="1"/>
    </xf>
    <xf numFmtId="0" fontId="47" fillId="62" borderId="1" xfId="0" applyFont="1" applyFill="1" applyBorder="1" applyAlignment="1">
      <alignment wrapText="1"/>
    </xf>
    <xf numFmtId="0" fontId="126" fillId="0" borderId="1" xfId="301" applyFont="1" applyFill="1" applyBorder="1" applyAlignment="1" applyProtection="1">
      <alignment vertical="center"/>
    </xf>
    <xf numFmtId="3" fontId="126" fillId="61" borderId="1" xfId="301" applyNumberFormat="1" applyFont="1" applyFill="1" applyBorder="1" applyAlignment="1" applyProtection="1">
      <alignment horizontal="right" vertical="center"/>
    </xf>
    <xf numFmtId="0" fontId="47" fillId="61" borderId="1" xfId="0" applyFont="1" applyFill="1" applyBorder="1" applyAlignment="1">
      <alignment wrapText="1"/>
    </xf>
    <xf numFmtId="0" fontId="4" fillId="38" borderId="1" xfId="301" applyFont="1" applyFill="1" applyBorder="1" applyAlignment="1" applyProtection="1">
      <alignment horizontal="center" vertical="center" wrapText="1"/>
    </xf>
    <xf numFmtId="3" fontId="4" fillId="0" borderId="1" xfId="0" applyNumberFormat="1" applyFont="1" applyFill="1" applyBorder="1" applyAlignment="1" applyProtection="1">
      <alignment horizontal="right" vertical="center"/>
    </xf>
    <xf numFmtId="3" fontId="47" fillId="0" borderId="0" xfId="0" applyNumberFormat="1" applyFont="1" applyFill="1" applyAlignment="1">
      <alignment horizontal="center" vertical="center"/>
    </xf>
    <xf numFmtId="0" fontId="126" fillId="61" borderId="1" xfId="301" applyFont="1" applyFill="1" applyBorder="1" applyAlignment="1" applyProtection="1">
      <alignment horizontal="center" vertical="center" wrapText="1"/>
    </xf>
    <xf numFmtId="3" fontId="126" fillId="0" borderId="1" xfId="0" applyNumberFormat="1" applyFont="1" applyBorder="1" applyAlignment="1">
      <alignment vertical="center"/>
    </xf>
    <xf numFmtId="3" fontId="126" fillId="0" borderId="1" xfId="0" applyNumberFormat="1" applyFont="1" applyFill="1" applyBorder="1" applyAlignment="1">
      <alignment vertical="center"/>
    </xf>
    <xf numFmtId="0" fontId="126" fillId="0" borderId="1" xfId="0" applyFont="1" applyBorder="1" applyAlignment="1">
      <alignment wrapText="1"/>
    </xf>
    <xf numFmtId="3" fontId="128" fillId="38" borderId="1" xfId="0" applyNumberFormat="1" applyFont="1" applyFill="1" applyBorder="1" applyAlignment="1" applyProtection="1">
      <alignment horizontal="right" vertical="center" wrapText="1"/>
    </xf>
    <xf numFmtId="3" fontId="132" fillId="0" borderId="1" xfId="0" applyNumberFormat="1" applyFont="1" applyBorder="1" applyAlignment="1">
      <alignment vertical="center"/>
    </xf>
    <xf numFmtId="3" fontId="132" fillId="0" borderId="1" xfId="0" applyNumberFormat="1" applyFont="1" applyFill="1" applyBorder="1" applyAlignment="1">
      <alignment vertical="center"/>
    </xf>
    <xf numFmtId="3" fontId="3" fillId="0" borderId="1" xfId="0" applyNumberFormat="1" applyFont="1" applyFill="1" applyBorder="1" applyAlignment="1" applyProtection="1">
      <alignment horizontal="right" vertical="center" wrapText="1"/>
    </xf>
    <xf numFmtId="0" fontId="3" fillId="58" borderId="1" xfId="301" applyFont="1" applyFill="1" applyBorder="1" applyAlignment="1" applyProtection="1">
      <alignment horizontal="left" vertical="center" wrapText="1"/>
    </xf>
    <xf numFmtId="0" fontId="133" fillId="58" borderId="1" xfId="301" applyFont="1" applyFill="1" applyBorder="1" applyAlignment="1" applyProtection="1">
      <alignment horizontal="center" vertical="center" wrapText="1"/>
    </xf>
    <xf numFmtId="3" fontId="133" fillId="58" borderId="1" xfId="301" applyNumberFormat="1" applyFont="1" applyFill="1" applyBorder="1" applyAlignment="1" applyProtection="1">
      <alignment horizontal="right" vertical="center"/>
    </xf>
    <xf numFmtId="3" fontId="123" fillId="58" borderId="1" xfId="0" applyNumberFormat="1" applyFont="1" applyFill="1" applyBorder="1" applyAlignment="1" applyProtection="1">
      <alignment horizontal="right" vertical="center"/>
    </xf>
    <xf numFmtId="3" fontId="123" fillId="0" borderId="1" xfId="0" applyNumberFormat="1" applyFont="1" applyFill="1" applyBorder="1" applyAlignment="1" applyProtection="1">
      <alignment horizontal="right" vertical="center"/>
    </xf>
    <xf numFmtId="0" fontId="3" fillId="0" borderId="1" xfId="301" applyFont="1" applyFill="1" applyBorder="1" applyAlignment="1" applyProtection="1">
      <alignment horizontal="right" vertical="center" wrapText="1"/>
    </xf>
    <xf numFmtId="0" fontId="4" fillId="0" borderId="1" xfId="301" applyFont="1" applyFill="1" applyBorder="1" applyAlignment="1" applyProtection="1">
      <alignment horizontal="right" vertical="center" wrapText="1"/>
    </xf>
    <xf numFmtId="3" fontId="128" fillId="0" borderId="1" xfId="0" applyNumberFormat="1" applyFont="1" applyFill="1" applyBorder="1" applyAlignment="1" applyProtection="1">
      <alignment horizontal="right" vertical="center"/>
    </xf>
    <xf numFmtId="3" fontId="126" fillId="0" borderId="1" xfId="301" applyNumberFormat="1" applyFont="1" applyFill="1" applyBorder="1" applyAlignment="1" applyProtection="1">
      <alignment horizontal="center" vertical="center" wrapText="1"/>
    </xf>
    <xf numFmtId="174" fontId="4" fillId="0" borderId="1" xfId="0" applyNumberFormat="1" applyFont="1" applyFill="1" applyBorder="1" applyAlignment="1" applyProtection="1">
      <alignment horizontal="right" vertical="center" wrapText="1"/>
    </xf>
    <xf numFmtId="174" fontId="3" fillId="0" borderId="1" xfId="0" applyNumberFormat="1" applyFont="1" applyFill="1" applyBorder="1" applyAlignment="1" applyProtection="1">
      <alignment horizontal="right" vertical="center" wrapText="1"/>
    </xf>
    <xf numFmtId="3" fontId="120" fillId="58" borderId="1" xfId="301" applyNumberFormat="1" applyFont="1" applyFill="1" applyBorder="1" applyAlignment="1" applyProtection="1">
      <alignment horizontal="right" vertical="center"/>
    </xf>
    <xf numFmtId="0" fontId="3" fillId="58" borderId="1" xfId="301" applyFont="1" applyFill="1" applyBorder="1" applyAlignment="1" applyProtection="1">
      <alignment vertical="center" wrapText="1"/>
    </xf>
    <xf numFmtId="173" fontId="128" fillId="0" borderId="1" xfId="0" applyNumberFormat="1" applyFont="1" applyFill="1" applyBorder="1" applyAlignment="1" applyProtection="1">
      <alignment horizontal="right" vertical="center" wrapText="1"/>
    </xf>
    <xf numFmtId="0" fontId="4" fillId="0" borderId="1" xfId="301" applyNumberFormat="1" applyFont="1" applyFill="1" applyBorder="1" applyAlignment="1" applyProtection="1">
      <alignment horizontal="center" vertical="center" wrapText="1"/>
    </xf>
    <xf numFmtId="0" fontId="3" fillId="0" borderId="1" xfId="301" applyNumberFormat="1" applyFont="1" applyFill="1" applyBorder="1" applyAlignment="1" applyProtection="1">
      <alignment horizontal="center" vertical="center" wrapText="1"/>
    </xf>
    <xf numFmtId="0" fontId="120" fillId="0" borderId="1" xfId="301" applyNumberFormat="1" applyFont="1" applyFill="1" applyBorder="1" applyAlignment="1" applyProtection="1">
      <alignment horizontal="left" vertical="center" wrapText="1"/>
    </xf>
    <xf numFmtId="0" fontId="120" fillId="0" borderId="1" xfId="301" applyNumberFormat="1" applyFont="1" applyFill="1" applyBorder="1" applyAlignment="1" applyProtection="1">
      <alignment horizontal="center" vertical="center" wrapText="1"/>
    </xf>
    <xf numFmtId="0" fontId="126" fillId="0" borderId="1" xfId="301" applyNumberFormat="1" applyFont="1" applyFill="1" applyBorder="1" applyAlignment="1" applyProtection="1">
      <alignment horizontal="left" vertical="center" wrapText="1"/>
    </xf>
    <xf numFmtId="0" fontId="126" fillId="0" borderId="1" xfId="301" applyNumberFormat="1" applyFont="1" applyFill="1" applyBorder="1" applyAlignment="1" applyProtection="1">
      <alignment horizontal="center" vertical="center" wrapText="1"/>
    </xf>
    <xf numFmtId="0" fontId="126" fillId="0" borderId="1" xfId="301" applyNumberFormat="1" applyFont="1" applyFill="1" applyBorder="1" applyAlignment="1" applyProtection="1">
      <alignment horizontal="right" vertical="center"/>
    </xf>
    <xf numFmtId="2" fontId="4" fillId="0" borderId="1" xfId="301" applyNumberFormat="1" applyFont="1" applyFill="1" applyBorder="1" applyAlignment="1" applyProtection="1">
      <alignment horizontal="center" vertical="center" wrapText="1"/>
    </xf>
    <xf numFmtId="2" fontId="126" fillId="0" borderId="1" xfId="301" applyNumberFormat="1" applyFont="1" applyFill="1" applyBorder="1" applyAlignment="1" applyProtection="1">
      <alignment horizontal="center" vertical="center" wrapText="1"/>
    </xf>
    <xf numFmtId="2" fontId="3" fillId="0" borderId="1" xfId="301" applyNumberFormat="1" applyFont="1" applyFill="1" applyBorder="1" applyAlignment="1" applyProtection="1">
      <alignment horizontal="center" vertical="center" wrapText="1"/>
    </xf>
    <xf numFmtId="2" fontId="120" fillId="0" borderId="1" xfId="301" applyNumberFormat="1" applyFont="1" applyFill="1" applyBorder="1" applyAlignment="1" applyProtection="1">
      <alignment horizontal="left" vertical="center" wrapText="1"/>
    </xf>
    <xf numFmtId="2" fontId="120" fillId="0" borderId="1" xfId="301" applyNumberFormat="1" applyFont="1" applyFill="1" applyBorder="1" applyAlignment="1" applyProtection="1">
      <alignment horizontal="center" vertical="center" wrapText="1"/>
    </xf>
    <xf numFmtId="2" fontId="126" fillId="0" borderId="1" xfId="301" applyNumberFormat="1" applyFont="1" applyFill="1" applyBorder="1" applyAlignment="1" applyProtection="1">
      <alignment horizontal="left" vertical="center" wrapText="1"/>
    </xf>
    <xf numFmtId="173" fontId="128" fillId="38" borderId="1" xfId="0" applyNumberFormat="1" applyFont="1" applyFill="1" applyBorder="1" applyAlignment="1" applyProtection="1">
      <alignment horizontal="right" vertical="center" wrapText="1"/>
    </xf>
    <xf numFmtId="3" fontId="123" fillId="0" borderId="1" xfId="0" applyNumberFormat="1" applyFont="1" applyFill="1" applyBorder="1" applyAlignment="1" applyProtection="1">
      <alignment horizontal="center" vertical="center" wrapText="1"/>
    </xf>
    <xf numFmtId="4" fontId="120" fillId="0" borderId="1" xfId="301" applyNumberFormat="1" applyFont="1" applyFill="1" applyBorder="1" applyAlignment="1" applyProtection="1">
      <alignment horizontal="center" vertical="center" wrapText="1"/>
    </xf>
    <xf numFmtId="4" fontId="4" fillId="0" borderId="1" xfId="301" applyNumberFormat="1" applyFont="1" applyFill="1" applyBorder="1" applyAlignment="1" applyProtection="1">
      <alignment horizontal="center" vertical="center" wrapText="1"/>
    </xf>
    <xf numFmtId="4" fontId="126" fillId="0" borderId="1" xfId="301" applyNumberFormat="1" applyFont="1" applyFill="1" applyBorder="1" applyAlignment="1" applyProtection="1">
      <alignment horizontal="center" vertical="center" wrapText="1"/>
    </xf>
    <xf numFmtId="173" fontId="128" fillId="0" borderId="1" xfId="0" applyNumberFormat="1" applyFont="1" applyFill="1" applyBorder="1" applyAlignment="1" applyProtection="1">
      <alignment horizontal="center" vertical="center" wrapText="1"/>
    </xf>
    <xf numFmtId="4" fontId="126" fillId="0" borderId="1" xfId="301" applyNumberFormat="1" applyFont="1" applyFill="1" applyBorder="1" applyAlignment="1" applyProtection="1">
      <alignment horizontal="left" vertical="center" wrapText="1"/>
    </xf>
    <xf numFmtId="3" fontId="47" fillId="38" borderId="1" xfId="0" applyNumberFormat="1" applyFont="1" applyFill="1" applyBorder="1" applyAlignment="1">
      <alignment vertical="center"/>
    </xf>
    <xf numFmtId="3" fontId="123" fillId="38" borderId="1" xfId="0" applyNumberFormat="1" applyFont="1" applyFill="1" applyBorder="1" applyAlignment="1" applyProtection="1">
      <alignment horizontal="right" vertical="center"/>
    </xf>
    <xf numFmtId="3" fontId="126" fillId="38" borderId="1" xfId="0" applyNumberFormat="1" applyFont="1" applyFill="1" applyBorder="1" applyAlignment="1">
      <alignment vertical="center"/>
    </xf>
    <xf numFmtId="173" fontId="128" fillId="38" borderId="1" xfId="0" applyNumberFormat="1" applyFont="1" applyFill="1" applyBorder="1" applyAlignment="1" applyProtection="1">
      <alignment horizontal="center" vertical="center" wrapText="1"/>
    </xf>
    <xf numFmtId="14" fontId="3" fillId="0" borderId="1" xfId="301" applyNumberFormat="1" applyFont="1" applyFill="1" applyBorder="1" applyAlignment="1" applyProtection="1">
      <alignment horizontal="center" vertical="center" wrapText="1"/>
    </xf>
    <xf numFmtId="3" fontId="122" fillId="38" borderId="1" xfId="301" applyNumberFormat="1" applyFont="1" applyFill="1" applyBorder="1" applyAlignment="1" applyProtection="1">
      <alignment horizontal="right" vertical="center"/>
    </xf>
    <xf numFmtId="3" fontId="122" fillId="0" borderId="1" xfId="0" applyNumberFormat="1" applyFont="1" applyBorder="1" applyAlignment="1">
      <alignment vertical="center"/>
    </xf>
    <xf numFmtId="0" fontId="3" fillId="0" borderId="22" xfId="301" applyFont="1" applyFill="1" applyBorder="1" applyAlignment="1" applyProtection="1">
      <alignment horizontal="center" vertical="center" wrapText="1"/>
    </xf>
    <xf numFmtId="0" fontId="120" fillId="0" borderId="22" xfId="301" applyFont="1" applyFill="1" applyBorder="1" applyAlignment="1" applyProtection="1">
      <alignment horizontal="left" vertical="center" wrapText="1"/>
    </xf>
    <xf numFmtId="0" fontId="120" fillId="0" borderId="22" xfId="301" applyFont="1" applyFill="1" applyBorder="1" applyAlignment="1" applyProtection="1">
      <alignment horizontal="center" vertical="center" wrapText="1"/>
    </xf>
    <xf numFmtId="0" fontId="126" fillId="0" borderId="22" xfId="301" applyFont="1" applyFill="1" applyBorder="1" applyAlignment="1" applyProtection="1">
      <alignment horizontal="center" vertical="center" wrapText="1"/>
    </xf>
    <xf numFmtId="3" fontId="120" fillId="0" borderId="22" xfId="301" applyNumberFormat="1" applyFont="1" applyFill="1" applyBorder="1" applyAlignment="1" applyProtection="1">
      <alignment horizontal="right" vertical="center"/>
    </xf>
    <xf numFmtId="3" fontId="67" fillId="0" borderId="22" xfId="0" applyNumberFormat="1" applyFont="1" applyBorder="1" applyAlignment="1">
      <alignment vertical="center"/>
    </xf>
    <xf numFmtId="3" fontId="67" fillId="0" borderId="22" xfId="0" applyNumberFormat="1" applyFont="1" applyFill="1" applyBorder="1" applyAlignment="1">
      <alignment vertical="center"/>
    </xf>
    <xf numFmtId="3" fontId="47" fillId="0" borderId="22" xfId="0" applyNumberFormat="1" applyFont="1" applyBorder="1" applyAlignment="1">
      <alignment vertical="center"/>
    </xf>
    <xf numFmtId="0" fontId="47" fillId="0" borderId="22" xfId="0" applyFont="1" applyBorder="1" applyAlignment="1">
      <alignment wrapText="1"/>
    </xf>
    <xf numFmtId="3" fontId="123" fillId="38" borderId="1" xfId="0" applyNumberFormat="1" applyFont="1" applyFill="1" applyBorder="1" applyAlignment="1" applyProtection="1">
      <alignment horizontal="right" vertical="center" wrapText="1"/>
    </xf>
    <xf numFmtId="3" fontId="67" fillId="0" borderId="1" xfId="0" applyNumberFormat="1" applyFont="1" applyBorder="1" applyAlignment="1">
      <alignment horizontal="right" vertical="center"/>
    </xf>
    <xf numFmtId="0" fontId="4" fillId="0" borderId="1" xfId="0" applyFont="1" applyBorder="1"/>
    <xf numFmtId="3" fontId="47" fillId="0" borderId="1" xfId="0" applyNumberFormat="1" applyFont="1" applyFill="1" applyBorder="1"/>
    <xf numFmtId="3" fontId="123" fillId="0" borderId="13" xfId="0" applyNumberFormat="1" applyFont="1" applyFill="1" applyBorder="1" applyAlignment="1" applyProtection="1">
      <alignment horizontal="right" vertical="center" wrapText="1"/>
    </xf>
    <xf numFmtId="0" fontId="47" fillId="0" borderId="1" xfId="0" applyFont="1" applyFill="1" applyBorder="1"/>
    <xf numFmtId="3" fontId="123" fillId="0" borderId="15" xfId="0" applyNumberFormat="1" applyFont="1" applyFill="1" applyBorder="1" applyAlignment="1" applyProtection="1">
      <alignment horizontal="right" vertical="center" wrapText="1"/>
      <protection locked="0"/>
    </xf>
    <xf numFmtId="0" fontId="3" fillId="0" borderId="1" xfId="0" applyFont="1" applyBorder="1"/>
    <xf numFmtId="0" fontId="67" fillId="0" borderId="1" xfId="0" applyFont="1" applyBorder="1"/>
    <xf numFmtId="3" fontId="67" fillId="0" borderId="1" xfId="0" applyNumberFormat="1" applyFont="1" applyFill="1" applyBorder="1"/>
    <xf numFmtId="3" fontId="67" fillId="0" borderId="0" xfId="0" applyNumberFormat="1" applyFont="1" applyFill="1"/>
    <xf numFmtId="174" fontId="67" fillId="0" borderId="0" xfId="0" applyNumberFormat="1" applyFont="1" applyFill="1"/>
    <xf numFmtId="3" fontId="47" fillId="0" borderId="0" xfId="0" applyNumberFormat="1" applyFont="1" applyFill="1"/>
    <xf numFmtId="174" fontId="68" fillId="0" borderId="0" xfId="0" applyNumberFormat="1" applyFont="1" applyFill="1"/>
    <xf numFmtId="3" fontId="128" fillId="0" borderId="0" xfId="0" applyNumberFormat="1" applyFont="1" applyAlignment="1">
      <alignment horizontal="right" vertical="center"/>
    </xf>
    <xf numFmtId="0" fontId="3" fillId="0" borderId="1" xfId="0" applyFont="1" applyBorder="1" applyAlignment="1">
      <alignment horizontal="right"/>
    </xf>
    <xf numFmtId="0" fontId="0" fillId="0" borderId="0" xfId="0" applyBorder="1" applyAlignment="1"/>
    <xf numFmtId="0" fontId="136" fillId="0" borderId="0" xfId="0" applyFont="1" applyAlignment="1">
      <alignment wrapText="1"/>
    </xf>
    <xf numFmtId="0" fontId="138" fillId="58" borderId="1" xfId="0" applyFont="1" applyFill="1" applyBorder="1" applyAlignment="1">
      <alignment horizontal="center" vertical="center" wrapText="1"/>
    </xf>
    <xf numFmtId="0" fontId="136" fillId="58" borderId="1" xfId="0" applyFont="1" applyFill="1" applyBorder="1" applyAlignment="1">
      <alignment horizontal="center" vertical="center" wrapText="1"/>
    </xf>
    <xf numFmtId="0" fontId="64" fillId="63" borderId="1" xfId="0" applyFont="1" applyFill="1" applyBorder="1"/>
    <xf numFmtId="0" fontId="69" fillId="63" borderId="1" xfId="0" applyFont="1" applyFill="1" applyBorder="1" applyAlignment="1">
      <alignment horizontal="right" vertical="center"/>
    </xf>
    <xf numFmtId="3" fontId="69" fillId="63" borderId="1" xfId="0" applyNumberFormat="1" applyFont="1" applyFill="1" applyBorder="1" applyAlignment="1">
      <alignment horizontal="right" vertical="center"/>
    </xf>
    <xf numFmtId="3" fontId="66" fillId="63" borderId="1" xfId="0" applyNumberFormat="1" applyFont="1" applyFill="1" applyBorder="1" applyAlignment="1">
      <alignment horizontal="right" vertical="center"/>
    </xf>
    <xf numFmtId="0" fontId="8" fillId="0" borderId="1" xfId="0" applyFont="1" applyBorder="1" applyAlignment="1">
      <alignment horizontal="center" vertical="center"/>
    </xf>
    <xf numFmtId="0" fontId="137" fillId="0" borderId="1" xfId="0" applyFont="1" applyBorder="1" applyAlignment="1">
      <alignment horizontal="left" vertical="top" wrapText="1"/>
    </xf>
    <xf numFmtId="3" fontId="137" fillId="0" borderId="1" xfId="0" applyNumberFormat="1" applyFont="1" applyBorder="1" applyAlignment="1">
      <alignment horizontal="right" vertical="center"/>
    </xf>
    <xf numFmtId="3" fontId="64" fillId="0" borderId="1" xfId="0" applyNumberFormat="1" applyFont="1" applyBorder="1" applyAlignment="1">
      <alignment horizontal="right" vertical="center"/>
    </xf>
    <xf numFmtId="3" fontId="0" fillId="0" borderId="0" xfId="0" applyNumberFormat="1" applyAlignment="1">
      <alignment horizontal="center" vertical="center"/>
    </xf>
    <xf numFmtId="3" fontId="64" fillId="0" borderId="1" xfId="0" applyNumberFormat="1" applyFont="1" applyBorder="1" applyAlignment="1">
      <alignment horizontal="center" vertical="center"/>
    </xf>
    <xf numFmtId="3" fontId="0" fillId="0" borderId="0" xfId="0" applyNumberFormat="1"/>
    <xf numFmtId="3" fontId="69" fillId="58" borderId="1" xfId="0" applyNumberFormat="1" applyFont="1" applyFill="1" applyBorder="1" applyAlignment="1">
      <alignment vertical="center"/>
    </xf>
    <xf numFmtId="0" fontId="8" fillId="0" borderId="1" xfId="0" applyFont="1" applyBorder="1" applyAlignment="1">
      <alignment horizontal="center"/>
    </xf>
    <xf numFmtId="0" fontId="0" fillId="0" borderId="1" xfId="0" applyFont="1" applyBorder="1" applyAlignment="1">
      <alignment horizontal="left" vertical="top"/>
    </xf>
    <xf numFmtId="3" fontId="137" fillId="0" borderId="1" xfId="0" applyNumberFormat="1" applyFont="1" applyFill="1" applyBorder="1" applyAlignment="1">
      <alignment horizontal="right" vertical="center"/>
    </xf>
    <xf numFmtId="3" fontId="64" fillId="0" borderId="1" xfId="0" applyNumberFormat="1" applyFont="1" applyFill="1" applyBorder="1" applyAlignment="1">
      <alignment horizontal="center" vertical="center"/>
    </xf>
    <xf numFmtId="0" fontId="137" fillId="0" borderId="1" xfId="0" applyFont="1" applyFill="1" applyBorder="1" applyAlignment="1">
      <alignment horizontal="center" vertical="center" wrapText="1"/>
    </xf>
    <xf numFmtId="0" fontId="137" fillId="0" borderId="1" xfId="0" applyFont="1" applyFill="1" applyBorder="1" applyAlignment="1">
      <alignment horizontal="left" vertical="top" wrapText="1"/>
    </xf>
    <xf numFmtId="3" fontId="137" fillId="0" borderId="1" xfId="0" applyNumberFormat="1" applyFont="1" applyFill="1" applyBorder="1" applyAlignment="1">
      <alignment horizontal="center" vertical="center"/>
    </xf>
    <xf numFmtId="0" fontId="137" fillId="0" borderId="1" xfId="0" applyFont="1" applyBorder="1" applyAlignment="1">
      <alignment horizontal="center" vertical="center"/>
    </xf>
    <xf numFmtId="173" fontId="0" fillId="0" borderId="1" xfId="299" applyNumberFormat="1" applyFont="1" applyFill="1" applyBorder="1" applyAlignment="1">
      <alignment horizontal="center" vertical="center"/>
    </xf>
    <xf numFmtId="0" fontId="69" fillId="5" borderId="1" xfId="0" applyFont="1" applyFill="1" applyBorder="1" applyAlignment="1">
      <alignment horizontal="center" vertical="center" wrapText="1"/>
    </xf>
    <xf numFmtId="1" fontId="67" fillId="6" borderId="1" xfId="299" applyNumberFormat="1" applyFont="1" applyFill="1" applyBorder="1" applyAlignment="1">
      <alignment horizontal="center" vertical="center" wrapText="1"/>
    </xf>
    <xf numFmtId="0" fontId="70" fillId="0" borderId="12" xfId="11" applyFont="1" applyFill="1" applyBorder="1" applyAlignment="1" applyProtection="1">
      <alignment horizontal="center" vertical="center" wrapText="1"/>
      <protection locked="0"/>
    </xf>
    <xf numFmtId="3" fontId="64" fillId="39" borderId="1" xfId="300" applyNumberFormat="1" applyFont="1" applyFill="1" applyBorder="1" applyAlignment="1">
      <alignment horizontal="center" vertical="center"/>
    </xf>
    <xf numFmtId="173" fontId="72" fillId="0" borderId="0" xfId="0" applyNumberFormat="1" applyFont="1" applyFill="1"/>
    <xf numFmtId="1" fontId="67" fillId="6" borderId="1" xfId="299" applyNumberFormat="1" applyFont="1" applyFill="1" applyBorder="1" applyAlignment="1">
      <alignment horizontal="center" vertical="center" wrapText="1"/>
    </xf>
    <xf numFmtId="171" fontId="0" fillId="58" borderId="1" xfId="299" applyNumberFormat="1" applyFont="1" applyFill="1" applyBorder="1" applyAlignment="1">
      <alignment horizontal="center" vertical="center" wrapText="1"/>
    </xf>
    <xf numFmtId="1" fontId="158" fillId="6" borderId="1" xfId="299" applyNumberFormat="1" applyFont="1" applyFill="1" applyBorder="1" applyAlignment="1">
      <alignment horizontal="center" vertical="center" wrapText="1"/>
    </xf>
    <xf numFmtId="173" fontId="157" fillId="6" borderId="1" xfId="299" applyNumberFormat="1" applyFont="1" applyFill="1" applyBorder="1" applyAlignment="1">
      <alignment horizontal="center" vertical="center" wrapText="1"/>
    </xf>
    <xf numFmtId="173" fontId="157" fillId="39" borderId="1" xfId="299" applyNumberFormat="1" applyFont="1" applyFill="1" applyBorder="1" applyAlignment="1">
      <alignment horizontal="center" vertical="center" wrapText="1"/>
    </xf>
    <xf numFmtId="173" fontId="157" fillId="58" borderId="1" xfId="299" applyNumberFormat="1" applyFont="1" applyFill="1" applyBorder="1" applyAlignment="1">
      <alignment horizontal="center" vertical="center" wrapText="1"/>
    </xf>
    <xf numFmtId="173" fontId="0" fillId="0" borderId="1" xfId="299" applyNumberFormat="1" applyFont="1" applyBorder="1" applyAlignment="1">
      <alignment horizontal="center" vertical="center" wrapText="1"/>
    </xf>
    <xf numFmtId="173" fontId="0" fillId="39" borderId="1" xfId="299" applyNumberFormat="1" applyFont="1" applyFill="1" applyBorder="1" applyAlignment="1">
      <alignment horizontal="center" vertical="center" wrapText="1"/>
    </xf>
    <xf numFmtId="173" fontId="157" fillId="58" borderId="1" xfId="299" applyNumberFormat="1" applyFont="1" applyFill="1" applyBorder="1" applyAlignment="1">
      <alignment horizontal="center" vertical="center"/>
    </xf>
    <xf numFmtId="173" fontId="157" fillId="0" borderId="1" xfId="299" applyNumberFormat="1" applyFont="1" applyFill="1" applyBorder="1" applyAlignment="1">
      <alignment horizontal="center" vertical="center"/>
    </xf>
    <xf numFmtId="0" fontId="159" fillId="0" borderId="0" xfId="0" applyFont="1" applyFill="1" applyAlignment="1"/>
    <xf numFmtId="0" fontId="160" fillId="0" borderId="0" xfId="0" applyFont="1" applyAlignment="1" applyProtection="1">
      <alignment horizontal="center" vertical="center"/>
      <protection locked="0"/>
    </xf>
    <xf numFmtId="0" fontId="160" fillId="0" borderId="0" xfId="0" applyFont="1" applyProtection="1">
      <protection locked="0"/>
    </xf>
    <xf numFmtId="3" fontId="161" fillId="0" borderId="0" xfId="0" applyNumberFormat="1" applyFont="1" applyAlignment="1" applyProtection="1">
      <alignment horizontal="center" vertical="center"/>
      <protection locked="0"/>
    </xf>
    <xf numFmtId="0" fontId="160" fillId="0" borderId="0" xfId="0" applyFont="1" applyAlignment="1">
      <alignment horizontal="center" vertical="center"/>
    </xf>
    <xf numFmtId="3" fontId="162" fillId="0" borderId="0" xfId="0" applyNumberFormat="1" applyFont="1" applyAlignment="1" applyProtection="1">
      <alignment horizontal="center" vertical="center"/>
      <protection locked="0"/>
    </xf>
    <xf numFmtId="0" fontId="164" fillId="0" borderId="0" xfId="0" applyFont="1" applyAlignment="1">
      <alignment horizontal="center" vertical="center"/>
    </xf>
    <xf numFmtId="0" fontId="161" fillId="0" borderId="0" xfId="0" applyFont="1" applyFill="1" applyAlignment="1">
      <alignment horizontal="center" vertical="center"/>
    </xf>
    <xf numFmtId="0" fontId="161" fillId="0" borderId="0" xfId="0" applyFont="1" applyFill="1"/>
    <xf numFmtId="0" fontId="160" fillId="0" borderId="0" xfId="0" applyFont="1"/>
    <xf numFmtId="0" fontId="161" fillId="0" borderId="0" xfId="0" applyFont="1" applyAlignment="1"/>
    <xf numFmtId="0" fontId="162" fillId="0" borderId="0" xfId="0" applyFont="1" applyFill="1"/>
    <xf numFmtId="0" fontId="164" fillId="0" borderId="0" xfId="0" applyFont="1"/>
    <xf numFmtId="0" fontId="164" fillId="0" borderId="0" xfId="0" applyFont="1" applyFill="1" applyAlignment="1">
      <alignment horizontal="center" vertical="center"/>
    </xf>
    <xf numFmtId="0" fontId="164" fillId="0" borderId="0" xfId="0" applyFont="1" applyFill="1"/>
    <xf numFmtId="0" fontId="163" fillId="0" borderId="0" xfId="0" applyFont="1" applyProtection="1">
      <protection locked="0"/>
    </xf>
    <xf numFmtId="0" fontId="161" fillId="0" borderId="0" xfId="0" applyFont="1" applyAlignment="1" applyProtection="1">
      <alignment horizontal="center" vertical="center"/>
      <protection locked="0"/>
    </xf>
    <xf numFmtId="0" fontId="161" fillId="0" borderId="0" xfId="0" applyFont="1" applyProtection="1">
      <protection locked="0"/>
    </xf>
    <xf numFmtId="49" fontId="162" fillId="0" borderId="0" xfId="0" applyNumberFormat="1" applyFont="1" applyBorder="1" applyAlignment="1" applyProtection="1">
      <alignment horizontal="center"/>
      <protection locked="0"/>
    </xf>
    <xf numFmtId="3" fontId="165" fillId="4" borderId="1" xfId="0" applyNumberFormat="1" applyFont="1" applyFill="1" applyBorder="1" applyAlignment="1" applyProtection="1">
      <alignment horizontal="center" vertical="center" wrapText="1"/>
      <protection locked="0"/>
    </xf>
    <xf numFmtId="0" fontId="165" fillId="2" borderId="1" xfId="0" applyFont="1" applyFill="1" applyBorder="1" applyAlignment="1" applyProtection="1">
      <alignment horizontal="center" vertical="center" wrapText="1"/>
      <protection locked="0"/>
    </xf>
    <xf numFmtId="0" fontId="165" fillId="3" borderId="1" xfId="0" applyFont="1" applyFill="1" applyBorder="1" applyAlignment="1" applyProtection="1">
      <alignment horizontal="center" vertical="center" wrapText="1"/>
    </xf>
    <xf numFmtId="0" fontId="165" fillId="5" borderId="1" xfId="0" applyFont="1" applyFill="1" applyBorder="1" applyAlignment="1" applyProtection="1">
      <alignment horizontal="center" vertical="center" wrapText="1"/>
    </xf>
    <xf numFmtId="0" fontId="165" fillId="8" borderId="1" xfId="0" applyFont="1" applyFill="1" applyBorder="1" applyAlignment="1" applyProtection="1">
      <alignment horizontal="center" vertical="center" wrapText="1"/>
    </xf>
    <xf numFmtId="0" fontId="165" fillId="6" borderId="1" xfId="0" applyFont="1" applyFill="1" applyBorder="1" applyAlignment="1" applyProtection="1">
      <alignment horizontal="center" vertical="center" wrapText="1"/>
    </xf>
    <xf numFmtId="0" fontId="166" fillId="2" borderId="1" xfId="0" applyFont="1" applyFill="1" applyBorder="1" applyAlignment="1" applyProtection="1">
      <alignment vertical="center"/>
    </xf>
    <xf numFmtId="0" fontId="166" fillId="2" borderId="1" xfId="11" applyFont="1" applyFill="1" applyBorder="1" applyAlignment="1" applyProtection="1">
      <alignment horizontal="center" vertical="center" wrapText="1"/>
    </xf>
    <xf numFmtId="0" fontId="167" fillId="0" borderId="1" xfId="0" applyFont="1" applyFill="1" applyBorder="1" applyAlignment="1" applyProtection="1">
      <alignment horizontal="left" vertical="center" wrapText="1"/>
    </xf>
    <xf numFmtId="0" fontId="166" fillId="2" borderId="1" xfId="0" applyFont="1" applyFill="1" applyBorder="1" applyAlignment="1" applyProtection="1">
      <alignment horizontal="left" vertical="center"/>
    </xf>
    <xf numFmtId="0" fontId="166" fillId="2" borderId="1" xfId="11" applyFont="1" applyFill="1" applyBorder="1" applyAlignment="1" applyProtection="1">
      <alignment horizontal="center" vertical="center"/>
    </xf>
    <xf numFmtId="0" fontId="169" fillId="0" borderId="1" xfId="0" applyFont="1" applyFill="1" applyBorder="1" applyAlignment="1" applyProtection="1">
      <alignment horizontal="left" vertical="center" wrapText="1"/>
    </xf>
    <xf numFmtId="3" fontId="170" fillId="0" borderId="1" xfId="0" applyNumberFormat="1" applyFont="1" applyBorder="1" applyAlignment="1">
      <alignment horizontal="center" vertical="center"/>
    </xf>
    <xf numFmtId="0" fontId="165" fillId="6" borderId="1" xfId="0" applyFont="1" applyFill="1" applyBorder="1" applyAlignment="1" applyProtection="1">
      <alignment horizontal="left" vertical="center" wrapText="1"/>
    </xf>
    <xf numFmtId="0" fontId="166" fillId="3" borderId="1" xfId="0" applyFont="1" applyFill="1" applyBorder="1" applyAlignment="1" applyProtection="1">
      <alignment horizontal="left" vertical="center"/>
    </xf>
    <xf numFmtId="0" fontId="166" fillId="3" borderId="1" xfId="11" applyFont="1" applyFill="1" applyBorder="1" applyAlignment="1" applyProtection="1">
      <alignment horizontal="center" vertical="center"/>
    </xf>
    <xf numFmtId="0" fontId="167" fillId="0" borderId="1" xfId="11" applyFont="1" applyFill="1" applyBorder="1" applyAlignment="1" applyProtection="1">
      <alignment horizontal="left" vertical="center" wrapText="1"/>
    </xf>
    <xf numFmtId="0" fontId="171" fillId="38" borderId="29" xfId="2" applyFont="1" applyFill="1" applyBorder="1" applyAlignment="1" applyProtection="1">
      <alignment horizontal="left" vertical="center" wrapText="1"/>
      <protection locked="0"/>
    </xf>
    <xf numFmtId="0" fontId="171" fillId="38" borderId="1" xfId="2" applyFont="1" applyFill="1" applyBorder="1" applyAlignment="1" applyProtection="1">
      <alignment horizontal="left" vertical="center" wrapText="1"/>
      <protection locked="0"/>
    </xf>
    <xf numFmtId="0" fontId="166" fillId="3" borderId="1" xfId="11" applyFont="1" applyFill="1" applyBorder="1" applyAlignment="1" applyProtection="1">
      <alignment horizontal="center" vertical="center" wrapText="1"/>
    </xf>
    <xf numFmtId="0" fontId="167" fillId="38" borderId="1" xfId="11" applyFont="1" applyFill="1" applyBorder="1" applyAlignment="1" applyProtection="1">
      <alignment horizontal="left" vertical="center" wrapText="1"/>
    </xf>
    <xf numFmtId="0" fontId="167" fillId="0" borderId="1" xfId="0" applyNumberFormat="1" applyFont="1" applyFill="1" applyBorder="1" applyAlignment="1" applyProtection="1">
      <alignment horizontal="left" vertical="center" wrapText="1"/>
    </xf>
    <xf numFmtId="0" fontId="167" fillId="0" borderId="1" xfId="269" applyFont="1" applyFill="1" applyBorder="1" applyAlignment="1" applyProtection="1">
      <alignment horizontal="left" vertical="center" wrapText="1"/>
    </xf>
    <xf numFmtId="4" fontId="167" fillId="0" borderId="1" xfId="0" applyNumberFormat="1" applyFont="1" applyFill="1" applyBorder="1" applyAlignment="1" applyProtection="1">
      <alignment horizontal="left" vertical="center" wrapText="1"/>
    </xf>
    <xf numFmtId="3" fontId="169" fillId="0" borderId="0" xfId="0" applyNumberFormat="1" applyFont="1" applyAlignment="1" applyProtection="1">
      <alignment horizontal="center" vertical="center"/>
      <protection locked="0"/>
    </xf>
    <xf numFmtId="2" fontId="167" fillId="0" borderId="1" xfId="0" applyNumberFormat="1" applyFont="1" applyFill="1" applyBorder="1" applyAlignment="1" applyProtection="1">
      <alignment horizontal="left" vertical="center" wrapText="1"/>
    </xf>
    <xf numFmtId="3" fontId="167" fillId="0" borderId="1" xfId="0" applyNumberFormat="1" applyFont="1" applyFill="1" applyBorder="1" applyAlignment="1" applyProtection="1">
      <alignment horizontal="left" vertical="center" wrapText="1"/>
    </xf>
    <xf numFmtId="0" fontId="167" fillId="0" borderId="0" xfId="0" applyFont="1" applyFill="1" applyBorder="1" applyAlignment="1" applyProtection="1">
      <alignment horizontal="left" vertical="center" wrapText="1"/>
      <protection locked="0"/>
    </xf>
    <xf numFmtId="0" fontId="167" fillId="0" borderId="0" xfId="0" applyFont="1" applyAlignment="1" applyProtection="1">
      <alignment horizontal="left" wrapText="1"/>
      <protection locked="0"/>
    </xf>
    <xf numFmtId="0" fontId="167" fillId="0" borderId="0" xfId="0" applyFont="1" applyFill="1" applyBorder="1" applyAlignment="1" applyProtection="1">
      <alignment horizontal="left" vertical="center"/>
      <protection locked="0"/>
    </xf>
    <xf numFmtId="0" fontId="167" fillId="0" borderId="0" xfId="0" applyFont="1" applyAlignment="1">
      <alignment horizontal="left" vertical="center"/>
    </xf>
    <xf numFmtId="0" fontId="167" fillId="0" borderId="0" xfId="0" applyFont="1" applyAlignment="1">
      <alignment horizontal="center" vertical="center"/>
    </xf>
    <xf numFmtId="3" fontId="167" fillId="0" borderId="0" xfId="0" applyNumberFormat="1" applyFont="1" applyAlignment="1">
      <alignment horizontal="center" vertical="center"/>
    </xf>
    <xf numFmtId="172" fontId="167" fillId="0" borderId="0" xfId="0" applyNumberFormat="1" applyFont="1" applyAlignment="1">
      <alignment horizontal="center" vertical="center"/>
    </xf>
    <xf numFmtId="0" fontId="167" fillId="0" borderId="0" xfId="0" applyFont="1"/>
    <xf numFmtId="0" fontId="167" fillId="0" borderId="0" xfId="0" applyFont="1" applyAlignment="1" applyProtection="1">
      <alignment wrapText="1"/>
      <protection locked="0"/>
    </xf>
    <xf numFmtId="0" fontId="174" fillId="2" borderId="1" xfId="0" applyFont="1" applyFill="1" applyBorder="1" applyAlignment="1" applyProtection="1">
      <alignment horizontal="center" vertical="center" wrapText="1"/>
      <protection locked="0"/>
    </xf>
    <xf numFmtId="173" fontId="173" fillId="0" borderId="1" xfId="299" applyNumberFormat="1" applyFont="1" applyFill="1" applyBorder="1" applyAlignment="1" applyProtection="1">
      <alignment horizontal="justify" vertical="center" wrapText="1"/>
    </xf>
    <xf numFmtId="173" fontId="177" fillId="0" borderId="1" xfId="303" applyNumberFormat="1" applyFont="1" applyFill="1" applyBorder="1" applyAlignment="1" applyProtection="1">
      <alignment horizontal="justify" vertical="center" wrapText="1"/>
    </xf>
    <xf numFmtId="0" fontId="167" fillId="7" borderId="1" xfId="0" applyFont="1" applyFill="1" applyBorder="1" applyAlignment="1" applyProtection="1">
      <alignment horizontal="left" vertical="center" wrapText="1"/>
    </xf>
    <xf numFmtId="0" fontId="4" fillId="7" borderId="0" xfId="0" applyFont="1" applyFill="1" applyAlignment="1" applyProtection="1">
      <alignment horizontal="center" vertical="center" wrapText="1"/>
      <protection locked="0"/>
    </xf>
    <xf numFmtId="171" fontId="66" fillId="58" borderId="14" xfId="299" applyNumberFormat="1" applyFont="1" applyFill="1" applyBorder="1" applyAlignment="1">
      <alignment vertical="center" wrapText="1"/>
    </xf>
    <xf numFmtId="171" fontId="66" fillId="58" borderId="17" xfId="299" applyNumberFormat="1" applyFont="1" applyFill="1" applyBorder="1" applyAlignment="1">
      <alignment vertical="center" wrapText="1"/>
    </xf>
    <xf numFmtId="171" fontId="66" fillId="58" borderId="15" xfId="299" applyNumberFormat="1" applyFont="1" applyFill="1" applyBorder="1" applyAlignment="1">
      <alignment vertical="center" wrapText="1"/>
    </xf>
    <xf numFmtId="171" fontId="66" fillId="58" borderId="2" xfId="299" applyNumberFormat="1" applyFont="1" applyFill="1" applyBorder="1" applyAlignment="1">
      <alignment vertical="center" wrapText="1"/>
    </xf>
    <xf numFmtId="173" fontId="6" fillId="0" borderId="1" xfId="299" applyNumberFormat="1" applyFont="1" applyFill="1" applyBorder="1" applyAlignment="1">
      <alignment horizontal="center" vertical="center"/>
    </xf>
    <xf numFmtId="1" fontId="66" fillId="39" borderId="12" xfId="299" applyNumberFormat="1" applyFont="1" applyFill="1" applyBorder="1" applyAlignment="1">
      <alignment horizontal="left" vertical="center" wrapText="1"/>
    </xf>
    <xf numFmtId="1" fontId="66" fillId="39" borderId="13" xfId="299" applyNumberFormat="1" applyFont="1" applyFill="1" applyBorder="1" applyAlignment="1">
      <alignment horizontal="left" vertical="center" wrapText="1"/>
    </xf>
    <xf numFmtId="0" fontId="64" fillId="0" borderId="0" xfId="0" applyFont="1" applyAlignment="1">
      <alignment horizontal="left"/>
    </xf>
    <xf numFmtId="9" fontId="4" fillId="0" borderId="0" xfId="300" applyFont="1"/>
    <xf numFmtId="0" fontId="71" fillId="0" borderId="0" xfId="0" applyFont="1" applyFill="1"/>
    <xf numFmtId="0" fontId="179" fillId="0" borderId="0" xfId="0" applyFont="1" applyFill="1"/>
    <xf numFmtId="0" fontId="72" fillId="0" borderId="0" xfId="0" applyFont="1" applyFill="1"/>
    <xf numFmtId="0" fontId="64" fillId="38" borderId="0" xfId="0" applyFont="1" applyFill="1"/>
    <xf numFmtId="0" fontId="73" fillId="0" borderId="0" xfId="0" applyFont="1"/>
    <xf numFmtId="9" fontId="4" fillId="0" borderId="0" xfId="300" applyFont="1" applyFill="1"/>
    <xf numFmtId="0" fontId="180" fillId="0" borderId="0" xfId="0" applyFont="1" applyFill="1"/>
    <xf numFmtId="0" fontId="4" fillId="0" borderId="0" xfId="0" applyFont="1" applyFill="1"/>
    <xf numFmtId="0" fontId="64" fillId="0" borderId="0" xfId="0" applyFont="1" applyFill="1" applyAlignment="1">
      <alignment horizontal="left"/>
    </xf>
    <xf numFmtId="174" fontId="64" fillId="0" borderId="0" xfId="0" applyNumberFormat="1" applyFont="1" applyFill="1" applyBorder="1" applyAlignment="1">
      <alignment horizontal="center" vertical="center"/>
    </xf>
    <xf numFmtId="0" fontId="6" fillId="0" borderId="13" xfId="11" applyFont="1" applyFill="1" applyBorder="1" applyAlignment="1" applyProtection="1">
      <alignment horizontal="right" vertical="center" wrapText="1"/>
      <protection locked="0"/>
    </xf>
    <xf numFmtId="0" fontId="4" fillId="0" borderId="0" xfId="195" applyFont="1" applyBorder="1" applyAlignment="1">
      <alignment horizontal="justify"/>
    </xf>
    <xf numFmtId="0" fontId="4" fillId="0" borderId="0" xfId="195" applyFont="1" applyBorder="1"/>
    <xf numFmtId="0" fontId="181" fillId="0" borderId="0" xfId="195" applyFont="1" applyBorder="1"/>
    <xf numFmtId="0" fontId="181" fillId="0" borderId="0" xfId="195" applyFont="1" applyBorder="1" applyAlignment="1">
      <alignment horizontal="center"/>
    </xf>
    <xf numFmtId="3" fontId="173" fillId="0" borderId="0" xfId="0" applyNumberFormat="1" applyFont="1" applyAlignment="1" applyProtection="1">
      <alignment horizontal="justify" vertical="center" wrapText="1"/>
      <protection locked="0"/>
    </xf>
    <xf numFmtId="0" fontId="173" fillId="0" borderId="1" xfId="0" applyFont="1" applyFill="1" applyBorder="1" applyAlignment="1">
      <alignment horizontal="justify" vertical="center" wrapText="1"/>
    </xf>
    <xf numFmtId="0" fontId="173" fillId="0" borderId="0" xfId="0" applyFont="1" applyFill="1" applyBorder="1" applyAlignment="1" applyProtection="1">
      <alignment horizontal="justify" vertical="center" wrapText="1"/>
      <protection locked="0"/>
    </xf>
    <xf numFmtId="0" fontId="173" fillId="0" borderId="0" xfId="0" applyFont="1" applyAlignment="1" applyProtection="1">
      <alignment horizontal="justify" wrapText="1"/>
      <protection locked="0"/>
    </xf>
    <xf numFmtId="0" fontId="173" fillId="0" borderId="0" xfId="0" applyFont="1" applyFill="1" applyAlignment="1">
      <alignment horizontal="justify" wrapText="1"/>
    </xf>
    <xf numFmtId="0" fontId="177" fillId="0" borderId="0" xfId="0" applyFont="1" applyAlignment="1" applyProtection="1">
      <alignment horizontal="justify" wrapText="1"/>
      <protection locked="0"/>
    </xf>
    <xf numFmtId="49" fontId="174" fillId="0" borderId="0" xfId="0" applyNumberFormat="1" applyFont="1" applyBorder="1" applyAlignment="1" applyProtection="1">
      <alignment horizontal="justify" wrapText="1"/>
      <protection locked="0"/>
    </xf>
    <xf numFmtId="3" fontId="64" fillId="0" borderId="0" xfId="0" applyNumberFormat="1" applyFont="1" applyAlignment="1" applyProtection="1">
      <alignment horizontal="justify" vertical="center"/>
      <protection locked="0"/>
    </xf>
    <xf numFmtId="49" fontId="65" fillId="0" borderId="0" xfId="0" applyNumberFormat="1" applyFont="1" applyBorder="1" applyAlignment="1" applyProtection="1">
      <alignment horizontal="justify"/>
      <protection locked="0"/>
    </xf>
    <xf numFmtId="0" fontId="167" fillId="0" borderId="0" xfId="0" applyFont="1" applyFill="1" applyBorder="1" applyAlignment="1" applyProtection="1">
      <alignment horizontal="justify" vertical="center" wrapText="1"/>
      <protection locked="0"/>
    </xf>
    <xf numFmtId="0" fontId="167" fillId="0" borderId="0" xfId="0" applyFont="1" applyAlignment="1" applyProtection="1">
      <alignment horizontal="justify" wrapText="1"/>
      <protection locked="0"/>
    </xf>
    <xf numFmtId="0" fontId="6" fillId="0" borderId="0" xfId="0" applyFont="1" applyAlignment="1" applyProtection="1">
      <alignment horizontal="justify"/>
      <protection locked="0"/>
    </xf>
    <xf numFmtId="0" fontId="173" fillId="0" borderId="0" xfId="0" applyFont="1" applyAlignment="1" applyProtection="1">
      <alignment horizontal="justify"/>
      <protection locked="0"/>
    </xf>
    <xf numFmtId="3" fontId="174" fillId="3" borderId="1" xfId="0" applyNumberFormat="1" applyFont="1" applyFill="1" applyBorder="1" applyAlignment="1" applyProtection="1">
      <alignment horizontal="justify" vertical="center" wrapText="1"/>
    </xf>
    <xf numFmtId="3" fontId="174" fillId="5" borderId="1" xfId="0" applyNumberFormat="1" applyFont="1" applyFill="1" applyBorder="1" applyAlignment="1" applyProtection="1">
      <alignment horizontal="justify" vertical="center" wrapText="1"/>
    </xf>
    <xf numFmtId="3" fontId="174" fillId="8" borderId="1" xfId="0" applyNumberFormat="1" applyFont="1" applyFill="1" applyBorder="1" applyAlignment="1" applyProtection="1">
      <alignment horizontal="justify" vertical="center" wrapText="1"/>
    </xf>
    <xf numFmtId="3" fontId="174" fillId="6" borderId="1" xfId="0" applyNumberFormat="1" applyFont="1" applyFill="1" applyBorder="1" applyAlignment="1" applyProtection="1">
      <alignment horizontal="justify" vertical="center" wrapText="1"/>
    </xf>
    <xf numFmtId="3" fontId="175" fillId="2" borderId="1" xfId="11" applyNumberFormat="1" applyFont="1" applyFill="1" applyBorder="1" applyAlignment="1" applyProtection="1">
      <alignment horizontal="justify" vertical="center" wrapText="1"/>
    </xf>
    <xf numFmtId="3" fontId="173" fillId="0" borderId="1" xfId="0" applyNumberFormat="1" applyFont="1" applyFill="1" applyBorder="1" applyAlignment="1" applyProtection="1">
      <alignment horizontal="justify" vertical="center"/>
    </xf>
    <xf numFmtId="3" fontId="173" fillId="0" borderId="1" xfId="0" applyNumberFormat="1" applyFont="1" applyFill="1" applyBorder="1" applyAlignment="1" applyProtection="1">
      <alignment horizontal="justify" vertical="center" wrapText="1"/>
    </xf>
    <xf numFmtId="3" fontId="175" fillId="2" borderId="1" xfId="0" applyNumberFormat="1" applyFont="1" applyFill="1" applyBorder="1" applyAlignment="1" applyProtection="1">
      <alignment horizontal="justify" vertical="center"/>
    </xf>
    <xf numFmtId="3" fontId="176" fillId="0" borderId="1" xfId="0" applyNumberFormat="1" applyFont="1" applyFill="1" applyBorder="1" applyAlignment="1" applyProtection="1">
      <alignment horizontal="justify" vertical="center" wrapText="1"/>
    </xf>
    <xf numFmtId="0" fontId="176" fillId="0" borderId="1" xfId="0" applyFont="1" applyFill="1" applyBorder="1" applyAlignment="1" applyProtection="1">
      <alignment horizontal="justify" vertical="center" wrapText="1"/>
    </xf>
    <xf numFmtId="3" fontId="176" fillId="0" borderId="1" xfId="0" applyNumberFormat="1" applyFont="1" applyFill="1" applyBorder="1" applyAlignment="1" applyProtection="1">
      <alignment horizontal="justify" vertical="center"/>
    </xf>
    <xf numFmtId="3" fontId="175" fillId="3" borderId="1" xfId="0" applyNumberFormat="1" applyFont="1" applyFill="1" applyBorder="1" applyAlignment="1" applyProtection="1">
      <alignment horizontal="justify" vertical="center"/>
    </xf>
    <xf numFmtId="0" fontId="173" fillId="0" borderId="1" xfId="0" applyFont="1" applyBorder="1" applyAlignment="1">
      <alignment horizontal="justify" vertical="center"/>
    </xf>
    <xf numFmtId="0" fontId="173" fillId="0" borderId="1" xfId="0" applyFont="1" applyBorder="1" applyAlignment="1">
      <alignment horizontal="justify" vertical="center" wrapText="1"/>
    </xf>
    <xf numFmtId="3" fontId="175" fillId="3" borderId="1" xfId="11" applyNumberFormat="1" applyFont="1" applyFill="1" applyBorder="1" applyAlignment="1" applyProtection="1">
      <alignment horizontal="justify" vertical="center" wrapText="1"/>
    </xf>
    <xf numFmtId="0" fontId="173" fillId="0" borderId="1" xfId="0" applyFont="1" applyFill="1" applyBorder="1" applyAlignment="1">
      <alignment horizontal="justify" vertical="center"/>
    </xf>
    <xf numFmtId="0" fontId="177" fillId="0" borderId="1" xfId="0" applyFont="1" applyFill="1" applyBorder="1" applyAlignment="1">
      <alignment horizontal="justify" vertical="center" wrapText="1"/>
    </xf>
    <xf numFmtId="0" fontId="173" fillId="7" borderId="1" xfId="0" applyFont="1" applyFill="1" applyBorder="1" applyAlignment="1">
      <alignment horizontal="justify" vertical="center" wrapText="1"/>
    </xf>
    <xf numFmtId="0" fontId="173" fillId="7" borderId="1" xfId="0" applyFont="1" applyFill="1" applyBorder="1" applyAlignment="1">
      <alignment horizontal="justify" vertical="center"/>
    </xf>
    <xf numFmtId="0" fontId="177" fillId="0" borderId="0" xfId="0" applyFont="1" applyAlignment="1" applyProtection="1">
      <alignment horizontal="justify"/>
      <protection locked="0"/>
    </xf>
    <xf numFmtId="3" fontId="181" fillId="0" borderId="0" xfId="195" applyNumberFormat="1" applyFont="1" applyBorder="1" applyAlignment="1">
      <alignment horizontal="center"/>
    </xf>
    <xf numFmtId="3" fontId="165" fillId="3" borderId="1" xfId="299" applyNumberFormat="1" applyFont="1" applyFill="1" applyBorder="1" applyAlignment="1" applyProtection="1">
      <alignment horizontal="center" vertical="center" wrapText="1"/>
    </xf>
    <xf numFmtId="3" fontId="165" fillId="5" borderId="1" xfId="299" applyNumberFormat="1" applyFont="1" applyFill="1" applyBorder="1" applyAlignment="1" applyProtection="1">
      <alignment horizontal="center" vertical="center" wrapText="1"/>
    </xf>
    <xf numFmtId="3" fontId="165" fillId="8" borderId="1" xfId="299" applyNumberFormat="1" applyFont="1" applyFill="1" applyBorder="1" applyAlignment="1" applyProtection="1">
      <alignment horizontal="center" vertical="center" wrapText="1"/>
    </xf>
    <xf numFmtId="3" fontId="165" fillId="6" borderId="1" xfId="299" applyNumberFormat="1" applyFont="1" applyFill="1" applyBorder="1" applyAlignment="1" applyProtection="1">
      <alignment horizontal="center" vertical="center" wrapText="1"/>
    </xf>
    <xf numFmtId="3" fontId="166" fillId="2" borderId="1" xfId="299" applyNumberFormat="1" applyFont="1" applyFill="1" applyBorder="1" applyAlignment="1" applyProtection="1">
      <alignment horizontal="center" vertical="center" wrapText="1"/>
    </xf>
    <xf numFmtId="3" fontId="167" fillId="0" borderId="1" xfId="299" applyNumberFormat="1" applyFont="1" applyFill="1" applyBorder="1" applyAlignment="1" applyProtection="1">
      <alignment horizontal="center" vertical="center" wrapText="1"/>
    </xf>
    <xf numFmtId="3" fontId="167" fillId="0" borderId="1" xfId="299" applyNumberFormat="1" applyFont="1" applyFill="1" applyBorder="1" applyAlignment="1" applyProtection="1">
      <alignment horizontal="center" vertical="center"/>
    </xf>
    <xf numFmtId="3" fontId="168" fillId="0" borderId="1" xfId="299" applyNumberFormat="1" applyFont="1" applyFill="1" applyBorder="1" applyAlignment="1" applyProtection="1">
      <alignment horizontal="center" vertical="center"/>
    </xf>
    <xf numFmtId="3" fontId="166" fillId="2" borderId="1" xfId="299" applyNumberFormat="1" applyFont="1" applyFill="1" applyBorder="1" applyAlignment="1" applyProtection="1">
      <alignment horizontal="center" vertical="center"/>
    </xf>
    <xf numFmtId="3" fontId="169" fillId="0" borderId="1" xfId="303" applyNumberFormat="1" applyFont="1" applyFill="1" applyBorder="1" applyAlignment="1" applyProtection="1">
      <alignment horizontal="center" vertical="center" wrapText="1"/>
    </xf>
    <xf numFmtId="3" fontId="169" fillId="0" borderId="1" xfId="303" applyNumberFormat="1" applyFont="1" applyFill="1" applyBorder="1" applyAlignment="1" applyProtection="1">
      <alignment horizontal="center" vertical="center"/>
    </xf>
    <xf numFmtId="3" fontId="169" fillId="0" borderId="1" xfId="317" applyNumberFormat="1" applyFont="1" applyFill="1" applyBorder="1" applyAlignment="1" applyProtection="1">
      <alignment horizontal="center" vertical="center" wrapText="1"/>
    </xf>
    <xf numFmtId="3" fontId="169" fillId="0" borderId="1" xfId="317" applyNumberFormat="1" applyFont="1" applyFill="1" applyBorder="1" applyAlignment="1" applyProtection="1">
      <alignment horizontal="center" vertical="center"/>
    </xf>
    <xf numFmtId="3" fontId="169" fillId="0" borderId="1" xfId="323" applyNumberFormat="1" applyFont="1" applyFill="1" applyBorder="1" applyAlignment="1" applyProtection="1">
      <alignment horizontal="center" vertical="center" wrapText="1"/>
    </xf>
    <xf numFmtId="3" fontId="169" fillId="0" borderId="1" xfId="323" applyNumberFormat="1" applyFont="1" applyFill="1" applyBorder="1" applyAlignment="1" applyProtection="1">
      <alignment horizontal="center" vertical="center"/>
    </xf>
    <xf numFmtId="3" fontId="169" fillId="0" borderId="1" xfId="314" applyNumberFormat="1" applyFont="1" applyFill="1" applyBorder="1" applyAlignment="1" applyProtection="1">
      <alignment horizontal="center" vertical="center" wrapText="1"/>
    </xf>
    <xf numFmtId="3" fontId="169" fillId="0" borderId="1" xfId="314" applyNumberFormat="1" applyFont="1" applyFill="1" applyBorder="1" applyAlignment="1" applyProtection="1">
      <alignment horizontal="center" vertical="center"/>
    </xf>
    <xf numFmtId="3" fontId="169" fillId="0" borderId="1" xfId="322" applyNumberFormat="1" applyFont="1" applyFill="1" applyBorder="1" applyAlignment="1" applyProtection="1">
      <alignment horizontal="center" vertical="center" wrapText="1"/>
    </xf>
    <xf numFmtId="3" fontId="169" fillId="0" borderId="1" xfId="322" applyNumberFormat="1" applyFont="1" applyFill="1" applyBorder="1" applyAlignment="1" applyProtection="1">
      <alignment horizontal="center" vertical="center"/>
    </xf>
    <xf numFmtId="3" fontId="169" fillId="0" borderId="1" xfId="315" applyNumberFormat="1" applyFont="1" applyFill="1" applyBorder="1" applyAlignment="1" applyProtection="1">
      <alignment horizontal="center" vertical="center" wrapText="1"/>
    </xf>
    <xf numFmtId="3" fontId="169" fillId="0" borderId="1" xfId="315" applyNumberFormat="1" applyFont="1" applyFill="1" applyBorder="1" applyAlignment="1" applyProtection="1">
      <alignment horizontal="center" vertical="center"/>
    </xf>
    <xf numFmtId="3" fontId="169" fillId="0" borderId="1" xfId="321" applyNumberFormat="1" applyFont="1" applyFill="1" applyBorder="1" applyAlignment="1" applyProtection="1">
      <alignment horizontal="center" vertical="center" wrapText="1"/>
    </xf>
    <xf numFmtId="3" fontId="169" fillId="0" borderId="1" xfId="321" applyNumberFormat="1" applyFont="1" applyFill="1" applyBorder="1" applyAlignment="1" applyProtection="1">
      <alignment horizontal="center" vertical="center"/>
    </xf>
    <xf numFmtId="3" fontId="169" fillId="0" borderId="1" xfId="316" applyNumberFormat="1" applyFont="1" applyFill="1" applyBorder="1" applyAlignment="1" applyProtection="1">
      <alignment horizontal="center" vertical="center" wrapText="1"/>
    </xf>
    <xf numFmtId="3" fontId="169" fillId="0" borderId="1" xfId="316" applyNumberFormat="1" applyFont="1" applyFill="1" applyBorder="1" applyAlignment="1" applyProtection="1">
      <alignment horizontal="center" vertical="center"/>
    </xf>
    <xf numFmtId="3" fontId="166" fillId="3" borderId="1" xfId="299" applyNumberFormat="1" applyFont="1" applyFill="1" applyBorder="1" applyAlignment="1" applyProtection="1">
      <alignment horizontal="center" vertical="center"/>
    </xf>
    <xf numFmtId="3" fontId="166" fillId="3" borderId="1" xfId="299" applyNumberFormat="1" applyFont="1" applyFill="1" applyBorder="1" applyAlignment="1" applyProtection="1">
      <alignment horizontal="center" vertical="center" wrapText="1"/>
    </xf>
    <xf numFmtId="3" fontId="171" fillId="38" borderId="1" xfId="299" applyNumberFormat="1" applyFont="1" applyFill="1" applyBorder="1" applyAlignment="1" applyProtection="1">
      <alignment horizontal="center" vertical="center"/>
      <protection locked="0"/>
    </xf>
    <xf numFmtId="3" fontId="168" fillId="38" borderId="1" xfId="299" applyNumberFormat="1" applyFont="1" applyFill="1" applyBorder="1" applyAlignment="1" applyProtection="1">
      <alignment horizontal="center" vertical="center"/>
      <protection locked="0"/>
    </xf>
    <xf numFmtId="3" fontId="170" fillId="0" borderId="1" xfId="299" applyNumberFormat="1" applyFont="1" applyBorder="1" applyAlignment="1">
      <alignment horizontal="center" vertical="center"/>
    </xf>
    <xf numFmtId="3" fontId="168" fillId="0" borderId="1" xfId="299" applyNumberFormat="1" applyFont="1" applyFill="1" applyBorder="1" applyAlignment="1" applyProtection="1">
      <alignment horizontal="center" vertical="center" wrapText="1"/>
      <protection locked="0"/>
    </xf>
    <xf numFmtId="3" fontId="167" fillId="7" borderId="1" xfId="299" applyNumberFormat="1" applyFont="1" applyFill="1" applyBorder="1" applyAlignment="1" applyProtection="1">
      <alignment horizontal="center" vertical="center" wrapText="1"/>
    </xf>
    <xf numFmtId="3" fontId="167" fillId="7" borderId="1" xfId="299" applyNumberFormat="1" applyFont="1" applyFill="1" applyBorder="1" applyAlignment="1" applyProtection="1">
      <alignment horizontal="center" vertical="center"/>
    </xf>
    <xf numFmtId="3" fontId="170" fillId="7" borderId="1" xfId="299" applyNumberFormat="1" applyFont="1" applyFill="1" applyBorder="1" applyAlignment="1">
      <alignment horizontal="center" vertical="center"/>
    </xf>
    <xf numFmtId="3" fontId="174" fillId="3" borderId="1" xfId="299" applyNumberFormat="1" applyFont="1" applyFill="1" applyBorder="1" applyAlignment="1" applyProtection="1">
      <alignment horizontal="center" vertical="center" wrapText="1"/>
    </xf>
    <xf numFmtId="3" fontId="174" fillId="5" borderId="1" xfId="299" applyNumberFormat="1" applyFont="1" applyFill="1" applyBorder="1" applyAlignment="1" applyProtection="1">
      <alignment horizontal="center" vertical="center" wrapText="1"/>
    </xf>
    <xf numFmtId="3" fontId="174" fillId="3" borderId="1" xfId="300" applyNumberFormat="1" applyFont="1" applyFill="1" applyBorder="1" applyAlignment="1" applyProtection="1">
      <alignment horizontal="center" vertical="center" wrapText="1"/>
    </xf>
    <xf numFmtId="3" fontId="174" fillId="8" borderId="1" xfId="299" applyNumberFormat="1" applyFont="1" applyFill="1" applyBorder="1" applyAlignment="1" applyProtection="1">
      <alignment horizontal="center" vertical="center" wrapText="1"/>
    </xf>
    <xf numFmtId="3" fontId="174" fillId="6" borderId="1" xfId="300" applyNumberFormat="1" applyFont="1" applyFill="1" applyBorder="1" applyAlignment="1" applyProtection="1">
      <alignment horizontal="center" vertical="center" wrapText="1"/>
    </xf>
    <xf numFmtId="3" fontId="174" fillId="6" borderId="1" xfId="299" applyNumberFormat="1" applyFont="1" applyFill="1" applyBorder="1" applyAlignment="1" applyProtection="1">
      <alignment horizontal="center" vertical="center" wrapText="1"/>
    </xf>
    <xf numFmtId="3" fontId="175" fillId="2" borderId="1" xfId="299" applyNumberFormat="1" applyFont="1" applyFill="1" applyBorder="1" applyAlignment="1" applyProtection="1">
      <alignment horizontal="center" vertical="center" wrapText="1"/>
    </xf>
    <xf numFmtId="3" fontId="173" fillId="0" borderId="1" xfId="299" applyNumberFormat="1" applyFont="1" applyFill="1" applyBorder="1" applyAlignment="1" applyProtection="1">
      <alignment horizontal="center" vertical="center" wrapText="1"/>
    </xf>
    <xf numFmtId="3" fontId="176" fillId="0" borderId="1" xfId="303" applyNumberFormat="1" applyFont="1" applyFill="1" applyBorder="1" applyAlignment="1" applyProtection="1">
      <alignment horizontal="center" vertical="center" wrapText="1"/>
    </xf>
    <xf numFmtId="3" fontId="176" fillId="0" borderId="1" xfId="317" applyNumberFormat="1" applyFont="1" applyFill="1" applyBorder="1" applyAlignment="1" applyProtection="1">
      <alignment horizontal="center" vertical="center" wrapText="1"/>
    </xf>
    <xf numFmtId="3" fontId="176" fillId="0" borderId="1" xfId="323" applyNumberFormat="1" applyFont="1" applyFill="1" applyBorder="1" applyAlignment="1" applyProtection="1">
      <alignment horizontal="center" vertical="center" wrapText="1"/>
    </xf>
    <xf numFmtId="3" fontId="176" fillId="0" borderId="1" xfId="314" applyNumberFormat="1" applyFont="1" applyFill="1" applyBorder="1" applyAlignment="1" applyProtection="1">
      <alignment horizontal="center" vertical="center" wrapText="1"/>
    </xf>
    <xf numFmtId="3" fontId="176" fillId="0" borderId="1" xfId="322" applyNumberFormat="1" applyFont="1" applyFill="1" applyBorder="1" applyAlignment="1" applyProtection="1">
      <alignment horizontal="center" vertical="center" wrapText="1"/>
    </xf>
    <xf numFmtId="3" fontId="176" fillId="0" borderId="1" xfId="315" applyNumberFormat="1" applyFont="1" applyFill="1" applyBorder="1" applyAlignment="1" applyProtection="1">
      <alignment horizontal="center" vertical="center" wrapText="1"/>
    </xf>
    <xf numFmtId="3" fontId="176" fillId="0" borderId="1" xfId="321" applyNumberFormat="1" applyFont="1" applyFill="1" applyBorder="1" applyAlignment="1" applyProtection="1">
      <alignment horizontal="center" vertical="center" wrapText="1"/>
    </xf>
    <xf numFmtId="3" fontId="176" fillId="0" borderId="1" xfId="316" applyNumberFormat="1" applyFont="1" applyFill="1" applyBorder="1" applyAlignment="1" applyProtection="1">
      <alignment horizontal="center" vertical="center" wrapText="1"/>
    </xf>
    <xf numFmtId="3" fontId="175" fillId="3" borderId="1" xfId="299" applyNumberFormat="1" applyFont="1" applyFill="1" applyBorder="1" applyAlignment="1" applyProtection="1">
      <alignment horizontal="center" vertical="center" wrapText="1"/>
    </xf>
    <xf numFmtId="3" fontId="173" fillId="0" borderId="1" xfId="0" applyNumberFormat="1" applyFont="1" applyFill="1" applyBorder="1" applyAlignment="1">
      <alignment horizontal="center" vertical="center" wrapText="1"/>
    </xf>
    <xf numFmtId="3" fontId="167" fillId="0" borderId="1" xfId="299" applyNumberFormat="1" applyFont="1" applyBorder="1" applyAlignment="1">
      <alignment horizontal="center" vertical="center"/>
    </xf>
    <xf numFmtId="3" fontId="177" fillId="0" borderId="1" xfId="299" applyNumberFormat="1" applyFont="1" applyFill="1" applyBorder="1" applyAlignment="1" applyProtection="1">
      <alignment horizontal="center" vertical="center" wrapText="1"/>
    </xf>
    <xf numFmtId="3" fontId="177" fillId="0" borderId="1" xfId="303" applyNumberFormat="1" applyFont="1" applyFill="1" applyBorder="1" applyAlignment="1" applyProtection="1">
      <alignment horizontal="center" vertical="center" wrapText="1"/>
    </xf>
    <xf numFmtId="3" fontId="178" fillId="0" borderId="1" xfId="303" applyNumberFormat="1" applyFont="1" applyFill="1" applyBorder="1" applyAlignment="1" applyProtection="1">
      <alignment horizontal="center" vertical="center" wrapText="1"/>
    </xf>
    <xf numFmtId="3" fontId="172" fillId="0" borderId="1" xfId="303" applyNumberFormat="1" applyFont="1" applyFill="1" applyBorder="1" applyAlignment="1" applyProtection="1">
      <alignment horizontal="center" vertical="center"/>
    </xf>
    <xf numFmtId="3" fontId="173" fillId="7" borderId="1" xfId="299" applyNumberFormat="1" applyFont="1" applyFill="1" applyBorder="1" applyAlignment="1" applyProtection="1">
      <alignment horizontal="center" vertical="center" wrapText="1"/>
    </xf>
    <xf numFmtId="3" fontId="4" fillId="0" borderId="0" xfId="195" applyNumberFormat="1" applyFont="1" applyBorder="1"/>
    <xf numFmtId="0" fontId="64" fillId="0" borderId="1" xfId="0" applyFont="1" applyFill="1" applyBorder="1" applyAlignment="1" applyProtection="1">
      <alignment horizontal="left" vertical="center" wrapText="1"/>
    </xf>
    <xf numFmtId="173" fontId="64" fillId="0" borderId="1" xfId="299" applyNumberFormat="1" applyFont="1" applyFill="1" applyBorder="1" applyAlignment="1" applyProtection="1">
      <alignment horizontal="center" vertical="center" wrapText="1"/>
    </xf>
    <xf numFmtId="173" fontId="64" fillId="0" borderId="1" xfId="299" applyNumberFormat="1" applyFont="1" applyFill="1" applyBorder="1" applyAlignment="1" applyProtection="1">
      <alignment horizontal="center" vertical="center"/>
    </xf>
    <xf numFmtId="173" fontId="68" fillId="0" borderId="1" xfId="299" applyNumberFormat="1" applyFont="1" applyFill="1" applyBorder="1" applyAlignment="1" applyProtection="1">
      <alignment horizontal="center" vertical="center"/>
    </xf>
    <xf numFmtId="173" fontId="68" fillId="0" borderId="1" xfId="299" applyNumberFormat="1" applyFont="1" applyFill="1" applyBorder="1" applyAlignment="1" applyProtection="1">
      <alignment horizontal="center" vertical="center" wrapText="1"/>
    </xf>
    <xf numFmtId="3" fontId="68" fillId="0" borderId="1" xfId="0" applyNumberFormat="1" applyFont="1" applyFill="1" applyBorder="1" applyAlignment="1" applyProtection="1">
      <alignment horizontal="center" vertical="center" wrapText="1"/>
    </xf>
    <xf numFmtId="173" fontId="0" fillId="0" borderId="1" xfId="299" applyNumberFormat="1" applyFont="1" applyFill="1" applyBorder="1"/>
    <xf numFmtId="173" fontId="0" fillId="0" borderId="1" xfId="299" applyNumberFormat="1" applyFont="1" applyFill="1" applyBorder="1" applyAlignment="1">
      <alignment horizontal="center"/>
    </xf>
    <xf numFmtId="0" fontId="0" fillId="0" borderId="1" xfId="0" applyFill="1" applyBorder="1" applyAlignment="1">
      <alignment horizontal="left" wrapText="1"/>
    </xf>
    <xf numFmtId="3" fontId="170" fillId="0" borderId="1" xfId="299" applyNumberFormat="1" applyFont="1" applyFill="1" applyBorder="1" applyAlignment="1">
      <alignment horizontal="center" vertical="center"/>
    </xf>
    <xf numFmtId="0" fontId="0" fillId="0" borderId="1" xfId="0" applyFill="1" applyBorder="1" applyAlignment="1">
      <alignment horizontal="center"/>
    </xf>
    <xf numFmtId="3" fontId="6" fillId="0" borderId="1" xfId="0" applyNumberFormat="1" applyFont="1" applyBorder="1" applyAlignment="1">
      <alignment horizontal="right" vertical="center"/>
    </xf>
    <xf numFmtId="3" fontId="6" fillId="0" borderId="0" xfId="0" applyNumberFormat="1" applyFont="1" applyAlignment="1">
      <alignment horizontal="center" vertical="center"/>
    </xf>
    <xf numFmtId="3" fontId="69" fillId="0" borderId="1" xfId="0" applyNumberFormat="1" applyFont="1" applyBorder="1" applyAlignment="1">
      <alignment horizontal="right" vertical="center"/>
    </xf>
    <xf numFmtId="3" fontId="69" fillId="0" borderId="1" xfId="0" applyNumberFormat="1" applyFont="1" applyFill="1" applyBorder="1" applyAlignment="1">
      <alignment horizontal="right" vertical="center"/>
    </xf>
    <xf numFmtId="0" fontId="186" fillId="0" borderId="0" xfId="0" applyFont="1" applyFill="1"/>
    <xf numFmtId="0" fontId="187" fillId="0" borderId="0" xfId="0" applyFont="1"/>
    <xf numFmtId="9" fontId="186" fillId="0" borderId="0" xfId="300" applyFont="1"/>
    <xf numFmtId="0" fontId="186" fillId="0" borderId="0" xfId="0" applyFont="1"/>
    <xf numFmtId="0" fontId="187" fillId="0" borderId="0" xfId="0" applyFont="1" applyFill="1" applyBorder="1" applyAlignment="1"/>
    <xf numFmtId="3" fontId="169" fillId="0" borderId="1" xfId="481" applyNumberFormat="1" applyFont="1" applyFill="1" applyBorder="1" applyAlignment="1" applyProtection="1">
      <alignment horizontal="center" vertical="center" wrapText="1"/>
    </xf>
    <xf numFmtId="0" fontId="188" fillId="0" borderId="0" xfId="0" applyFont="1" applyAlignment="1"/>
    <xf numFmtId="0" fontId="188" fillId="0" borderId="0" xfId="0" applyFont="1" applyFill="1"/>
    <xf numFmtId="0" fontId="188" fillId="0" borderId="0" xfId="0" applyFont="1" applyFill="1" applyAlignment="1">
      <alignment horizontal="justify" wrapText="1"/>
    </xf>
    <xf numFmtId="0" fontId="188" fillId="0" borderId="0" xfId="0" applyFont="1" applyFill="1" applyAlignment="1">
      <alignment horizontal="justify"/>
    </xf>
    <xf numFmtId="3" fontId="165" fillId="0" borderId="1" xfId="299" applyNumberFormat="1" applyFont="1" applyFill="1" applyBorder="1" applyAlignment="1" applyProtection="1">
      <alignment horizontal="center" vertical="center" wrapText="1"/>
    </xf>
    <xf numFmtId="3" fontId="170" fillId="0" borderId="0" xfId="0" applyNumberFormat="1" applyFont="1" applyFill="1" applyAlignment="1">
      <alignment horizontal="center" vertical="center"/>
    </xf>
    <xf numFmtId="49" fontId="182" fillId="0" borderId="0" xfId="0" applyNumberFormat="1" applyFont="1" applyBorder="1" applyAlignment="1" applyProtection="1">
      <alignment horizontal="center" vertical="center" wrapText="1"/>
      <protection locked="0"/>
    </xf>
    <xf numFmtId="49" fontId="183" fillId="0" borderId="0" xfId="0" applyNumberFormat="1" applyFont="1" applyBorder="1" applyAlignment="1" applyProtection="1">
      <alignment horizontal="center" vertical="center" wrapText="1"/>
      <protection locked="0"/>
    </xf>
    <xf numFmtId="0" fontId="167" fillId="0" borderId="0" xfId="0" applyFont="1" applyFill="1" applyBorder="1" applyAlignment="1" applyProtection="1">
      <alignment horizontal="left" vertical="center" wrapText="1"/>
      <protection locked="0"/>
    </xf>
    <xf numFmtId="0" fontId="165" fillId="3" borderId="1" xfId="0" applyFont="1" applyFill="1" applyBorder="1" applyAlignment="1" applyProtection="1">
      <alignment horizontal="center" vertical="center" wrapText="1"/>
      <protection locked="0"/>
    </xf>
    <xf numFmtId="3" fontId="165" fillId="4" borderId="1" xfId="0" applyNumberFormat="1" applyFont="1" applyFill="1" applyBorder="1" applyAlignment="1" applyProtection="1">
      <alignment horizontal="center" vertical="center" wrapText="1"/>
      <protection locked="0"/>
    </xf>
    <xf numFmtId="0" fontId="174" fillId="3" borderId="1" xfId="0" applyFont="1" applyFill="1" applyBorder="1" applyAlignment="1" applyProtection="1">
      <alignment horizontal="center" vertical="center" wrapText="1"/>
      <protection locked="0"/>
    </xf>
    <xf numFmtId="3" fontId="165" fillId="4" borderId="22" xfId="0" applyNumberFormat="1" applyFont="1" applyFill="1" applyBorder="1" applyAlignment="1" applyProtection="1">
      <alignment horizontal="center" vertical="center" wrapText="1"/>
      <protection locked="0"/>
    </xf>
    <xf numFmtId="3" fontId="165" fillId="4" borderId="20" xfId="0" applyNumberFormat="1" applyFont="1" applyFill="1" applyBorder="1" applyAlignment="1" applyProtection="1">
      <alignment horizontal="center" vertical="center" wrapText="1"/>
      <protection locked="0"/>
    </xf>
    <xf numFmtId="3" fontId="165" fillId="4" borderId="23" xfId="0" applyNumberFormat="1" applyFont="1" applyFill="1" applyBorder="1" applyAlignment="1" applyProtection="1">
      <alignment horizontal="center" vertical="center" wrapText="1"/>
      <protection locked="0"/>
    </xf>
    <xf numFmtId="3" fontId="165" fillId="4" borderId="14" xfId="0" applyNumberFormat="1" applyFont="1" applyFill="1" applyBorder="1" applyAlignment="1" applyProtection="1">
      <alignment horizontal="center" vertical="center" wrapText="1"/>
      <protection locked="0"/>
    </xf>
    <xf numFmtId="3" fontId="165" fillId="4" borderId="15" xfId="0" applyNumberFormat="1" applyFont="1" applyFill="1" applyBorder="1" applyAlignment="1" applyProtection="1">
      <alignment horizontal="center" vertical="center" wrapText="1"/>
      <protection locked="0"/>
    </xf>
    <xf numFmtId="3" fontId="165" fillId="4" borderId="16" xfId="0" applyNumberFormat="1" applyFont="1" applyFill="1" applyBorder="1" applyAlignment="1" applyProtection="1">
      <alignment horizontal="center" vertical="center" wrapText="1"/>
      <protection locked="0"/>
    </xf>
    <xf numFmtId="3" fontId="174" fillId="4" borderId="1" xfId="0" applyNumberFormat="1" applyFont="1" applyFill="1" applyBorder="1" applyAlignment="1" applyProtection="1">
      <alignment horizontal="center" vertical="center" wrapText="1"/>
      <protection locked="0"/>
    </xf>
    <xf numFmtId="3" fontId="167" fillId="0" borderId="22" xfId="299" applyNumberFormat="1" applyFont="1" applyFill="1" applyBorder="1" applyAlignment="1" applyProtection="1">
      <alignment horizontal="center" vertical="center" wrapText="1"/>
    </xf>
    <xf numFmtId="3" fontId="167" fillId="0" borderId="23" xfId="299" applyNumberFormat="1" applyFont="1" applyFill="1" applyBorder="1" applyAlignment="1" applyProtection="1">
      <alignment horizontal="center" vertical="center" wrapText="1"/>
    </xf>
    <xf numFmtId="49" fontId="65" fillId="0" borderId="2" xfId="0" applyNumberFormat="1" applyFont="1" applyBorder="1" applyAlignment="1" applyProtection="1">
      <alignment horizontal="center"/>
      <protection locked="0"/>
    </xf>
    <xf numFmtId="3" fontId="165" fillId="4" borderId="12" xfId="0" applyNumberFormat="1" applyFont="1" applyFill="1" applyBorder="1" applyAlignment="1" applyProtection="1">
      <alignment horizontal="center" vertical="center" wrapText="1"/>
      <protection locked="0"/>
    </xf>
    <xf numFmtId="3" fontId="165" fillId="4" borderId="21" xfId="0" applyNumberFormat="1" applyFont="1" applyFill="1" applyBorder="1" applyAlignment="1" applyProtection="1">
      <alignment horizontal="center" vertical="center" wrapText="1"/>
      <protection locked="0"/>
    </xf>
    <xf numFmtId="3" fontId="165" fillId="4" borderId="13" xfId="0" applyNumberFormat="1" applyFont="1" applyFill="1" applyBorder="1" applyAlignment="1" applyProtection="1">
      <alignment horizontal="center" vertical="center" wrapText="1"/>
      <protection locked="0"/>
    </xf>
    <xf numFmtId="0" fontId="64" fillId="0" borderId="0" xfId="0" applyFont="1" applyAlignment="1">
      <alignment horizontal="left" vertical="center"/>
    </xf>
    <xf numFmtId="0" fontId="64" fillId="0" borderId="0" xfId="0" applyFont="1" applyAlignment="1">
      <alignment horizontal="left" vertical="center" wrapText="1"/>
    </xf>
    <xf numFmtId="0" fontId="70" fillId="0" borderId="1" xfId="11" applyFont="1" applyFill="1" applyBorder="1" applyAlignment="1" applyProtection="1">
      <alignment horizontal="left" vertical="center" wrapText="1"/>
      <protection locked="0"/>
    </xf>
    <xf numFmtId="0" fontId="6" fillId="0" borderId="1" xfId="11" applyFont="1" applyFill="1" applyBorder="1" applyAlignment="1" applyProtection="1">
      <alignment horizontal="left" vertical="center" wrapText="1"/>
      <protection locked="0"/>
    </xf>
    <xf numFmtId="0" fontId="64" fillId="0" borderId="15" xfId="0" applyFont="1" applyBorder="1" applyAlignment="1">
      <alignment horizontal="left" vertical="center"/>
    </xf>
    <xf numFmtId="1" fontId="67" fillId="6" borderId="1" xfId="299" applyNumberFormat="1" applyFont="1" applyFill="1" applyBorder="1" applyAlignment="1">
      <alignment horizontal="center" vertical="center" wrapText="1"/>
    </xf>
    <xf numFmtId="1" fontId="66" fillId="6" borderId="12" xfId="299" applyNumberFormat="1" applyFont="1" applyFill="1" applyBorder="1" applyAlignment="1">
      <alignment horizontal="left" vertical="center" wrapText="1"/>
    </xf>
    <xf numFmtId="1" fontId="66" fillId="6" borderId="13" xfId="299" applyNumberFormat="1" applyFont="1" applyFill="1" applyBorder="1" applyAlignment="1">
      <alignment horizontal="left" vertical="center" wrapText="1"/>
    </xf>
    <xf numFmtId="171" fontId="66" fillId="58" borderId="1" xfId="299" applyNumberFormat="1" applyFont="1" applyFill="1" applyBorder="1" applyAlignment="1">
      <alignment horizontal="left" vertical="center" wrapText="1"/>
    </xf>
    <xf numFmtId="171" fontId="6" fillId="0" borderId="1" xfId="299" applyNumberFormat="1" applyFont="1" applyFill="1" applyBorder="1" applyAlignment="1" applyProtection="1">
      <alignment horizontal="left" vertical="center" wrapText="1"/>
      <protection locked="0"/>
    </xf>
    <xf numFmtId="49" fontId="61" fillId="0" borderId="0" xfId="0" applyNumberFormat="1" applyFont="1" applyBorder="1" applyAlignment="1" applyProtection="1">
      <alignment horizontal="center" vertical="center" wrapText="1"/>
      <protection locked="0"/>
    </xf>
    <xf numFmtId="171" fontId="66" fillId="58" borderId="1" xfId="299" applyNumberFormat="1" applyFont="1" applyFill="1" applyBorder="1" applyAlignment="1">
      <alignment horizontal="center" vertical="center" wrapText="1"/>
    </xf>
    <xf numFmtId="171" fontId="66" fillId="58" borderId="12" xfId="299" applyNumberFormat="1" applyFont="1" applyFill="1" applyBorder="1" applyAlignment="1">
      <alignment horizontal="center" vertical="center"/>
    </xf>
    <xf numFmtId="171" fontId="66" fillId="58" borderId="13" xfId="299" applyNumberFormat="1" applyFont="1" applyFill="1" applyBorder="1" applyAlignment="1">
      <alignment horizontal="center" vertical="center"/>
    </xf>
    <xf numFmtId="171" fontId="66" fillId="58" borderId="14" xfId="299" applyNumberFormat="1" applyFont="1" applyFill="1" applyBorder="1" applyAlignment="1">
      <alignment horizontal="center" vertical="center" wrapText="1"/>
    </xf>
    <xf numFmtId="171" fontId="66" fillId="58" borderId="16" xfId="299" applyNumberFormat="1" applyFont="1" applyFill="1" applyBorder="1" applyAlignment="1">
      <alignment horizontal="center" vertical="center" wrapText="1"/>
    </xf>
    <xf numFmtId="171" fontId="66" fillId="58" borderId="24" xfId="299" applyNumberFormat="1" applyFont="1" applyFill="1" applyBorder="1" applyAlignment="1">
      <alignment horizontal="center" vertical="center" wrapText="1"/>
    </xf>
    <xf numFmtId="171" fontId="66" fillId="58" borderId="25" xfId="299" applyNumberFormat="1" applyFont="1" applyFill="1" applyBorder="1" applyAlignment="1">
      <alignment horizontal="center" vertical="center" wrapText="1"/>
    </xf>
    <xf numFmtId="171" fontId="66" fillId="58" borderId="17" xfId="299" applyNumberFormat="1" applyFont="1" applyFill="1" applyBorder="1" applyAlignment="1">
      <alignment horizontal="center" vertical="center" wrapText="1"/>
    </xf>
    <xf numFmtId="171" fontId="66" fillId="58" borderId="18" xfId="299" applyNumberFormat="1" applyFont="1" applyFill="1" applyBorder="1" applyAlignment="1">
      <alignment horizontal="center" vertical="center" wrapText="1"/>
    </xf>
    <xf numFmtId="0" fontId="66" fillId="0" borderId="0" xfId="0" applyFont="1" applyBorder="1" applyAlignment="1">
      <alignment horizontal="center" vertical="center"/>
    </xf>
    <xf numFmtId="0" fontId="69" fillId="5" borderId="1" xfId="0" applyFont="1" applyFill="1" applyBorder="1" applyAlignment="1">
      <alignment horizontal="center" vertical="center" wrapText="1"/>
    </xf>
    <xf numFmtId="0" fontId="137" fillId="5" borderId="1" xfId="0" applyFont="1" applyFill="1" applyBorder="1" applyAlignment="1">
      <alignment wrapText="1"/>
    </xf>
    <xf numFmtId="0" fontId="64" fillId="5" borderId="1" xfId="0" applyFont="1" applyFill="1" applyBorder="1" applyAlignment="1">
      <alignment wrapText="1"/>
    </xf>
    <xf numFmtId="0" fontId="66" fillId="5" borderId="1" xfId="0" applyFont="1" applyFill="1" applyBorder="1" applyAlignment="1">
      <alignment horizontal="center" vertical="center" wrapText="1"/>
    </xf>
    <xf numFmtId="0" fontId="64" fillId="5" borderId="1" xfId="0" applyFont="1" applyFill="1" applyBorder="1" applyAlignment="1">
      <alignment horizontal="center" vertical="center" wrapText="1"/>
    </xf>
    <xf numFmtId="0" fontId="69" fillId="5" borderId="22" xfId="0" applyFont="1" applyFill="1" applyBorder="1" applyAlignment="1">
      <alignment horizontal="center" vertical="center" wrapText="1"/>
    </xf>
    <xf numFmtId="0" fontId="69" fillId="5" borderId="23" xfId="0" applyFont="1" applyFill="1" applyBorder="1" applyAlignment="1">
      <alignment horizontal="center" vertical="center" wrapText="1"/>
    </xf>
    <xf numFmtId="0" fontId="139" fillId="58" borderId="1" xfId="0" applyFont="1" applyFill="1" applyBorder="1" applyAlignment="1">
      <alignment horizontal="left" vertical="center"/>
    </xf>
    <xf numFmtId="0" fontId="69" fillId="58" borderId="1" xfId="0" applyFont="1" applyFill="1" applyBorder="1" applyAlignment="1">
      <alignment horizontal="center" vertical="center"/>
    </xf>
    <xf numFmtId="3" fontId="69" fillId="58" borderId="1" xfId="0" applyNumberFormat="1" applyFont="1" applyFill="1" applyBorder="1" applyAlignment="1">
      <alignment horizontal="center" vertical="center"/>
    </xf>
    <xf numFmtId="0" fontId="74" fillId="58" borderId="1" xfId="0" applyFont="1" applyFill="1" applyBorder="1" applyAlignment="1">
      <alignment horizontal="left" vertical="center" wrapText="1"/>
    </xf>
    <xf numFmtId="3" fontId="66" fillId="58" borderId="1" xfId="0" applyNumberFormat="1" applyFont="1" applyFill="1" applyBorder="1" applyAlignment="1">
      <alignment horizontal="center" vertical="center"/>
    </xf>
    <xf numFmtId="0" fontId="74" fillId="0" borderId="1" xfId="0" applyFont="1" applyFill="1" applyBorder="1" applyAlignment="1">
      <alignment horizontal="left" vertical="center" wrapText="1"/>
    </xf>
    <xf numFmtId="0" fontId="139" fillId="58" borderId="1" xfId="0" applyFont="1" applyFill="1" applyBorder="1" applyAlignment="1">
      <alignment horizontal="left" vertical="center" wrapText="1"/>
    </xf>
    <xf numFmtId="0" fontId="108" fillId="0" borderId="0" xfId="2" applyFont="1" applyBorder="1" applyAlignment="1" applyProtection="1">
      <alignment horizontal="left" wrapText="1"/>
      <protection locked="0"/>
    </xf>
    <xf numFmtId="0" fontId="78" fillId="0" borderId="0" xfId="2" applyFont="1" applyAlignment="1" applyProtection="1">
      <alignment horizontal="center"/>
      <protection locked="0"/>
    </xf>
    <xf numFmtId="0" fontId="81" fillId="0" borderId="0" xfId="2" applyFont="1" applyBorder="1" applyAlignment="1" applyProtection="1">
      <alignment horizontal="center"/>
      <protection locked="0"/>
    </xf>
    <xf numFmtId="0" fontId="87" fillId="38" borderId="1" xfId="2" applyFont="1" applyFill="1" applyBorder="1" applyAlignment="1" applyProtection="1">
      <alignment horizontal="center" vertical="center" wrapText="1"/>
      <protection locked="0"/>
    </xf>
    <xf numFmtId="0" fontId="0" fillId="0" borderId="0" xfId="0" applyAlignment="1">
      <alignment horizontal="left" wrapText="1"/>
    </xf>
    <xf numFmtId="0" fontId="108" fillId="0" borderId="0" xfId="2" applyFont="1" applyFill="1" applyBorder="1" applyAlignment="1" applyProtection="1">
      <alignment horizontal="left" wrapText="1"/>
      <protection locked="0"/>
    </xf>
    <xf numFmtId="0" fontId="108" fillId="0" borderId="0" xfId="2" applyFont="1" applyBorder="1" applyAlignment="1" applyProtection="1">
      <alignment horizontal="left" vertical="top" wrapText="1"/>
      <protection locked="0"/>
    </xf>
    <xf numFmtId="0" fontId="108" fillId="0" borderId="0" xfId="2" applyFont="1" applyBorder="1" applyAlignment="1" applyProtection="1">
      <alignment horizontal="center" wrapText="1"/>
      <protection locked="0"/>
    </xf>
    <xf numFmtId="3" fontId="4" fillId="0" borderId="0" xfId="0" applyNumberFormat="1" applyFont="1" applyFill="1" applyBorder="1" applyAlignment="1" applyProtection="1">
      <alignment horizontal="center" vertical="center" wrapText="1"/>
    </xf>
    <xf numFmtId="0" fontId="67" fillId="58" borderId="1" xfId="0" applyFont="1" applyFill="1" applyBorder="1" applyAlignment="1">
      <alignment horizontal="center"/>
    </xf>
    <xf numFmtId="0" fontId="3" fillId="58" borderId="0" xfId="301" applyFont="1" applyFill="1" applyBorder="1" applyAlignment="1" applyProtection="1">
      <alignment horizontal="center" vertical="center" wrapText="1"/>
    </xf>
    <xf numFmtId="0" fontId="3" fillId="58" borderId="2" xfId="301" applyFont="1" applyFill="1" applyBorder="1" applyAlignment="1" applyProtection="1">
      <alignment horizontal="center" vertical="center" wrapText="1"/>
    </xf>
    <xf numFmtId="0" fontId="120" fillId="58" borderId="1" xfId="301" applyFont="1" applyFill="1" applyBorder="1" applyAlignment="1" applyProtection="1">
      <alignment horizontal="center" vertical="center" wrapText="1"/>
    </xf>
    <xf numFmtId="4" fontId="120" fillId="58" borderId="1" xfId="301" applyNumberFormat="1" applyFont="1" applyFill="1" applyBorder="1" applyAlignment="1" applyProtection="1">
      <alignment horizontal="center" vertical="center" wrapText="1"/>
    </xf>
    <xf numFmtId="0" fontId="67" fillId="58" borderId="1" xfId="0" applyFont="1" applyFill="1" applyBorder="1" applyAlignment="1">
      <alignment horizontal="center" vertical="center" wrapText="1"/>
    </xf>
    <xf numFmtId="0" fontId="67" fillId="58" borderId="1" xfId="0" applyFont="1" applyFill="1" applyBorder="1" applyAlignment="1">
      <alignment horizontal="center" vertical="center"/>
    </xf>
    <xf numFmtId="0" fontId="122" fillId="0" borderId="24" xfId="0" applyFont="1" applyBorder="1" applyAlignment="1">
      <alignment horizontal="center" vertical="center" wrapText="1"/>
    </xf>
    <xf numFmtId="3" fontId="123" fillId="58" borderId="1" xfId="0" applyNumberFormat="1" applyFont="1" applyFill="1" applyBorder="1" applyAlignment="1" applyProtection="1">
      <alignment horizontal="center" vertical="center" wrapText="1"/>
    </xf>
    <xf numFmtId="3" fontId="124" fillId="58" borderId="1" xfId="0" applyNumberFormat="1" applyFont="1" applyFill="1" applyBorder="1" applyAlignment="1" applyProtection="1">
      <alignment horizontal="center" vertical="center" wrapText="1"/>
    </xf>
    <xf numFmtId="0" fontId="67" fillId="0" borderId="0" xfId="0" applyFont="1" applyAlignment="1">
      <alignment horizontal="center" wrapText="1"/>
    </xf>
    <xf numFmtId="0" fontId="67" fillId="58" borderId="22" xfId="0" applyFont="1" applyFill="1" applyBorder="1" applyAlignment="1">
      <alignment horizontal="center" vertical="center" wrapText="1"/>
    </xf>
    <xf numFmtId="0" fontId="67" fillId="58" borderId="20" xfId="0" applyFont="1" applyFill="1" applyBorder="1" applyAlignment="1">
      <alignment horizontal="center" vertical="center" wrapText="1"/>
    </xf>
    <xf numFmtId="0" fontId="67" fillId="58" borderId="23" xfId="0" applyFont="1" applyFill="1" applyBorder="1" applyAlignment="1">
      <alignment horizontal="center" vertical="center" wrapText="1"/>
    </xf>
    <xf numFmtId="4" fontId="121" fillId="58" borderId="1" xfId="0" applyNumberFormat="1" applyFont="1" applyFill="1" applyBorder="1" applyAlignment="1">
      <alignment horizontal="center" vertical="center" wrapText="1"/>
    </xf>
    <xf numFmtId="4" fontId="121" fillId="58" borderId="22" xfId="0" applyNumberFormat="1" applyFont="1" applyFill="1" applyBorder="1" applyAlignment="1">
      <alignment horizontal="center" vertical="center" wrapText="1"/>
    </xf>
    <xf numFmtId="4" fontId="121" fillId="58" borderId="23" xfId="0" applyNumberFormat="1" applyFont="1" applyFill="1" applyBorder="1" applyAlignment="1">
      <alignment horizontal="center" vertical="center" wrapText="1"/>
    </xf>
    <xf numFmtId="4" fontId="125" fillId="58" borderId="22" xfId="0" applyNumberFormat="1" applyFont="1" applyFill="1" applyBorder="1" applyAlignment="1">
      <alignment horizontal="center" vertical="center" wrapText="1"/>
    </xf>
    <xf numFmtId="4" fontId="125" fillId="58" borderId="23" xfId="0" applyNumberFormat="1" applyFont="1" applyFill="1" applyBorder="1" applyAlignment="1">
      <alignment horizontal="center" vertical="center" wrapText="1"/>
    </xf>
  </cellXfs>
  <cellStyles count="482">
    <cellStyle name=" 1" xfId="23"/>
    <cellStyle name="20% - Accent1 2" xfId="24"/>
    <cellStyle name="20% - Accent1 3" xfId="325"/>
    <cellStyle name="20% - Accent2 2" xfId="25"/>
    <cellStyle name="20% - Accent2 3" xfId="326"/>
    <cellStyle name="20% - Accent3 2" xfId="26"/>
    <cellStyle name="20% - Accent3 3" xfId="327"/>
    <cellStyle name="20% - Accent4 2" xfId="27"/>
    <cellStyle name="20% - Accent4 3" xfId="328"/>
    <cellStyle name="20% - Accent5 2" xfId="28"/>
    <cellStyle name="20% - Accent5 3" xfId="329"/>
    <cellStyle name="20% - Accent6 2" xfId="29"/>
    <cellStyle name="20% - Accent6 3" xfId="330"/>
    <cellStyle name="40% - Accent1 2" xfId="30"/>
    <cellStyle name="40% - Accent1 3" xfId="331"/>
    <cellStyle name="40% - Accent2 2" xfId="31"/>
    <cellStyle name="40% - Accent2 3" xfId="332"/>
    <cellStyle name="40% - Accent3 2" xfId="32"/>
    <cellStyle name="40% - Accent3 3" xfId="333"/>
    <cellStyle name="40% - Accent4 2" xfId="33"/>
    <cellStyle name="40% - Accent4 3" xfId="334"/>
    <cellStyle name="40% - Accent5 2" xfId="34"/>
    <cellStyle name="40% - Accent5 3" xfId="335"/>
    <cellStyle name="40% - Accent6 2" xfId="35"/>
    <cellStyle name="40% - Accent6 3" xfId="336"/>
    <cellStyle name="60% - Accent1 2" xfId="36"/>
    <cellStyle name="60% - Accent1 3" xfId="337"/>
    <cellStyle name="60% - Accent2 2" xfId="37"/>
    <cellStyle name="60% - Accent2 3" xfId="338"/>
    <cellStyle name="60% - Accent3 2" xfId="38"/>
    <cellStyle name="60% - Accent3 3" xfId="339"/>
    <cellStyle name="60% - Accent4 2" xfId="39"/>
    <cellStyle name="60% - Accent4 3" xfId="340"/>
    <cellStyle name="60% - Accent5 2" xfId="40"/>
    <cellStyle name="60% - Accent5 3" xfId="341"/>
    <cellStyle name="60% - Accent6 2" xfId="41"/>
    <cellStyle name="60% - Accent6 3" xfId="342"/>
    <cellStyle name="Accent1 - 20%" xfId="171"/>
    <cellStyle name="Accent1 - 40%" xfId="172"/>
    <cellStyle name="Accent1 - 60%" xfId="173"/>
    <cellStyle name="Accent1 2" xfId="42"/>
    <cellStyle name="Accent1 3" xfId="343"/>
    <cellStyle name="Accent1 4" xfId="344"/>
    <cellStyle name="Accent1 5" xfId="345"/>
    <cellStyle name="Accent1 6" xfId="346"/>
    <cellStyle name="Accent1 7" xfId="347"/>
    <cellStyle name="Accent2 - 20%" xfId="174"/>
    <cellStyle name="Accent2 - 40%" xfId="175"/>
    <cellStyle name="Accent2 - 60%" xfId="176"/>
    <cellStyle name="Accent2 2" xfId="43"/>
    <cellStyle name="Accent2 3" xfId="348"/>
    <cellStyle name="Accent2 4" xfId="349"/>
    <cellStyle name="Accent2 5" xfId="350"/>
    <cellStyle name="Accent2 6" xfId="351"/>
    <cellStyle name="Accent2 7" xfId="352"/>
    <cellStyle name="Accent3 - 20%" xfId="177"/>
    <cellStyle name="Accent3 - 40%" xfId="178"/>
    <cellStyle name="Accent3 - 60%" xfId="179"/>
    <cellStyle name="Accent3 2" xfId="44"/>
    <cellStyle name="Accent3 3" xfId="353"/>
    <cellStyle name="Accent3 4" xfId="354"/>
    <cellStyle name="Accent3 5" xfId="355"/>
    <cellStyle name="Accent3 6" xfId="356"/>
    <cellStyle name="Accent3 7" xfId="357"/>
    <cellStyle name="Accent4 - 20%" xfId="180"/>
    <cellStyle name="Accent4 - 40%" xfId="181"/>
    <cellStyle name="Accent4 - 60%" xfId="182"/>
    <cellStyle name="Accent4 2" xfId="45"/>
    <cellStyle name="Accent4 3" xfId="358"/>
    <cellStyle name="Accent4 4" xfId="359"/>
    <cellStyle name="Accent4 5" xfId="360"/>
    <cellStyle name="Accent4 6" xfId="361"/>
    <cellStyle name="Accent4 7" xfId="362"/>
    <cellStyle name="Accent5 - 20%" xfId="183"/>
    <cellStyle name="Accent5 - 40%" xfId="184"/>
    <cellStyle name="Accent5 - 60%" xfId="185"/>
    <cellStyle name="Accent5 2" xfId="46"/>
    <cellStyle name="Accent5 3" xfId="363"/>
    <cellStyle name="Accent5 4" xfId="364"/>
    <cellStyle name="Accent5 5" xfId="365"/>
    <cellStyle name="Accent5 6" xfId="366"/>
    <cellStyle name="Accent5 7" xfId="367"/>
    <cellStyle name="Accent6 - 20%" xfId="186"/>
    <cellStyle name="Accent6 - 40%" xfId="187"/>
    <cellStyle name="Accent6 - 60%" xfId="188"/>
    <cellStyle name="Accent6 2" xfId="47"/>
    <cellStyle name="Accent6 3" xfId="368"/>
    <cellStyle name="Accent6 4" xfId="369"/>
    <cellStyle name="Accent6 5" xfId="370"/>
    <cellStyle name="Accent6 6" xfId="371"/>
    <cellStyle name="Accent6 7" xfId="372"/>
    <cellStyle name="Aktivitāte" xfId="169"/>
    <cellStyle name="Aktivitāte 2" xfId="313"/>
    <cellStyle name="Bad 2" xfId="48"/>
    <cellStyle name="Bad 3" xfId="373"/>
    <cellStyle name="Calculation 2" xfId="49"/>
    <cellStyle name="Calculation 2 2" xfId="50"/>
    <cellStyle name="Calculation 2 3" xfId="51"/>
    <cellStyle name="Calculation 3" xfId="374"/>
    <cellStyle name="Check" xfId="52"/>
    <cellStyle name="Check Cell 2" xfId="53"/>
    <cellStyle name="Check Cell 3" xfId="375"/>
    <cellStyle name="Comma" xfId="299" builtinId="3"/>
    <cellStyle name="Comma [0] 2" xfId="14"/>
    <cellStyle name="Comma 10" xfId="316"/>
    <cellStyle name="Comma 11" xfId="324"/>
    <cellStyle name="Comma 12" xfId="476"/>
    <cellStyle name="Comma 13" xfId="481"/>
    <cellStyle name="Comma 2" xfId="54"/>
    <cellStyle name="Comma 3" xfId="55"/>
    <cellStyle name="Comma 3 2" xfId="303"/>
    <cellStyle name="Comma 4" xfId="317"/>
    <cellStyle name="Comma 5" xfId="323"/>
    <cellStyle name="Comma 6" xfId="314"/>
    <cellStyle name="Comma 7" xfId="322"/>
    <cellStyle name="Comma 8" xfId="315"/>
    <cellStyle name="Comma 9" xfId="321"/>
    <cellStyle name="Currency 2" xfId="56"/>
    <cellStyle name="Data" xfId="57"/>
    <cellStyle name="Emphasis 1" xfId="189"/>
    <cellStyle name="Emphasis 2" xfId="190"/>
    <cellStyle name="Emphasis 3" xfId="191"/>
    <cellStyle name="estimation" xfId="58"/>
    <cellStyle name="exo" xfId="59"/>
    <cellStyle name="Explanatory Text 2" xfId="60"/>
    <cellStyle name="Explanatory Text 3" xfId="376"/>
    <cellStyle name="Forecast" xfId="61"/>
    <cellStyle name="Good 2" xfId="62"/>
    <cellStyle name="Good 3" xfId="377"/>
    <cellStyle name="Head1" xfId="63"/>
    <cellStyle name="Heading 1 2" xfId="64"/>
    <cellStyle name="Heading 1 3" xfId="378"/>
    <cellStyle name="Heading 2 2" xfId="65"/>
    <cellStyle name="Heading 2 3" xfId="379"/>
    <cellStyle name="Heading 3 2" xfId="66"/>
    <cellStyle name="Heading 3 3" xfId="380"/>
    <cellStyle name="Heading 4 2" xfId="67"/>
    <cellStyle name="Heading 4 3" xfId="381"/>
    <cellStyle name="Historical" xfId="68"/>
    <cellStyle name="Indent0" xfId="69"/>
    <cellStyle name="Indent1" xfId="70"/>
    <cellStyle name="Indent2" xfId="71"/>
    <cellStyle name="Indent3" xfId="72"/>
    <cellStyle name="Indent4" xfId="73"/>
    <cellStyle name="Indent5" xfId="74"/>
    <cellStyle name="info" xfId="75"/>
    <cellStyle name="Input 2" xfId="76"/>
    <cellStyle name="Input 2 2" xfId="77"/>
    <cellStyle name="Input 2 3" xfId="78"/>
    <cellStyle name="Input 3" xfId="382"/>
    <cellStyle name="Koefic." xfId="79"/>
    <cellStyle name="Linked Cell 2" xfId="80"/>
    <cellStyle name="Linked Cell 3" xfId="383"/>
    <cellStyle name="Neutral 2" xfId="81"/>
    <cellStyle name="Neutral 3" xfId="384"/>
    <cellStyle name="Normal" xfId="0" builtinId="0"/>
    <cellStyle name="Normal 10" xfId="9"/>
    <cellStyle name="Normal 10 2" xfId="15"/>
    <cellStyle name="Normal 10 2 2" xfId="271"/>
    <cellStyle name="Normal 10 2 2 2" xfId="385"/>
    <cellStyle name="Normal 10 2 2 3" xfId="386"/>
    <cellStyle name="Normal 10 2 3" xfId="387"/>
    <cellStyle name="Normal 10 2 4" xfId="388"/>
    <cellStyle name="Normal 10 3" xfId="272"/>
    <cellStyle name="Normal 10 3 2" xfId="389"/>
    <cellStyle name="Normal 10 3 3" xfId="390"/>
    <cellStyle name="Normal 10 4" xfId="391"/>
    <cellStyle name="Normal 10 5" xfId="392"/>
    <cellStyle name="Normal 11" xfId="10"/>
    <cellStyle name="Normal 11 2" xfId="16"/>
    <cellStyle name="Normal 11 2 2" xfId="273"/>
    <cellStyle name="Normal 11 2 2 2" xfId="393"/>
    <cellStyle name="Normal 11 2 2 3" xfId="394"/>
    <cellStyle name="Normal 11 2 3" xfId="395"/>
    <cellStyle name="Normal 11 2 4" xfId="396"/>
    <cellStyle name="Normal 11 3" xfId="274"/>
    <cellStyle name="Normal 11 3 2" xfId="397"/>
    <cellStyle name="Normal 11 3 3" xfId="398"/>
    <cellStyle name="Normal 11 4" xfId="399"/>
    <cellStyle name="Normal 11 5" xfId="400"/>
    <cellStyle name="Normal 12" xfId="22"/>
    <cellStyle name="Normal 12 2" xfId="192"/>
    <cellStyle name="Normal 13" xfId="21"/>
    <cellStyle name="Normal 13 2" xfId="301"/>
    <cellStyle name="Normal 13 2 2" xfId="401"/>
    <cellStyle name="Normal 13 2 3" xfId="402"/>
    <cellStyle name="Normal 14" xfId="166"/>
    <cellStyle name="Normal 14 2" xfId="167"/>
    <cellStyle name="Normal 15" xfId="82"/>
    <cellStyle name="Normal 15 2" xfId="193"/>
    <cellStyle name="Normal 15 3" xfId="275"/>
    <cellStyle name="Normal 16" xfId="194"/>
    <cellStyle name="Normal 17" xfId="308"/>
    <cellStyle name="Normal 2" xfId="1"/>
    <cellStyle name="Normal 2 10" xfId="195"/>
    <cellStyle name="Normal 2 11" xfId="196"/>
    <cellStyle name="Normal 2 12" xfId="197"/>
    <cellStyle name="Normal 2 13" xfId="198"/>
    <cellStyle name="Normal 2 14" xfId="199"/>
    <cellStyle name="Normal 2 15" xfId="200"/>
    <cellStyle name="Normal 2 16" xfId="201"/>
    <cellStyle name="Normal 2 17" xfId="202"/>
    <cellStyle name="Normal 2 18" xfId="203"/>
    <cellStyle name="Normal 2 19" xfId="204"/>
    <cellStyle name="Normal 2 2" xfId="2"/>
    <cellStyle name="Normal 2 2 10" xfId="83"/>
    <cellStyle name="Normal 2 2 11" xfId="403"/>
    <cellStyle name="Normal 2 2 2" xfId="205"/>
    <cellStyle name="Normal 2 2 3" xfId="206"/>
    <cellStyle name="Normal 2 2 4" xfId="207"/>
    <cellStyle name="Normal 2 2 5" xfId="208"/>
    <cellStyle name="Normal 2 2 6" xfId="209"/>
    <cellStyle name="Normal 2 2 7" xfId="210"/>
    <cellStyle name="Normal 2 2 8" xfId="276"/>
    <cellStyle name="Normal 2 2 8 2" xfId="404"/>
    <cellStyle name="Normal 2 2 8 3" xfId="405"/>
    <cellStyle name="Normal 2 2 9" xfId="406"/>
    <cellStyle name="Normal 2 20" xfId="211"/>
    <cellStyle name="Normal 2 21" xfId="212"/>
    <cellStyle name="Normal 2 22" xfId="213"/>
    <cellStyle name="Normal 2 23" xfId="214"/>
    <cellStyle name="Normal 2 24" xfId="215"/>
    <cellStyle name="Normal 2 25" xfId="216"/>
    <cellStyle name="Normal 2 26" xfId="217"/>
    <cellStyle name="Normal 2 27" xfId="218"/>
    <cellStyle name="Normal 2 28" xfId="219"/>
    <cellStyle name="Normal 2 29" xfId="220"/>
    <cellStyle name="Normal 2 3" xfId="3"/>
    <cellStyle name="Normal 2 3 2" xfId="84"/>
    <cellStyle name="Normal 2 3 2 2" xfId="304"/>
    <cellStyle name="Normal 2 3 2 2 2" xfId="407"/>
    <cellStyle name="Normal 2 3 2 2 3" xfId="408"/>
    <cellStyle name="Normal 2 3 3" xfId="277"/>
    <cellStyle name="Normal 2 3 3 2" xfId="409"/>
    <cellStyle name="Normal 2 3 3 3" xfId="410"/>
    <cellStyle name="Normal 2 3 4" xfId="411"/>
    <cellStyle name="Normal 2 3 5" xfId="412"/>
    <cellStyle name="Normal 2 30" xfId="221"/>
    <cellStyle name="Normal 2 31" xfId="222"/>
    <cellStyle name="Normal 2 32" xfId="223"/>
    <cellStyle name="Normal 2 33" xfId="224"/>
    <cellStyle name="Normal 2 34" xfId="225"/>
    <cellStyle name="Normal 2 35" xfId="278"/>
    <cellStyle name="Normal 2 35 2" xfId="413"/>
    <cellStyle name="Normal 2 35 3" xfId="414"/>
    <cellStyle name="Normal 2 36" xfId="309"/>
    <cellStyle name="Normal 2 37" xfId="415"/>
    <cellStyle name="Normal 2 4" xfId="11"/>
    <cellStyle name="Normal 2 4 2" xfId="85"/>
    <cellStyle name="Normal 2 4 3" xfId="270"/>
    <cellStyle name="Normal 2 4 3 2" xfId="416"/>
    <cellStyle name="Normal 2 4 3 3" xfId="417"/>
    <cellStyle name="Normal 2 4 4" xfId="269"/>
    <cellStyle name="Normal 2 4 4 2" xfId="418"/>
    <cellStyle name="Normal 2 4 4 3" xfId="419"/>
    <cellStyle name="Normal 2 4 5" xfId="420"/>
    <cellStyle name="Normal 2 4 6" xfId="421"/>
    <cellStyle name="Normal 2 5" xfId="86"/>
    <cellStyle name="Normal 2 5 2" xfId="305"/>
    <cellStyle name="Normal 2 5 2 2" xfId="422"/>
    <cellStyle name="Normal 2 5 2 3" xfId="423"/>
    <cellStyle name="Normal 2 6" xfId="226"/>
    <cellStyle name="Normal 2 6 2" xfId="279"/>
    <cellStyle name="Normal 2 6 2 2" xfId="424"/>
    <cellStyle name="Normal 2 6 2 3" xfId="425"/>
    <cellStyle name="Normal 2 6 3" xfId="426"/>
    <cellStyle name="Normal 2 6 4" xfId="427"/>
    <cellStyle name="Normal 2 7" xfId="227"/>
    <cellStyle name="Normal 2 8" xfId="228"/>
    <cellStyle name="Normal 2 9" xfId="229"/>
    <cellStyle name="Normal 2_JAUNIE_MERKI_2010-2015_plus_100_milj _14 07 2010" xfId="12"/>
    <cellStyle name="Normal 3" xfId="87"/>
    <cellStyle name="Normal 3 2" xfId="168"/>
    <cellStyle name="Normal 3 2 2" xfId="280"/>
    <cellStyle name="Normal 3 2 2 2" xfId="428"/>
    <cellStyle name="Normal 3 2 2 3" xfId="429"/>
    <cellStyle name="Normal 3 2 3" xfId="430"/>
    <cellStyle name="Normal 3 2 4" xfId="431"/>
    <cellStyle name="Normal 3 3" xfId="230"/>
    <cellStyle name="Normal 3 4" xfId="231"/>
    <cellStyle name="Normal 3 4 2" xfId="281"/>
    <cellStyle name="Normal 3 4 2 2" xfId="432"/>
    <cellStyle name="Normal 3 4 2 3" xfId="433"/>
    <cellStyle name="Normal 3 4 3" xfId="434"/>
    <cellStyle name="Normal 3 4 4" xfId="435"/>
    <cellStyle name="Normal 3 5" xfId="232"/>
    <cellStyle name="Normal 3 6" xfId="302"/>
    <cellStyle name="Normal 30" xfId="88"/>
    <cellStyle name="Normal 30 2" xfId="282"/>
    <cellStyle name="Normal 30 3" xfId="89"/>
    <cellStyle name="Normal 30 4" xfId="90"/>
    <cellStyle name="Normal 30 8" xfId="91"/>
    <cellStyle name="Normal 30 9" xfId="92"/>
    <cellStyle name="Normal 39" xfId="93"/>
    <cellStyle name="Normal 39 2" xfId="283"/>
    <cellStyle name="Normal 4" xfId="4"/>
    <cellStyle name="Normal 4 2" xfId="17"/>
    <cellStyle name="Normal 4 2 2" xfId="284"/>
    <cellStyle name="Normal 4 2 2 2" xfId="436"/>
    <cellStyle name="Normal 4 2 2 3" xfId="437"/>
    <cellStyle name="Normal 4 2 3" xfId="438"/>
    <cellStyle name="Normal 4 2 4" xfId="439"/>
    <cellStyle name="Normal 4 3" xfId="94"/>
    <cellStyle name="Normal 4 3 2" xfId="285"/>
    <cellStyle name="Normal 4 4" xfId="286"/>
    <cellStyle name="Normal 4 4 2" xfId="440"/>
    <cellStyle name="Normal 4 4 3" xfId="441"/>
    <cellStyle name="Normal 4 5" xfId="442"/>
    <cellStyle name="Normal 4 6" xfId="443"/>
    <cellStyle name="Normal 40" xfId="95"/>
    <cellStyle name="Normal 40 2" xfId="287"/>
    <cellStyle name="Normal 44" xfId="96"/>
    <cellStyle name="Normal 44 2" xfId="288"/>
    <cellStyle name="Normal 5" xfId="5"/>
    <cellStyle name="Normal 5 2" xfId="18"/>
    <cellStyle name="Normal 5 2 2" xfId="289"/>
    <cellStyle name="Normal 5 2 2 2" xfId="444"/>
    <cellStyle name="Normal 5 2 2 3" xfId="445"/>
    <cellStyle name="Normal 5 2 3" xfId="446"/>
    <cellStyle name="Normal 5 2 4" xfId="447"/>
    <cellStyle name="Normal 5 3" xfId="97"/>
    <cellStyle name="Normal 5 3 2" xfId="290"/>
    <cellStyle name="Normal 5 4" xfId="291"/>
    <cellStyle name="Normal 5 4 2" xfId="448"/>
    <cellStyle name="Normal 5 4 3" xfId="449"/>
    <cellStyle name="Normal 5 5" xfId="450"/>
    <cellStyle name="Normal 5 6" xfId="451"/>
    <cellStyle name="Normal 5_JAUNIE_MERKI_2010-2015_plus_100_milj _14 07 2010" xfId="13"/>
    <cellStyle name="Normal 6" xfId="98"/>
    <cellStyle name="Normal 6 2" xfId="233"/>
    <cellStyle name="Normal 7" xfId="6"/>
    <cellStyle name="Normal 7 2" xfId="99"/>
    <cellStyle name="Normal 7 2 2" xfId="292"/>
    <cellStyle name="Normal 7 3" xfId="293"/>
    <cellStyle name="Normal 7 3 2" xfId="452"/>
    <cellStyle name="Normal 7 3 3" xfId="453"/>
    <cellStyle name="Normal 7 4" xfId="454"/>
    <cellStyle name="Normal 7 5" xfId="455"/>
    <cellStyle name="Normal 8" xfId="7"/>
    <cellStyle name="Normal 8 2" xfId="100"/>
    <cellStyle name="Normal 8 2 2" xfId="294"/>
    <cellStyle name="Normal 8 3" xfId="295"/>
    <cellStyle name="Normal 8 3 2" xfId="456"/>
    <cellStyle name="Normal 8 3 3" xfId="457"/>
    <cellStyle name="Normal 8 4" xfId="458"/>
    <cellStyle name="Normal 8 5" xfId="459"/>
    <cellStyle name="Normal 9" xfId="8"/>
    <cellStyle name="Normal 9 2" xfId="101"/>
    <cellStyle name="Normal 9 3" xfId="296"/>
    <cellStyle name="Normal 9 3 2" xfId="460"/>
    <cellStyle name="Normal 9 3 3" xfId="461"/>
    <cellStyle name="Normal 9 4" xfId="462"/>
    <cellStyle name="Normal 9 5" xfId="463"/>
    <cellStyle name="normálne_4c.  Príloha č. 2 AG + SK_16.05.2005" xfId="19"/>
    <cellStyle name="Note 2" xfId="102"/>
    <cellStyle name="Note 2 2" xfId="103"/>
    <cellStyle name="Note 2 3" xfId="104"/>
    <cellStyle name="Note 3" xfId="464"/>
    <cellStyle name="Output 2" xfId="105"/>
    <cellStyle name="Output 2 2" xfId="106"/>
    <cellStyle name="Output 2 3" xfId="107"/>
    <cellStyle name="Output 3" xfId="465"/>
    <cellStyle name="Parastais 13" xfId="234"/>
    <cellStyle name="Parastais 2" xfId="235"/>
    <cellStyle name="Parastais 2 2" xfId="236"/>
    <cellStyle name="Parastais 2 3" xfId="237"/>
    <cellStyle name="Parastais 2_FMRik_260209_marts_sad1II.variants" xfId="238"/>
    <cellStyle name="Parastais 3" xfId="239"/>
    <cellStyle name="Parastais 4" xfId="240"/>
    <cellStyle name="Parastais 4 2" xfId="297"/>
    <cellStyle name="Parastais 4 2 2" xfId="466"/>
    <cellStyle name="Parastais 4 2 3" xfId="467"/>
    <cellStyle name="Parastais 4 3" xfId="468"/>
    <cellStyle name="Parastais 4 4" xfId="469"/>
    <cellStyle name="Parastais 5" xfId="241"/>
    <cellStyle name="Parastais 6" xfId="242"/>
    <cellStyle name="Parastais_FMLikp01_p05_221205_pap_afp_makp" xfId="243"/>
    <cellStyle name="Percent" xfId="300" builtinId="5"/>
    <cellStyle name="Percent 2" xfId="108"/>
    <cellStyle name="Percent 2 2" xfId="109"/>
    <cellStyle name="Percent 3" xfId="110"/>
    <cellStyle name="Percent 3 2" xfId="306"/>
    <cellStyle name="Percent 4" xfId="170"/>
    <cellStyle name="Percent 4 2" xfId="298"/>
    <cellStyle name="Percent 4 2 2" xfId="307"/>
    <cellStyle name="Percent 4 2 2 2" xfId="320"/>
    <cellStyle name="Percent 4 2 2 3" xfId="470"/>
    <cellStyle name="Percent 4 2 2 3 2" xfId="477"/>
    <cellStyle name="Percent 4 2 3" xfId="319"/>
    <cellStyle name="Percent 4 2 4" xfId="471"/>
    <cellStyle name="Percent 4 2 4 2" xfId="478"/>
    <cellStyle name="Percent 4 3" xfId="318"/>
    <cellStyle name="Percent 4 4" xfId="472"/>
    <cellStyle name="Percent 4 4 2" xfId="479"/>
    <cellStyle name="Percent 5" xfId="310"/>
    <cellStyle name="Percent 5 2" xfId="480"/>
    <cellStyle name="Pie??m." xfId="111"/>
    <cellStyle name="residual" xfId="112"/>
    <cellStyle name="SAPBEXaggData" xfId="113"/>
    <cellStyle name="SAPBEXaggData 2" xfId="244"/>
    <cellStyle name="SAPBEXaggDataEmph" xfId="114"/>
    <cellStyle name="SAPBEXaggDataEmph 2" xfId="245"/>
    <cellStyle name="SAPBEXaggItem" xfId="115"/>
    <cellStyle name="SAPBEXaggItem 2" xfId="246"/>
    <cellStyle name="SAPBEXaggItemX" xfId="116"/>
    <cellStyle name="SAPBEXaggItemX 2" xfId="247"/>
    <cellStyle name="SAPBEXchaText" xfId="117"/>
    <cellStyle name="SAPBEXchaText 2" xfId="248"/>
    <cellStyle name="SAPBEXexcBad7" xfId="118"/>
    <cellStyle name="SAPBEXexcBad8" xfId="119"/>
    <cellStyle name="SAPBEXexcBad9" xfId="120"/>
    <cellStyle name="SAPBEXexcCritical4" xfId="121"/>
    <cellStyle name="SAPBEXexcCritical5" xfId="122"/>
    <cellStyle name="SAPBEXexcCritical6" xfId="123"/>
    <cellStyle name="SAPBEXexcGood1" xfId="124"/>
    <cellStyle name="SAPBEXexcGood2" xfId="125"/>
    <cellStyle name="SAPBEXexcGood3" xfId="126"/>
    <cellStyle name="SAPBEXfilterDrill" xfId="127"/>
    <cellStyle name="SAPBEXfilterItem" xfId="128"/>
    <cellStyle name="SAPBEXfilterText" xfId="129"/>
    <cellStyle name="SAPBEXfilterText 2" xfId="249"/>
    <cellStyle name="SAPBEXformats" xfId="130"/>
    <cellStyle name="SAPBEXheaderItem" xfId="131"/>
    <cellStyle name="SAPBEXheaderText" xfId="132"/>
    <cellStyle name="SAPBEXheaderText 2" xfId="250"/>
    <cellStyle name="SAPBEXHLevel0" xfId="133"/>
    <cellStyle name="SAPBEXHLevel0 2" xfId="251"/>
    <cellStyle name="SAPBEXHLevel0X" xfId="134"/>
    <cellStyle name="SAPBEXHLevel0X 2" xfId="252"/>
    <cellStyle name="SAPBEXHLevel1" xfId="135"/>
    <cellStyle name="SAPBEXHLevel1 2" xfId="253"/>
    <cellStyle name="SAPBEXHLevel1X" xfId="136"/>
    <cellStyle name="SAPBEXHLevel1X 2" xfId="254"/>
    <cellStyle name="SAPBEXHLevel2" xfId="137"/>
    <cellStyle name="SAPBEXHLevel2 2" xfId="255"/>
    <cellStyle name="SAPBEXHLevel2X" xfId="138"/>
    <cellStyle name="SAPBEXHLevel2X 2" xfId="256"/>
    <cellStyle name="SAPBEXHLevel3" xfId="139"/>
    <cellStyle name="SAPBEXHLevel3 2" xfId="257"/>
    <cellStyle name="SAPBEXHLevel3X" xfId="140"/>
    <cellStyle name="SAPBEXHLevel3X 2" xfId="258"/>
    <cellStyle name="SAPBEXinputData" xfId="141"/>
    <cellStyle name="SAPBEXinputData 2" xfId="259"/>
    <cellStyle name="SAPBEXItemHeader" xfId="311"/>
    <cellStyle name="SAPBEXresData" xfId="142"/>
    <cellStyle name="SAPBEXresData 2" xfId="260"/>
    <cellStyle name="SAPBEXresDataEmph" xfId="143"/>
    <cellStyle name="SAPBEXresDataEmph 2" xfId="261"/>
    <cellStyle name="SAPBEXresItem" xfId="144"/>
    <cellStyle name="SAPBEXresItem 2" xfId="262"/>
    <cellStyle name="SAPBEXresItemX" xfId="145"/>
    <cellStyle name="SAPBEXresItemX 2" xfId="263"/>
    <cellStyle name="SAPBEXstdData" xfId="146"/>
    <cellStyle name="SAPBEXstdData 2" xfId="147"/>
    <cellStyle name="SAPBEXstdData_2009 g _150609" xfId="264"/>
    <cellStyle name="SAPBEXstdDataEmph" xfId="148"/>
    <cellStyle name="SAPBEXstdItem" xfId="149"/>
    <cellStyle name="SAPBEXstdItem 2" xfId="150"/>
    <cellStyle name="SAPBEXstdItem 3" xfId="265"/>
    <cellStyle name="SAPBEXstdItem_FMLikp03_081208_15_aprrez" xfId="266"/>
    <cellStyle name="SAPBEXstdItemX" xfId="151"/>
    <cellStyle name="SAPBEXstdItemX 2" xfId="267"/>
    <cellStyle name="SAPBEXtitle" xfId="152"/>
    <cellStyle name="SAPBEXunassignedItem" xfId="312"/>
    <cellStyle name="SAPBEXundefined" xfId="153"/>
    <cellStyle name="Sce_Title" xfId="154"/>
    <cellStyle name="Sheet Title" xfId="268"/>
    <cellStyle name="Stils 1" xfId="155"/>
    <cellStyle name="Style 1" xfId="20"/>
    <cellStyle name="Sub-title" xfId="156"/>
    <cellStyle name="TableStyleLight1" xfId="157"/>
    <cellStyle name="Title 2" xfId="158"/>
    <cellStyle name="Title 3" xfId="159"/>
    <cellStyle name="Title 4" xfId="473"/>
    <cellStyle name="Total 2" xfId="160"/>
    <cellStyle name="Total 2 2" xfId="161"/>
    <cellStyle name="Total 2 3" xfId="162"/>
    <cellStyle name="Total 3" xfId="474"/>
    <cellStyle name="V?st." xfId="163"/>
    <cellStyle name="Warning Text 2" xfId="164"/>
    <cellStyle name="Warning Text 3" xfId="475"/>
    <cellStyle name="Years" xfId="1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55</xdr:col>
      <xdr:colOff>138546</xdr:colOff>
      <xdr:row>0</xdr:row>
      <xdr:rowOff>71436</xdr:rowOff>
    </xdr:from>
    <xdr:to>
      <xdr:col>63</xdr:col>
      <xdr:colOff>0</xdr:colOff>
      <xdr:row>2</xdr:row>
      <xdr:rowOff>47624</xdr:rowOff>
    </xdr:to>
    <xdr:sp macro="" textlink="">
      <xdr:nvSpPr>
        <xdr:cNvPr id="2" name="TextBox 1"/>
        <xdr:cNvSpPr txBox="1"/>
      </xdr:nvSpPr>
      <xdr:spPr>
        <a:xfrm>
          <a:off x="17785773" y="71436"/>
          <a:ext cx="8468591" cy="1327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ct val="114000"/>
            </a:lnSpc>
          </a:pPr>
          <a:r>
            <a:rPr lang="lv-LV" sz="1800" b="1">
              <a:solidFill>
                <a:schemeClr val="dk1"/>
              </a:solidFill>
              <a:latin typeface="Times New Roman" pitchFamily="18" charset="0"/>
              <a:ea typeface="+mn-ea"/>
              <a:cs typeface="Times New Roman" pitchFamily="18" charset="0"/>
            </a:rPr>
            <a:t>3.pielikums</a:t>
          </a:r>
        </a:p>
        <a:p>
          <a:pPr algn="l">
            <a:lnSpc>
              <a:spcPct val="114000"/>
            </a:lnSpc>
          </a:pPr>
          <a:r>
            <a:rPr lang="lv-LV" sz="1800" b="1">
              <a:solidFill>
                <a:schemeClr val="dk1"/>
              </a:solidFill>
              <a:latin typeface="Times New Roman" pitchFamily="18" charset="0"/>
              <a:ea typeface="+mn-ea"/>
              <a:cs typeface="Times New Roman" pitchFamily="18" charset="0"/>
            </a:rPr>
            <a:t>Finanšu ministrijas informatīvajam ziņojumam par Eiropas Savienības struktūrfondu un Kohēzijas fonda, Eiropas Ekonomikas zonas finanšu instrumenta, Norvēģijas valdības divpusējā finanšu instrumenta un Latvijas–Šveices sadarbības programmas</a:t>
          </a:r>
          <a:r>
            <a:rPr lang="lv-LV" sz="1800" b="1" baseline="0">
              <a:solidFill>
                <a:schemeClr val="dk1"/>
              </a:solidFill>
              <a:latin typeface="Times New Roman" pitchFamily="18" charset="0"/>
              <a:ea typeface="+mn-ea"/>
              <a:cs typeface="Times New Roman" pitchFamily="18" charset="0"/>
            </a:rPr>
            <a:t> </a:t>
          </a:r>
          <a:r>
            <a:rPr lang="lv-LV" sz="1800" b="1">
              <a:solidFill>
                <a:schemeClr val="dk1"/>
              </a:solidFill>
              <a:latin typeface="Times New Roman" pitchFamily="18" charset="0"/>
              <a:ea typeface="+mn-ea"/>
              <a:cs typeface="Times New Roman" pitchFamily="18" charset="0"/>
            </a:rPr>
            <a:t>apguvi līdz 2012.gada 31.decembrim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FW210"/>
  <sheetViews>
    <sheetView tabSelected="1" view="pageBreakPreview" zoomScale="55" zoomScaleNormal="40" zoomScaleSheetLayoutView="55" zoomScalePageLayoutView="10" workbookViewId="0">
      <pane xSplit="10" ySplit="8" topLeftCell="K82" activePane="bottomRight" state="frozen"/>
      <selection pane="topRight" activeCell="L1" sqref="L1"/>
      <selection pane="bottomLeft" activeCell="A9" sqref="A9"/>
      <selection pane="bottomRight" activeCell="G83" sqref="G83"/>
    </sheetView>
  </sheetViews>
  <sheetFormatPr defaultColWidth="9" defaultRowHeight="20.25" outlineLevelRow="1" outlineLevelCol="1"/>
  <cols>
    <col min="1" max="1" width="14.375" style="15" customWidth="1"/>
    <col min="2" max="2" width="27.375" style="33" customWidth="1"/>
    <col min="3" max="3" width="18.875" style="511" customWidth="1"/>
    <col min="4" max="4" width="18.25" style="511" customWidth="1" outlineLevel="1"/>
    <col min="5" max="5" width="15.75" style="511" hidden="1" customWidth="1"/>
    <col min="6" max="6" width="15.75" style="511" customWidth="1" outlineLevel="1"/>
    <col min="7" max="7" width="18.875" style="511" customWidth="1" outlineLevel="1"/>
    <col min="8" max="10" width="15.75" style="511" hidden="1" customWidth="1" outlineLevel="1"/>
    <col min="11" max="11" width="18.375" style="511" customWidth="1" collapsed="1"/>
    <col min="12" max="14" width="15.5" style="512" hidden="1" customWidth="1"/>
    <col min="15" max="44" width="15.5" style="498" hidden="1" customWidth="1"/>
    <col min="45" max="48" width="15.5" style="498" customWidth="1"/>
    <col min="49" max="49" width="48.375" style="579" hidden="1" customWidth="1"/>
    <col min="50" max="53" width="15.5" style="498" customWidth="1"/>
    <col min="54" max="54" width="39.875" style="579" hidden="1" customWidth="1"/>
    <col min="55" max="58" width="15.5" style="498" customWidth="1"/>
    <col min="59" max="59" width="39.875" style="586" hidden="1" customWidth="1"/>
    <col min="60" max="60" width="18.375" style="498" customWidth="1"/>
    <col min="61" max="61" width="15.5" style="498" customWidth="1"/>
    <col min="62" max="62" width="17.375" style="498" customWidth="1"/>
    <col min="63" max="63" width="15.5" style="498" customWidth="1"/>
    <col min="64" max="64" width="76.75" style="591" hidden="1" customWidth="1"/>
    <col min="65" max="65" width="10.25" bestFit="1" customWidth="1"/>
    <col min="180" max="16384" width="9" style="3"/>
  </cols>
  <sheetData>
    <row r="1" spans="1:179">
      <c r="A1" s="14"/>
      <c r="B1" s="30"/>
      <c r="C1" s="496"/>
      <c r="D1" s="496"/>
      <c r="E1" s="496"/>
      <c r="F1" s="496"/>
      <c r="G1" s="496"/>
      <c r="H1" s="496"/>
      <c r="I1" s="496"/>
      <c r="J1" s="496"/>
      <c r="K1" s="496"/>
      <c r="L1" s="497"/>
      <c r="M1" s="497"/>
      <c r="N1" s="497"/>
      <c r="O1" s="497"/>
      <c r="P1" s="497"/>
      <c r="Q1" s="497"/>
      <c r="R1" s="497"/>
      <c r="S1" s="497"/>
      <c r="T1" s="497"/>
      <c r="U1" s="497"/>
      <c r="V1" s="497"/>
      <c r="W1" s="497"/>
      <c r="X1" s="497"/>
      <c r="Y1" s="497"/>
      <c r="Z1" s="497"/>
    </row>
    <row r="2" spans="1:179" ht="123.75" customHeight="1">
      <c r="A2" s="16"/>
      <c r="B2" s="16"/>
      <c r="C2" s="499"/>
      <c r="D2" s="499"/>
      <c r="E2" s="499"/>
      <c r="F2" s="499"/>
      <c r="G2" s="499"/>
      <c r="H2" s="500"/>
      <c r="I2" s="500"/>
      <c r="J2" s="500"/>
      <c r="K2" s="500"/>
      <c r="L2" s="500"/>
      <c r="M2" s="500"/>
      <c r="N2" s="500"/>
      <c r="O2" s="500"/>
      <c r="P2" s="500"/>
      <c r="Q2" s="500"/>
      <c r="R2" s="500"/>
      <c r="S2" s="500"/>
      <c r="T2" s="500"/>
      <c r="U2" s="500"/>
      <c r="V2" s="500"/>
      <c r="W2" s="500"/>
      <c r="X2" s="500"/>
      <c r="Y2" s="500"/>
      <c r="Z2" s="500"/>
    </row>
    <row r="3" spans="1:179" ht="30">
      <c r="A3" s="700" t="s">
        <v>1592</v>
      </c>
      <c r="B3" s="700"/>
      <c r="C3" s="700"/>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c r="AJ3" s="700"/>
      <c r="AK3" s="700"/>
      <c r="AL3" s="700"/>
      <c r="AM3" s="700"/>
      <c r="AN3" s="700"/>
      <c r="AO3" s="700"/>
      <c r="AP3" s="700"/>
      <c r="AQ3" s="700"/>
      <c r="AR3" s="700"/>
      <c r="AS3" s="700"/>
      <c r="AT3" s="700"/>
      <c r="AU3" s="700"/>
      <c r="AV3" s="700"/>
      <c r="AW3" s="700"/>
      <c r="AX3" s="700"/>
      <c r="AY3" s="700"/>
      <c r="AZ3" s="700"/>
      <c r="BA3" s="700"/>
      <c r="BB3" s="700"/>
      <c r="BC3" s="700"/>
      <c r="BD3" s="700"/>
      <c r="BE3" s="700"/>
      <c r="BF3" s="700"/>
      <c r="BG3" s="700"/>
      <c r="BH3" s="700"/>
      <c r="BI3" s="700"/>
      <c r="BJ3" s="700"/>
      <c r="BK3" s="700"/>
      <c r="BL3" s="700"/>
    </row>
    <row r="4" spans="1:179" ht="27">
      <c r="A4" s="699" t="s">
        <v>1434</v>
      </c>
      <c r="B4" s="699"/>
      <c r="C4" s="699"/>
      <c r="D4" s="699"/>
      <c r="E4" s="699"/>
      <c r="F4" s="699"/>
      <c r="G4" s="699"/>
      <c r="H4" s="699"/>
      <c r="I4" s="699"/>
      <c r="J4" s="699"/>
      <c r="K4" s="699"/>
      <c r="L4" s="699"/>
      <c r="M4" s="699"/>
      <c r="N4" s="699"/>
      <c r="O4" s="699"/>
      <c r="P4" s="699"/>
      <c r="Q4" s="699"/>
      <c r="R4" s="699"/>
      <c r="S4" s="699"/>
      <c r="T4" s="699"/>
      <c r="U4" s="699"/>
      <c r="V4" s="699"/>
      <c r="W4" s="699"/>
      <c r="X4" s="699"/>
      <c r="Y4" s="699"/>
      <c r="Z4" s="699"/>
      <c r="AA4" s="699"/>
      <c r="AB4" s="699"/>
      <c r="AC4" s="699"/>
      <c r="AD4" s="699"/>
      <c r="AE4" s="699"/>
      <c r="AF4" s="699"/>
      <c r="AG4" s="699"/>
      <c r="AH4" s="699"/>
      <c r="AI4" s="699"/>
      <c r="AJ4" s="699"/>
      <c r="AK4" s="699"/>
      <c r="AL4" s="699"/>
      <c r="AM4" s="699"/>
      <c r="AN4" s="699"/>
      <c r="AO4" s="699"/>
      <c r="AP4" s="699"/>
      <c r="AQ4" s="699"/>
      <c r="AR4" s="699"/>
      <c r="AS4" s="699"/>
      <c r="AT4" s="699"/>
      <c r="AU4" s="699"/>
      <c r="AV4" s="699"/>
      <c r="AW4" s="699"/>
      <c r="AX4" s="699"/>
      <c r="AY4" s="699"/>
      <c r="AZ4" s="699"/>
      <c r="BA4" s="699"/>
      <c r="BB4" s="699"/>
      <c r="BC4" s="699"/>
      <c r="BD4" s="699"/>
      <c r="BE4" s="699"/>
      <c r="BF4" s="699"/>
      <c r="BG4" s="699"/>
      <c r="BH4" s="699"/>
      <c r="BI4" s="699"/>
      <c r="BJ4" s="699"/>
      <c r="BK4" s="699"/>
      <c r="BL4" s="699"/>
    </row>
    <row r="5" spans="1:179" ht="23.45" customHeight="1">
      <c r="A5" s="714"/>
      <c r="B5" s="714"/>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c r="AI5" s="714"/>
      <c r="AJ5" s="714"/>
      <c r="AK5" s="714"/>
      <c r="AL5" s="714"/>
      <c r="AM5" s="714"/>
      <c r="AN5" s="714"/>
      <c r="AO5" s="714"/>
      <c r="AP5" s="714"/>
      <c r="AQ5" s="714"/>
      <c r="AR5" s="714"/>
      <c r="AS5" s="714"/>
      <c r="AT5" s="714"/>
      <c r="AU5" s="714"/>
      <c r="AV5" s="714"/>
      <c r="AW5" s="714"/>
      <c r="AX5" s="714"/>
      <c r="AY5" s="714"/>
      <c r="AZ5" s="513"/>
      <c r="BA5" s="513"/>
      <c r="BB5" s="585"/>
      <c r="BC5" s="513"/>
      <c r="BD5" s="513"/>
      <c r="BE5" s="513"/>
      <c r="BF5" s="513"/>
      <c r="BG5" s="587"/>
      <c r="BH5" s="513"/>
      <c r="BI5" s="513"/>
      <c r="BJ5" s="513"/>
      <c r="BK5" s="513"/>
    </row>
    <row r="6" spans="1:179" s="36" customFormat="1" ht="40.5" customHeight="1">
      <c r="A6" s="702" t="s">
        <v>381</v>
      </c>
      <c r="B6" s="703" t="s">
        <v>170</v>
      </c>
      <c r="C6" s="703" t="s">
        <v>392</v>
      </c>
      <c r="D6" s="703" t="s">
        <v>393</v>
      </c>
      <c r="E6" s="703" t="s">
        <v>391</v>
      </c>
      <c r="F6" s="703" t="s">
        <v>384</v>
      </c>
      <c r="G6" s="703" t="s">
        <v>394</v>
      </c>
      <c r="H6" s="703" t="s">
        <v>918</v>
      </c>
      <c r="I6" s="703" t="s">
        <v>1360</v>
      </c>
      <c r="J6" s="703" t="s">
        <v>919</v>
      </c>
      <c r="K6" s="705" t="s">
        <v>385</v>
      </c>
      <c r="L6" s="708" t="s">
        <v>1597</v>
      </c>
      <c r="M6" s="709"/>
      <c r="N6" s="709"/>
      <c r="O6" s="709"/>
      <c r="P6" s="709"/>
      <c r="Q6" s="709"/>
      <c r="R6" s="709"/>
      <c r="S6" s="709"/>
      <c r="T6" s="709"/>
      <c r="U6" s="709"/>
      <c r="V6" s="709"/>
      <c r="W6" s="709"/>
      <c r="X6" s="709"/>
      <c r="Y6" s="709"/>
      <c r="Z6" s="709"/>
      <c r="AA6" s="709"/>
      <c r="AB6" s="709"/>
      <c r="AC6" s="709"/>
      <c r="AD6" s="709"/>
      <c r="AE6" s="709"/>
      <c r="AF6" s="709"/>
      <c r="AG6" s="709"/>
      <c r="AH6" s="709"/>
      <c r="AI6" s="709"/>
      <c r="AJ6" s="709"/>
      <c r="AK6" s="709"/>
      <c r="AL6" s="709"/>
      <c r="AM6" s="709"/>
      <c r="AN6" s="709"/>
      <c r="AO6" s="709"/>
      <c r="AP6" s="709"/>
      <c r="AQ6" s="709"/>
      <c r="AR6" s="709"/>
      <c r="AS6" s="709"/>
      <c r="AT6" s="709"/>
      <c r="AU6" s="709"/>
      <c r="AV6" s="709"/>
      <c r="AW6" s="710"/>
      <c r="AX6" s="708" t="s">
        <v>151</v>
      </c>
      <c r="AY6" s="709"/>
      <c r="AZ6" s="709"/>
      <c r="BA6" s="709"/>
      <c r="BB6" s="710"/>
      <c r="BC6" s="708" t="s">
        <v>152</v>
      </c>
      <c r="BD6" s="709"/>
      <c r="BE6" s="709"/>
      <c r="BF6" s="709"/>
      <c r="BG6" s="710"/>
      <c r="BH6" s="715" t="s">
        <v>1382</v>
      </c>
      <c r="BI6" s="716"/>
      <c r="BJ6" s="716"/>
      <c r="BK6" s="717"/>
      <c r="BL6" s="704" t="s">
        <v>166</v>
      </c>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row>
    <row r="7" spans="1:179" s="36" customFormat="1" ht="41.25" customHeight="1">
      <c r="A7" s="702"/>
      <c r="B7" s="703"/>
      <c r="C7" s="703"/>
      <c r="D7" s="703"/>
      <c r="E7" s="703"/>
      <c r="F7" s="703"/>
      <c r="G7" s="703"/>
      <c r="H7" s="703"/>
      <c r="I7" s="703"/>
      <c r="J7" s="703"/>
      <c r="K7" s="706"/>
      <c r="L7" s="715" t="s">
        <v>154</v>
      </c>
      <c r="M7" s="716"/>
      <c r="N7" s="717"/>
      <c r="O7" s="715" t="s">
        <v>155</v>
      </c>
      <c r="P7" s="716"/>
      <c r="Q7" s="717"/>
      <c r="R7" s="715" t="s">
        <v>156</v>
      </c>
      <c r="S7" s="716"/>
      <c r="T7" s="717"/>
      <c r="U7" s="715" t="s">
        <v>157</v>
      </c>
      <c r="V7" s="716"/>
      <c r="W7" s="717"/>
      <c r="X7" s="715" t="s">
        <v>158</v>
      </c>
      <c r="Y7" s="716"/>
      <c r="Z7" s="717"/>
      <c r="AA7" s="715" t="s">
        <v>159</v>
      </c>
      <c r="AB7" s="716"/>
      <c r="AC7" s="717"/>
      <c r="AD7" s="715" t="s">
        <v>160</v>
      </c>
      <c r="AE7" s="716"/>
      <c r="AF7" s="717"/>
      <c r="AG7" s="715" t="s">
        <v>161</v>
      </c>
      <c r="AH7" s="716"/>
      <c r="AI7" s="717"/>
      <c r="AJ7" s="715" t="s">
        <v>162</v>
      </c>
      <c r="AK7" s="716"/>
      <c r="AL7" s="717"/>
      <c r="AM7" s="715" t="s">
        <v>163</v>
      </c>
      <c r="AN7" s="716"/>
      <c r="AO7" s="717"/>
      <c r="AP7" s="715" t="s">
        <v>164</v>
      </c>
      <c r="AQ7" s="716"/>
      <c r="AR7" s="717"/>
      <c r="AS7" s="715" t="s">
        <v>1596</v>
      </c>
      <c r="AT7" s="716"/>
      <c r="AU7" s="717"/>
      <c r="AV7" s="705" t="s">
        <v>1363</v>
      </c>
      <c r="AW7" s="711" t="s">
        <v>1364</v>
      </c>
      <c r="AX7" s="715" t="s">
        <v>1380</v>
      </c>
      <c r="AY7" s="716"/>
      <c r="AZ7" s="717"/>
      <c r="BA7" s="703" t="s">
        <v>1365</v>
      </c>
      <c r="BB7" s="711" t="s">
        <v>1364</v>
      </c>
      <c r="BC7" s="715" t="s">
        <v>1381</v>
      </c>
      <c r="BD7" s="716"/>
      <c r="BE7" s="717"/>
      <c r="BF7" s="703" t="s">
        <v>1366</v>
      </c>
      <c r="BG7" s="703" t="s">
        <v>1364</v>
      </c>
      <c r="BH7" s="705" t="s">
        <v>1368</v>
      </c>
      <c r="BI7" s="705" t="s">
        <v>1367</v>
      </c>
      <c r="BJ7" s="705" t="s">
        <v>192</v>
      </c>
      <c r="BK7" s="703" t="s">
        <v>1383</v>
      </c>
      <c r="BL7" s="704"/>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row>
    <row r="8" spans="1:179" s="36" customFormat="1" ht="156" customHeight="1">
      <c r="A8" s="702"/>
      <c r="B8" s="703"/>
      <c r="C8" s="703"/>
      <c r="D8" s="703"/>
      <c r="E8" s="703"/>
      <c r="F8" s="703"/>
      <c r="G8" s="703"/>
      <c r="H8" s="703"/>
      <c r="I8" s="703"/>
      <c r="J8" s="703"/>
      <c r="K8" s="707"/>
      <c r="L8" s="514" t="s">
        <v>1368</v>
      </c>
      <c r="M8" s="514" t="s">
        <v>1367</v>
      </c>
      <c r="N8" s="514" t="s">
        <v>192</v>
      </c>
      <c r="O8" s="514" t="s">
        <v>1368</v>
      </c>
      <c r="P8" s="514" t="s">
        <v>1367</v>
      </c>
      <c r="Q8" s="514" t="s">
        <v>192</v>
      </c>
      <c r="R8" s="514" t="s">
        <v>1368</v>
      </c>
      <c r="S8" s="514" t="s">
        <v>1367</v>
      </c>
      <c r="T8" s="514" t="s">
        <v>192</v>
      </c>
      <c r="U8" s="514" t="s">
        <v>1368</v>
      </c>
      <c r="V8" s="514" t="s">
        <v>1367</v>
      </c>
      <c r="W8" s="514" t="s">
        <v>192</v>
      </c>
      <c r="X8" s="514" t="s">
        <v>1368</v>
      </c>
      <c r="Y8" s="514" t="s">
        <v>1367</v>
      </c>
      <c r="Z8" s="514" t="s">
        <v>192</v>
      </c>
      <c r="AA8" s="514" t="s">
        <v>1368</v>
      </c>
      <c r="AB8" s="514" t="s">
        <v>1367</v>
      </c>
      <c r="AC8" s="514" t="s">
        <v>192</v>
      </c>
      <c r="AD8" s="514" t="s">
        <v>1368</v>
      </c>
      <c r="AE8" s="514" t="s">
        <v>1367</v>
      </c>
      <c r="AF8" s="514" t="s">
        <v>192</v>
      </c>
      <c r="AG8" s="514" t="s">
        <v>1368</v>
      </c>
      <c r="AH8" s="514" t="s">
        <v>1367</v>
      </c>
      <c r="AI8" s="514" t="s">
        <v>192</v>
      </c>
      <c r="AJ8" s="514" t="s">
        <v>1368</v>
      </c>
      <c r="AK8" s="514" t="s">
        <v>1367</v>
      </c>
      <c r="AL8" s="514" t="s">
        <v>192</v>
      </c>
      <c r="AM8" s="514" t="s">
        <v>1368</v>
      </c>
      <c r="AN8" s="514" t="s">
        <v>1367</v>
      </c>
      <c r="AO8" s="514" t="s">
        <v>192</v>
      </c>
      <c r="AP8" s="514" t="s">
        <v>1368</v>
      </c>
      <c r="AQ8" s="514" t="s">
        <v>1367</v>
      </c>
      <c r="AR8" s="514" t="s">
        <v>192</v>
      </c>
      <c r="AS8" s="514" t="s">
        <v>1368</v>
      </c>
      <c r="AT8" s="514" t="s">
        <v>1367</v>
      </c>
      <c r="AU8" s="514" t="s">
        <v>192</v>
      </c>
      <c r="AV8" s="707"/>
      <c r="AW8" s="711"/>
      <c r="AX8" s="514" t="s">
        <v>1368</v>
      </c>
      <c r="AY8" s="514" t="s">
        <v>1367</v>
      </c>
      <c r="AZ8" s="514" t="s">
        <v>192</v>
      </c>
      <c r="BA8" s="703"/>
      <c r="BB8" s="711"/>
      <c r="BC8" s="514" t="s">
        <v>1368</v>
      </c>
      <c r="BD8" s="514" t="s">
        <v>1367</v>
      </c>
      <c r="BE8" s="514" t="s">
        <v>192</v>
      </c>
      <c r="BF8" s="703"/>
      <c r="BG8" s="703"/>
      <c r="BH8" s="707"/>
      <c r="BI8" s="707"/>
      <c r="BJ8" s="707"/>
      <c r="BK8" s="703"/>
      <c r="BL8" s="704"/>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row>
    <row r="9" spans="1:179" s="36" customFormat="1">
      <c r="A9" s="515">
        <v>1</v>
      </c>
      <c r="B9" s="515">
        <v>2</v>
      </c>
      <c r="C9" s="515">
        <v>3</v>
      </c>
      <c r="D9" s="515"/>
      <c r="E9" s="515">
        <v>4</v>
      </c>
      <c r="F9" s="515"/>
      <c r="G9" s="515"/>
      <c r="H9" s="515">
        <v>5</v>
      </c>
      <c r="I9" s="515">
        <v>6</v>
      </c>
      <c r="J9" s="515" t="s">
        <v>1362</v>
      </c>
      <c r="K9" s="515">
        <v>5</v>
      </c>
      <c r="L9" s="515">
        <v>9</v>
      </c>
      <c r="M9" s="515">
        <v>10</v>
      </c>
      <c r="N9" s="515" t="s">
        <v>1369</v>
      </c>
      <c r="O9" s="515">
        <v>11</v>
      </c>
      <c r="P9" s="515">
        <v>12</v>
      </c>
      <c r="Q9" s="515" t="s">
        <v>1370</v>
      </c>
      <c r="R9" s="515">
        <v>14</v>
      </c>
      <c r="S9" s="515">
        <v>15</v>
      </c>
      <c r="T9" s="515" t="s">
        <v>1371</v>
      </c>
      <c r="U9" s="515">
        <v>17</v>
      </c>
      <c r="V9" s="515">
        <v>18</v>
      </c>
      <c r="W9" s="515" t="s">
        <v>1372</v>
      </c>
      <c r="X9" s="515">
        <v>20</v>
      </c>
      <c r="Y9" s="515">
        <v>21</v>
      </c>
      <c r="Z9" s="515" t="s">
        <v>1373</v>
      </c>
      <c r="AA9" s="515">
        <v>23</v>
      </c>
      <c r="AB9" s="515">
        <v>24</v>
      </c>
      <c r="AC9" s="515" t="s">
        <v>1374</v>
      </c>
      <c r="AD9" s="515">
        <v>26</v>
      </c>
      <c r="AE9" s="515">
        <v>27</v>
      </c>
      <c r="AF9" s="515" t="s">
        <v>1375</v>
      </c>
      <c r="AG9" s="515">
        <v>29</v>
      </c>
      <c r="AH9" s="515">
        <v>30</v>
      </c>
      <c r="AI9" s="515" t="s">
        <v>1376</v>
      </c>
      <c r="AJ9" s="515">
        <v>32</v>
      </c>
      <c r="AK9" s="515">
        <v>33</v>
      </c>
      <c r="AL9" s="515" t="s">
        <v>1377</v>
      </c>
      <c r="AM9" s="515">
        <v>35</v>
      </c>
      <c r="AN9" s="515">
        <v>36</v>
      </c>
      <c r="AO9" s="515" t="s">
        <v>1378</v>
      </c>
      <c r="AP9" s="515">
        <v>38</v>
      </c>
      <c r="AQ9" s="515">
        <v>39</v>
      </c>
      <c r="AR9" s="515" t="s">
        <v>1379</v>
      </c>
      <c r="AS9" s="515">
        <v>6</v>
      </c>
      <c r="AT9" s="515">
        <v>7</v>
      </c>
      <c r="AU9" s="515">
        <v>8</v>
      </c>
      <c r="AV9" s="515">
        <v>9</v>
      </c>
      <c r="AW9" s="550">
        <v>45</v>
      </c>
      <c r="AX9" s="515">
        <v>10</v>
      </c>
      <c r="AY9" s="515">
        <v>11</v>
      </c>
      <c r="AZ9" s="515">
        <v>12</v>
      </c>
      <c r="BA9" s="515">
        <v>13</v>
      </c>
      <c r="BB9" s="550">
        <v>50</v>
      </c>
      <c r="BC9" s="515">
        <v>14</v>
      </c>
      <c r="BD9" s="515">
        <v>15</v>
      </c>
      <c r="BE9" s="515">
        <v>16</v>
      </c>
      <c r="BF9" s="515">
        <v>17</v>
      </c>
      <c r="BG9" s="515">
        <v>55</v>
      </c>
      <c r="BH9" s="515">
        <v>18</v>
      </c>
      <c r="BI9" s="515">
        <v>19</v>
      </c>
      <c r="BJ9" s="515">
        <v>20</v>
      </c>
      <c r="BK9" s="515">
        <v>21</v>
      </c>
      <c r="BL9" s="550">
        <v>60</v>
      </c>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row>
    <row r="10" spans="1:179" s="4" customFormat="1" ht="39" customHeight="1">
      <c r="A10" s="516"/>
      <c r="B10" s="516" t="s">
        <v>193</v>
      </c>
      <c r="C10" s="613">
        <f t="shared" ref="C10:I10" si="0">C20</f>
        <v>409807622.1814239</v>
      </c>
      <c r="D10" s="613">
        <f t="shared" si="0"/>
        <v>409807622.21894789</v>
      </c>
      <c r="E10" s="613">
        <f t="shared" si="0"/>
        <v>40325721.113770001</v>
      </c>
      <c r="F10" s="613">
        <f t="shared" si="0"/>
        <v>35108458.478203177</v>
      </c>
      <c r="G10" s="613">
        <f t="shared" si="0"/>
        <v>444916080.30232316</v>
      </c>
      <c r="H10" s="613">
        <f t="shared" si="0"/>
        <v>60091705.966566235</v>
      </c>
      <c r="I10" s="613">
        <f t="shared" si="0"/>
        <v>9082942.8523913845</v>
      </c>
      <c r="J10" s="613">
        <f t="shared" ref="J10" si="1">J20</f>
        <v>69174648.818957612</v>
      </c>
      <c r="K10" s="613">
        <f>K20</f>
        <v>317623465.81000006</v>
      </c>
      <c r="L10" s="613">
        <f t="shared" ref="L10:M10" si="2">L20</f>
        <v>4426651.5599999996</v>
      </c>
      <c r="M10" s="613">
        <f t="shared" si="2"/>
        <v>0</v>
      </c>
      <c r="N10" s="613">
        <f>M10+L10</f>
        <v>4426651.5599999996</v>
      </c>
      <c r="O10" s="613">
        <f t="shared" ref="O10:BJ10" si="3">O20</f>
        <v>9285058.7335000001</v>
      </c>
      <c r="P10" s="613">
        <f t="shared" si="3"/>
        <v>492313</v>
      </c>
      <c r="Q10" s="613">
        <f>P10+O10</f>
        <v>9777371.7335000001</v>
      </c>
      <c r="R10" s="613">
        <f t="shared" si="3"/>
        <v>11733291.308499999</v>
      </c>
      <c r="S10" s="613">
        <f t="shared" si="3"/>
        <v>893831</v>
      </c>
      <c r="T10" s="613">
        <f>S10+R10</f>
        <v>12627122.308499999</v>
      </c>
      <c r="U10" s="613">
        <f t="shared" si="3"/>
        <v>15492433.498</v>
      </c>
      <c r="V10" s="613">
        <f t="shared" si="3"/>
        <v>1505357</v>
      </c>
      <c r="W10" s="613">
        <f>V10+U10</f>
        <v>16997790.498</v>
      </c>
      <c r="X10" s="613">
        <f t="shared" si="3"/>
        <v>20003189.462500002</v>
      </c>
      <c r="Y10" s="613">
        <f t="shared" si="3"/>
        <v>2144233</v>
      </c>
      <c r="Z10" s="613">
        <f>Y10+X10</f>
        <v>22147422.462500002</v>
      </c>
      <c r="AA10" s="613">
        <f t="shared" si="3"/>
        <v>23216785.706</v>
      </c>
      <c r="AB10" s="613">
        <f t="shared" si="3"/>
        <v>2818337</v>
      </c>
      <c r="AC10" s="613">
        <f>AB10+AA10</f>
        <v>26035122.706</v>
      </c>
      <c r="AD10" s="613">
        <f t="shared" si="3"/>
        <v>27867451.596499998</v>
      </c>
      <c r="AE10" s="613">
        <f t="shared" si="3"/>
        <v>3498770</v>
      </c>
      <c r="AF10" s="613">
        <f>AE10+AD10</f>
        <v>31366221.596499998</v>
      </c>
      <c r="AG10" s="613">
        <f t="shared" ref="AG10:AH10" si="4">AG20</f>
        <v>32337886.467</v>
      </c>
      <c r="AH10" s="613">
        <f t="shared" si="4"/>
        <v>4235380</v>
      </c>
      <c r="AI10" s="613">
        <f>AH10+AG10</f>
        <v>36573266.467</v>
      </c>
      <c r="AJ10" s="613">
        <f t="shared" ref="AJ10:AK10" si="5">AJ20</f>
        <v>35368490.327500001</v>
      </c>
      <c r="AK10" s="613">
        <f t="shared" si="5"/>
        <v>4991903</v>
      </c>
      <c r="AL10" s="613">
        <f>AK10+AJ10</f>
        <v>40360393.327500001</v>
      </c>
      <c r="AM10" s="613">
        <f t="shared" ref="AM10:AN10" si="6">AM20</f>
        <v>38306438.269500002</v>
      </c>
      <c r="AN10" s="613">
        <f t="shared" si="6"/>
        <v>5748822</v>
      </c>
      <c r="AO10" s="613">
        <f>AN10+AM10</f>
        <v>44055260.269500002</v>
      </c>
      <c r="AP10" s="613">
        <f t="shared" ref="AP10:AQ10" si="7">AP20</f>
        <v>42594731.730999999</v>
      </c>
      <c r="AQ10" s="613">
        <f t="shared" si="7"/>
        <v>6832157</v>
      </c>
      <c r="AR10" s="613">
        <f>AQ10+AP10</f>
        <v>49426888.730999999</v>
      </c>
      <c r="AS10" s="613">
        <f t="shared" ref="AS10:AT10" si="8">AS20</f>
        <v>48916829.449000001</v>
      </c>
      <c r="AT10" s="613">
        <f t="shared" si="8"/>
        <v>8829461</v>
      </c>
      <c r="AU10" s="613">
        <f t="shared" ref="AU10:AV10" si="9">AU20</f>
        <v>57746290.449000001</v>
      </c>
      <c r="AV10" s="613">
        <f t="shared" si="9"/>
        <v>760467.55726000003</v>
      </c>
      <c r="AW10" s="647"/>
      <c r="AX10" s="613">
        <f t="shared" si="3"/>
        <v>32267272.157232679</v>
      </c>
      <c r="AY10" s="613">
        <f t="shared" si="3"/>
        <v>12450109.06377</v>
      </c>
      <c r="AZ10" s="613">
        <f t="shared" si="3"/>
        <v>44717381.221002676</v>
      </c>
      <c r="BA10" s="613">
        <f t="shared" ref="BA10" si="10">BA20</f>
        <v>20749231.433400001</v>
      </c>
      <c r="BB10" s="647"/>
      <c r="BC10" s="613">
        <f t="shared" si="3"/>
        <v>12778400.586531386</v>
      </c>
      <c r="BD10" s="613">
        <f t="shared" si="3"/>
        <v>9563590.4700000007</v>
      </c>
      <c r="BE10" s="613">
        <f t="shared" si="3"/>
        <v>22341991.056531385</v>
      </c>
      <c r="BF10" s="613">
        <f t="shared" ref="BF10" si="11">BF20</f>
        <v>15095237.343155948</v>
      </c>
      <c r="BG10" s="613"/>
      <c r="BH10" s="613">
        <f t="shared" si="3"/>
        <v>93962502.192764029</v>
      </c>
      <c r="BI10" s="613">
        <f t="shared" si="3"/>
        <v>30518160.533770002</v>
      </c>
      <c r="BJ10" s="613">
        <f t="shared" si="3"/>
        <v>124480662.72653404</v>
      </c>
      <c r="BK10" s="613">
        <f t="shared" ref="BK10" si="12">BK20</f>
        <v>36604936.333815947</v>
      </c>
      <c r="BL10" s="592"/>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row>
    <row r="11" spans="1:179" s="4" customFormat="1" ht="39" customHeight="1">
      <c r="A11" s="516"/>
      <c r="B11" s="516" t="s">
        <v>194</v>
      </c>
      <c r="C11" s="613">
        <f t="shared" ref="C11:I11" si="13">C86</f>
        <v>1692047971.722172</v>
      </c>
      <c r="D11" s="613">
        <f t="shared" si="13"/>
        <v>1692047973.4436359</v>
      </c>
      <c r="E11" s="613">
        <f t="shared" si="13"/>
        <v>210967038.78999999</v>
      </c>
      <c r="F11" s="613">
        <f t="shared" si="13"/>
        <v>199592824.78999999</v>
      </c>
      <c r="G11" s="613">
        <f t="shared" si="13"/>
        <v>1871640798.2336361</v>
      </c>
      <c r="H11" s="613">
        <f t="shared" si="13"/>
        <v>241906493.00418666</v>
      </c>
      <c r="I11" s="613">
        <f t="shared" si="13"/>
        <v>87473483.143744007</v>
      </c>
      <c r="J11" s="613">
        <f t="shared" ref="J11" si="14">J86</f>
        <v>329379976.14793068</v>
      </c>
      <c r="K11" s="613">
        <f t="shared" ref="K11:M11" si="15">K86</f>
        <v>934022454.41000009</v>
      </c>
      <c r="L11" s="613">
        <f t="shared" si="15"/>
        <v>8775144.8499999996</v>
      </c>
      <c r="M11" s="613">
        <f t="shared" si="15"/>
        <v>0</v>
      </c>
      <c r="N11" s="613">
        <f t="shared" ref="N11:N21" si="16">M11+L11</f>
        <v>8775144.8499999996</v>
      </c>
      <c r="O11" s="613">
        <f t="shared" ref="O11:BJ11" si="17">O86</f>
        <v>28124665.984000005</v>
      </c>
      <c r="P11" s="613">
        <f t="shared" si="17"/>
        <v>0</v>
      </c>
      <c r="Q11" s="613">
        <f t="shared" ref="Q11:Q21" si="18">P11+O11</f>
        <v>28124665.984000005</v>
      </c>
      <c r="R11" s="613">
        <f t="shared" si="17"/>
        <v>53881209.298000008</v>
      </c>
      <c r="S11" s="613">
        <f t="shared" si="17"/>
        <v>0</v>
      </c>
      <c r="T11" s="613">
        <f t="shared" ref="T11:T21" si="19">S11+R11</f>
        <v>53881209.298000008</v>
      </c>
      <c r="U11" s="613">
        <f t="shared" si="17"/>
        <v>64829050.258000009</v>
      </c>
      <c r="V11" s="613">
        <f t="shared" si="17"/>
        <v>1599811.81</v>
      </c>
      <c r="W11" s="613">
        <f t="shared" ref="W11:W21" si="20">V11+U11</f>
        <v>66428862.068000011</v>
      </c>
      <c r="X11" s="613">
        <f t="shared" si="17"/>
        <v>90069238.85800001</v>
      </c>
      <c r="Y11" s="613">
        <f t="shared" si="17"/>
        <v>1599811.81</v>
      </c>
      <c r="Z11" s="613">
        <f t="shared" ref="Z11:Z21" si="21">Y11+X11</f>
        <v>91669050.668000013</v>
      </c>
      <c r="AA11" s="613">
        <f t="shared" si="17"/>
        <v>109295270.50400001</v>
      </c>
      <c r="AB11" s="613">
        <f t="shared" si="17"/>
        <v>1599811.81</v>
      </c>
      <c r="AC11" s="613">
        <f t="shared" ref="AC11:AC21" si="22">AB11+AA11</f>
        <v>110895082.31400001</v>
      </c>
      <c r="AD11" s="613">
        <f t="shared" si="17"/>
        <v>128642803.58399999</v>
      </c>
      <c r="AE11" s="613">
        <f t="shared" si="17"/>
        <v>3253538.81</v>
      </c>
      <c r="AF11" s="613">
        <f t="shared" ref="AF11:AF21" si="23">AE11+AD11</f>
        <v>131896342.39399999</v>
      </c>
      <c r="AG11" s="613">
        <f t="shared" ref="AG11:AH11" si="24">AG86</f>
        <v>145260902.81399998</v>
      </c>
      <c r="AH11" s="613">
        <f t="shared" si="24"/>
        <v>4230872.8100000005</v>
      </c>
      <c r="AI11" s="613">
        <f t="shared" ref="AI11:AI21" si="25">AH11+AG11</f>
        <v>149491775.62399998</v>
      </c>
      <c r="AJ11" s="613">
        <f t="shared" ref="AJ11:AK11" si="26">AJ86</f>
        <v>163749521.414</v>
      </c>
      <c r="AK11" s="613">
        <f t="shared" si="26"/>
        <v>4230872.8100000005</v>
      </c>
      <c r="AL11" s="613">
        <f t="shared" ref="AL11:AL21" si="27">AK11+AJ11</f>
        <v>167980394.22400001</v>
      </c>
      <c r="AM11" s="613">
        <f t="shared" ref="AM11:AN11" si="28">AM86</f>
        <v>175418522.68800002</v>
      </c>
      <c r="AN11" s="613">
        <f t="shared" si="28"/>
        <v>14404035.6</v>
      </c>
      <c r="AO11" s="613">
        <f t="shared" ref="AO11:AO21" si="29">AN11+AM11</f>
        <v>189822558.28800002</v>
      </c>
      <c r="AP11" s="613">
        <f t="shared" ref="AP11:AQ11" si="30">AP86</f>
        <v>202474452.208</v>
      </c>
      <c r="AQ11" s="613">
        <f t="shared" si="30"/>
        <v>17750267.849999998</v>
      </c>
      <c r="AR11" s="613">
        <f t="shared" ref="AR11:AR21" si="31">AQ11+AP11</f>
        <v>220224720.058</v>
      </c>
      <c r="AS11" s="613">
        <f t="shared" ref="AS11:AT11" si="32">AS86</f>
        <v>231385746.1503</v>
      </c>
      <c r="AT11" s="613">
        <f t="shared" si="32"/>
        <v>21248858.289999999</v>
      </c>
      <c r="AU11" s="613">
        <f t="shared" ref="AU11:AV11" si="33">AU86</f>
        <v>252634604.44030002</v>
      </c>
      <c r="AV11" s="613">
        <f t="shared" si="33"/>
        <v>9867640.871983001</v>
      </c>
      <c r="AW11" s="647"/>
      <c r="AX11" s="613">
        <f t="shared" si="17"/>
        <v>277970237.66271299</v>
      </c>
      <c r="AY11" s="613">
        <f t="shared" si="17"/>
        <v>72300580.00999999</v>
      </c>
      <c r="AZ11" s="613">
        <f t="shared" si="17"/>
        <v>350270817.67271298</v>
      </c>
      <c r="BA11" s="613">
        <f t="shared" ref="BA11" si="34">BA86</f>
        <v>8408206.4470601995</v>
      </c>
      <c r="BB11" s="647"/>
      <c r="BC11" s="613">
        <f t="shared" si="17"/>
        <v>212300415.33356613</v>
      </c>
      <c r="BD11" s="613">
        <f t="shared" si="17"/>
        <v>110887431.83000001</v>
      </c>
      <c r="BE11" s="613">
        <f t="shared" si="17"/>
        <v>323187847.16356611</v>
      </c>
      <c r="BF11" s="613">
        <f t="shared" ref="BF11" si="35">BF86</f>
        <v>1879489.5873118851</v>
      </c>
      <c r="BG11" s="613"/>
      <c r="BH11" s="613">
        <f t="shared" si="17"/>
        <v>721656399.14657903</v>
      </c>
      <c r="BI11" s="613">
        <f t="shared" si="17"/>
        <v>204436870.13</v>
      </c>
      <c r="BJ11" s="613">
        <f t="shared" si="17"/>
        <v>926093269.27657902</v>
      </c>
      <c r="BK11" s="613">
        <f t="shared" ref="BK11" si="36">BK86</f>
        <v>20155336.906355087</v>
      </c>
      <c r="BL11" s="592"/>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row>
    <row r="12" spans="1:179" s="4" customFormat="1" ht="21.6" customHeight="1">
      <c r="A12" s="516"/>
      <c r="B12" s="516" t="s">
        <v>195</v>
      </c>
      <c r="C12" s="613">
        <f t="shared" ref="C12:I12" si="37">C179</f>
        <v>1082161120.5546119</v>
      </c>
      <c r="D12" s="613">
        <f t="shared" si="37"/>
        <v>1082161120.5546119</v>
      </c>
      <c r="E12" s="613">
        <f t="shared" si="37"/>
        <v>46956957</v>
      </c>
      <c r="F12" s="613">
        <f t="shared" si="37"/>
        <v>41687304.299999997</v>
      </c>
      <c r="G12" s="613">
        <f t="shared" si="37"/>
        <v>1123848424.8546116</v>
      </c>
      <c r="H12" s="613">
        <f t="shared" si="37"/>
        <v>181015547.91924709</v>
      </c>
      <c r="I12" s="613">
        <f t="shared" si="37"/>
        <v>9469890.483864611</v>
      </c>
      <c r="J12" s="613">
        <f t="shared" ref="J12" si="38">J179</f>
        <v>190485438.4031117</v>
      </c>
      <c r="K12" s="613">
        <f t="shared" ref="K12:M12" si="39">K179</f>
        <v>536762736.77000004</v>
      </c>
      <c r="L12" s="613">
        <f t="shared" si="39"/>
        <v>1152627.02</v>
      </c>
      <c r="M12" s="613">
        <f t="shared" si="39"/>
        <v>0</v>
      </c>
      <c r="N12" s="613">
        <f t="shared" si="16"/>
        <v>1152627.02</v>
      </c>
      <c r="O12" s="613">
        <f t="shared" ref="O12:BJ12" si="40">O179</f>
        <v>15347366.770000001</v>
      </c>
      <c r="P12" s="613">
        <f t="shared" si="40"/>
        <v>0</v>
      </c>
      <c r="Q12" s="613">
        <f t="shared" si="18"/>
        <v>15347366.770000001</v>
      </c>
      <c r="R12" s="613">
        <f t="shared" si="40"/>
        <v>20543604.509999998</v>
      </c>
      <c r="S12" s="613">
        <f t="shared" si="40"/>
        <v>0</v>
      </c>
      <c r="T12" s="613">
        <f t="shared" si="19"/>
        <v>20543604.509999998</v>
      </c>
      <c r="U12" s="613">
        <f t="shared" si="40"/>
        <v>33969672.68302191</v>
      </c>
      <c r="V12" s="613">
        <f t="shared" si="40"/>
        <v>0</v>
      </c>
      <c r="W12" s="613">
        <f t="shared" si="20"/>
        <v>33969672.68302191</v>
      </c>
      <c r="X12" s="613">
        <f t="shared" si="40"/>
        <v>48070683.883021906</v>
      </c>
      <c r="Y12" s="613">
        <f t="shared" si="40"/>
        <v>0</v>
      </c>
      <c r="Z12" s="613">
        <f t="shared" si="21"/>
        <v>48070683.883021906</v>
      </c>
      <c r="AA12" s="613">
        <f t="shared" si="40"/>
        <v>62106592.843021899</v>
      </c>
      <c r="AB12" s="613">
        <f t="shared" si="40"/>
        <v>0</v>
      </c>
      <c r="AC12" s="613">
        <f t="shared" si="22"/>
        <v>62106592.843021899</v>
      </c>
      <c r="AD12" s="613">
        <f t="shared" si="40"/>
        <v>81561490.244285271</v>
      </c>
      <c r="AE12" s="613">
        <f t="shared" si="40"/>
        <v>0</v>
      </c>
      <c r="AF12" s="613">
        <f t="shared" si="23"/>
        <v>81561490.244285271</v>
      </c>
      <c r="AG12" s="613">
        <f t="shared" ref="AG12:AH12" si="41">AG179</f>
        <v>102845870.10428528</v>
      </c>
      <c r="AH12" s="613">
        <f t="shared" si="41"/>
        <v>0</v>
      </c>
      <c r="AI12" s="613">
        <f t="shared" si="25"/>
        <v>102845870.10428528</v>
      </c>
      <c r="AJ12" s="613">
        <f t="shared" ref="AJ12:AK12" si="42">AJ179</f>
        <v>113414306.68428527</v>
      </c>
      <c r="AK12" s="613">
        <f t="shared" si="42"/>
        <v>0</v>
      </c>
      <c r="AL12" s="613">
        <f t="shared" si="27"/>
        <v>113414306.68428527</v>
      </c>
      <c r="AM12" s="613">
        <f t="shared" ref="AM12:AN12" si="43">AM179</f>
        <v>147743902.24697366</v>
      </c>
      <c r="AN12" s="613">
        <f t="shared" si="43"/>
        <v>0</v>
      </c>
      <c r="AO12" s="613">
        <f t="shared" si="29"/>
        <v>147743902.24697366</v>
      </c>
      <c r="AP12" s="613">
        <f t="shared" ref="AP12:AQ12" si="44">AP179</f>
        <v>176885821.74697366</v>
      </c>
      <c r="AQ12" s="613">
        <f t="shared" si="44"/>
        <v>0</v>
      </c>
      <c r="AR12" s="613">
        <f t="shared" si="31"/>
        <v>176885821.74697366</v>
      </c>
      <c r="AS12" s="613">
        <f t="shared" ref="AS12:AT12" si="45">AS179</f>
        <v>183225324.12256023</v>
      </c>
      <c r="AT12" s="613">
        <f t="shared" si="45"/>
        <v>0</v>
      </c>
      <c r="AU12" s="613">
        <f t="shared" ref="AU12:AV12" si="46">AU179</f>
        <v>183225324.12256023</v>
      </c>
      <c r="AV12" s="613">
        <f t="shared" si="46"/>
        <v>737647.36522000004</v>
      </c>
      <c r="AW12" s="647"/>
      <c r="AX12" s="613">
        <f t="shared" si="40"/>
        <v>161925478.17809999</v>
      </c>
      <c r="AY12" s="613">
        <f t="shared" si="40"/>
        <v>10990847.699999999</v>
      </c>
      <c r="AZ12" s="613">
        <f t="shared" si="40"/>
        <v>172916325.87810001</v>
      </c>
      <c r="BA12" s="613">
        <f t="shared" ref="BA12" si="47">BA179</f>
        <v>1767082.2830000001</v>
      </c>
      <c r="BB12" s="647"/>
      <c r="BC12" s="613">
        <f t="shared" si="40"/>
        <v>92752699.197646797</v>
      </c>
      <c r="BD12" s="613">
        <f t="shared" si="40"/>
        <v>30696456.300000001</v>
      </c>
      <c r="BE12" s="613">
        <f t="shared" si="40"/>
        <v>123449155.49764679</v>
      </c>
      <c r="BF12" s="613">
        <f t="shared" ref="BF12" si="48">BF179</f>
        <v>1552628.3490072058</v>
      </c>
      <c r="BG12" s="613"/>
      <c r="BH12" s="613">
        <f t="shared" si="40"/>
        <v>437903501.49830711</v>
      </c>
      <c r="BI12" s="613">
        <f t="shared" si="40"/>
        <v>41687304</v>
      </c>
      <c r="BJ12" s="613">
        <f t="shared" si="40"/>
        <v>479590805.49830699</v>
      </c>
      <c r="BK12" s="613">
        <f t="shared" ref="BK12" si="49">BK179</f>
        <v>4057357.9972272059</v>
      </c>
      <c r="BL12" s="59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row>
    <row r="13" spans="1:179" s="1" customFormat="1" ht="14.25" customHeight="1">
      <c r="A13" s="517"/>
      <c r="B13" s="517"/>
      <c r="C13" s="614"/>
      <c r="D13" s="614"/>
      <c r="E13" s="614"/>
      <c r="F13" s="614"/>
      <c r="G13" s="614"/>
      <c r="H13" s="614"/>
      <c r="I13" s="614"/>
      <c r="J13" s="614"/>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4"/>
      <c r="AM13" s="614"/>
      <c r="AN13" s="614"/>
      <c r="AO13" s="614"/>
      <c r="AP13" s="614"/>
      <c r="AQ13" s="614"/>
      <c r="AR13" s="614"/>
      <c r="AS13" s="614"/>
      <c r="AT13" s="614"/>
      <c r="AU13" s="614"/>
      <c r="AV13" s="614"/>
      <c r="AW13" s="648"/>
      <c r="AX13" s="614"/>
      <c r="AY13" s="614"/>
      <c r="AZ13" s="614"/>
      <c r="BA13" s="614"/>
      <c r="BB13" s="648"/>
      <c r="BC13" s="614"/>
      <c r="BD13" s="614"/>
      <c r="BE13" s="614"/>
      <c r="BF13" s="614"/>
      <c r="BG13" s="614"/>
      <c r="BH13" s="614"/>
      <c r="BI13" s="614"/>
      <c r="BJ13" s="614"/>
      <c r="BK13" s="614"/>
      <c r="BL13" s="59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row>
    <row r="14" spans="1:179" s="4" customFormat="1" ht="39" customHeight="1">
      <c r="A14" s="516"/>
      <c r="B14" s="516" t="s">
        <v>196</v>
      </c>
      <c r="C14" s="613">
        <f t="shared" ref="C14:I14" si="50">C20</f>
        <v>409807622.1814239</v>
      </c>
      <c r="D14" s="613">
        <f t="shared" si="50"/>
        <v>409807622.21894789</v>
      </c>
      <c r="E14" s="613">
        <f t="shared" si="50"/>
        <v>40325721.113770001</v>
      </c>
      <c r="F14" s="613">
        <f t="shared" si="50"/>
        <v>35108458.478203177</v>
      </c>
      <c r="G14" s="613">
        <f t="shared" si="50"/>
        <v>444916080.30232316</v>
      </c>
      <c r="H14" s="613">
        <f t="shared" si="50"/>
        <v>60091705.966566235</v>
      </c>
      <c r="I14" s="613">
        <f t="shared" si="50"/>
        <v>9082942.8523913845</v>
      </c>
      <c r="J14" s="613">
        <f t="shared" ref="J14" si="51">J20</f>
        <v>69174648.818957612</v>
      </c>
      <c r="K14" s="613">
        <f t="shared" ref="K14:BJ14" si="52">K20</f>
        <v>317623465.81000006</v>
      </c>
      <c r="L14" s="613">
        <f t="shared" si="52"/>
        <v>4426651.5599999996</v>
      </c>
      <c r="M14" s="613">
        <f t="shared" si="52"/>
        <v>0</v>
      </c>
      <c r="N14" s="613">
        <f t="shared" si="16"/>
        <v>4426651.5599999996</v>
      </c>
      <c r="O14" s="613">
        <f t="shared" si="52"/>
        <v>9285058.7335000001</v>
      </c>
      <c r="P14" s="613">
        <f t="shared" si="52"/>
        <v>492313</v>
      </c>
      <c r="Q14" s="613">
        <f t="shared" si="18"/>
        <v>9777371.7335000001</v>
      </c>
      <c r="R14" s="613">
        <f t="shared" si="52"/>
        <v>11733291.308499999</v>
      </c>
      <c r="S14" s="613">
        <f t="shared" si="52"/>
        <v>893831</v>
      </c>
      <c r="T14" s="613">
        <f t="shared" si="19"/>
        <v>12627122.308499999</v>
      </c>
      <c r="U14" s="613">
        <f t="shared" ref="U14:AZ14" si="53">U20</f>
        <v>15492433.498</v>
      </c>
      <c r="V14" s="613">
        <f t="shared" si="52"/>
        <v>1505357</v>
      </c>
      <c r="W14" s="613">
        <f t="shared" si="20"/>
        <v>16997790.498</v>
      </c>
      <c r="X14" s="613">
        <f t="shared" si="52"/>
        <v>20003189.462500002</v>
      </c>
      <c r="Y14" s="613">
        <f t="shared" si="52"/>
        <v>2144233</v>
      </c>
      <c r="Z14" s="613">
        <f t="shared" si="21"/>
        <v>22147422.462500002</v>
      </c>
      <c r="AA14" s="613">
        <f t="shared" si="52"/>
        <v>23216785.706</v>
      </c>
      <c r="AB14" s="613">
        <f t="shared" si="53"/>
        <v>2818337</v>
      </c>
      <c r="AC14" s="613">
        <f t="shared" si="22"/>
        <v>26035122.706</v>
      </c>
      <c r="AD14" s="613">
        <f t="shared" si="52"/>
        <v>27867451.596499998</v>
      </c>
      <c r="AE14" s="613">
        <f t="shared" si="52"/>
        <v>3498770</v>
      </c>
      <c r="AF14" s="613">
        <f t="shared" si="23"/>
        <v>31366221.596499998</v>
      </c>
      <c r="AG14" s="613">
        <f t="shared" ref="AG14:AH14" si="54">AG20</f>
        <v>32337886.467</v>
      </c>
      <c r="AH14" s="613">
        <f t="shared" si="54"/>
        <v>4235380</v>
      </c>
      <c r="AI14" s="613">
        <f t="shared" si="25"/>
        <v>36573266.467</v>
      </c>
      <c r="AJ14" s="613">
        <f t="shared" ref="AJ14:AK14" si="55">AJ20</f>
        <v>35368490.327500001</v>
      </c>
      <c r="AK14" s="613">
        <f t="shared" si="55"/>
        <v>4991903</v>
      </c>
      <c r="AL14" s="613">
        <f t="shared" si="27"/>
        <v>40360393.327500001</v>
      </c>
      <c r="AM14" s="613">
        <f t="shared" ref="AM14:AN14" si="56">AM20</f>
        <v>38306438.269500002</v>
      </c>
      <c r="AN14" s="613">
        <f t="shared" si="56"/>
        <v>5748822</v>
      </c>
      <c r="AO14" s="613">
        <f t="shared" si="29"/>
        <v>44055260.269500002</v>
      </c>
      <c r="AP14" s="613">
        <f t="shared" ref="AP14:AQ14" si="57">AP20</f>
        <v>42594731.730999999</v>
      </c>
      <c r="AQ14" s="613">
        <f t="shared" si="57"/>
        <v>6832157</v>
      </c>
      <c r="AR14" s="613">
        <f t="shared" si="31"/>
        <v>49426888.730999999</v>
      </c>
      <c r="AS14" s="613">
        <f t="shared" ref="AS14:AT14" si="58">AS20</f>
        <v>48916829.449000001</v>
      </c>
      <c r="AT14" s="613">
        <f t="shared" si="58"/>
        <v>8829461</v>
      </c>
      <c r="AU14" s="613">
        <f t="shared" ref="AU14:AV14" si="59">AU20</f>
        <v>57746290.449000001</v>
      </c>
      <c r="AV14" s="613">
        <f t="shared" si="59"/>
        <v>760467.55726000003</v>
      </c>
      <c r="AW14" s="647"/>
      <c r="AX14" s="613">
        <f t="shared" si="52"/>
        <v>32267272.157232679</v>
      </c>
      <c r="AY14" s="613">
        <f t="shared" si="53"/>
        <v>12450109.06377</v>
      </c>
      <c r="AZ14" s="613">
        <f t="shared" si="53"/>
        <v>44717381.221002676</v>
      </c>
      <c r="BA14" s="613">
        <f t="shared" ref="BA14" si="60">BA20</f>
        <v>20749231.433400001</v>
      </c>
      <c r="BB14" s="647"/>
      <c r="BC14" s="613">
        <f t="shared" si="52"/>
        <v>12778400.586531386</v>
      </c>
      <c r="BD14" s="613">
        <f t="shared" si="52"/>
        <v>9563590.4700000007</v>
      </c>
      <c r="BE14" s="613">
        <f t="shared" si="52"/>
        <v>22341991.056531385</v>
      </c>
      <c r="BF14" s="613">
        <f t="shared" ref="BF14" si="61">BF20</f>
        <v>15095237.343155948</v>
      </c>
      <c r="BG14" s="613"/>
      <c r="BH14" s="613">
        <f t="shared" si="52"/>
        <v>93962502.192764029</v>
      </c>
      <c r="BI14" s="613">
        <f t="shared" si="52"/>
        <v>30518160.533770002</v>
      </c>
      <c r="BJ14" s="613">
        <f t="shared" si="52"/>
        <v>124480662.72653404</v>
      </c>
      <c r="BK14" s="613">
        <f>AV14+BA14+BF14</f>
        <v>36604936.333815947</v>
      </c>
      <c r="BL14" s="592"/>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row>
    <row r="15" spans="1:179" s="4" customFormat="1" ht="57" customHeight="1">
      <c r="A15" s="516"/>
      <c r="B15" s="516" t="s">
        <v>197</v>
      </c>
      <c r="C15" s="613">
        <f t="shared" ref="C15:I15" si="62">C88+C119+C135</f>
        <v>517777458.43782002</v>
      </c>
      <c r="D15" s="613">
        <f t="shared" si="62"/>
        <v>517777458.94119191</v>
      </c>
      <c r="E15" s="613">
        <f t="shared" si="62"/>
        <v>41070677.789999999</v>
      </c>
      <c r="F15" s="613">
        <f t="shared" si="62"/>
        <v>36962177.789999999</v>
      </c>
      <c r="G15" s="613">
        <f t="shared" si="62"/>
        <v>534739636.73119199</v>
      </c>
      <c r="H15" s="613">
        <f t="shared" si="62"/>
        <v>61717165.321264073</v>
      </c>
      <c r="I15" s="613">
        <f t="shared" si="62"/>
        <v>17805897.165235955</v>
      </c>
      <c r="J15" s="613">
        <f t="shared" ref="J15" si="63">J88+J119+J135</f>
        <v>79523062.486500025</v>
      </c>
      <c r="K15" s="613">
        <f t="shared" ref="K15:BJ15" si="64">K88+K119+K135</f>
        <v>287958642.94999999</v>
      </c>
      <c r="L15" s="613">
        <f t="shared" si="64"/>
        <v>2733128.34</v>
      </c>
      <c r="M15" s="613">
        <f t="shared" si="64"/>
        <v>0</v>
      </c>
      <c r="N15" s="613">
        <f t="shared" si="16"/>
        <v>2733128.34</v>
      </c>
      <c r="O15" s="613">
        <f t="shared" si="64"/>
        <v>6767014.9440000011</v>
      </c>
      <c r="P15" s="613">
        <f t="shared" si="64"/>
        <v>0</v>
      </c>
      <c r="Q15" s="613">
        <f t="shared" si="18"/>
        <v>6767014.9440000011</v>
      </c>
      <c r="R15" s="613">
        <f t="shared" si="64"/>
        <v>9631623.0439999998</v>
      </c>
      <c r="S15" s="613">
        <f t="shared" si="64"/>
        <v>0</v>
      </c>
      <c r="T15" s="613">
        <f t="shared" si="19"/>
        <v>9631623.0439999998</v>
      </c>
      <c r="U15" s="613">
        <f t="shared" ref="U15:AZ15" si="65">U88+U119+U135</f>
        <v>13613475.844000001</v>
      </c>
      <c r="V15" s="613">
        <f t="shared" si="64"/>
        <v>0</v>
      </c>
      <c r="W15" s="613">
        <f t="shared" si="20"/>
        <v>13613475.844000001</v>
      </c>
      <c r="X15" s="613">
        <f t="shared" si="64"/>
        <v>22007487.394000001</v>
      </c>
      <c r="Y15" s="613">
        <f t="shared" si="64"/>
        <v>0</v>
      </c>
      <c r="Z15" s="613">
        <f t="shared" si="21"/>
        <v>22007487.394000001</v>
      </c>
      <c r="AA15" s="613">
        <f t="shared" si="64"/>
        <v>27926881.474000003</v>
      </c>
      <c r="AB15" s="613">
        <f t="shared" si="65"/>
        <v>0</v>
      </c>
      <c r="AC15" s="613">
        <f t="shared" si="22"/>
        <v>27926881.474000003</v>
      </c>
      <c r="AD15" s="613">
        <f t="shared" si="64"/>
        <v>32946762.274</v>
      </c>
      <c r="AE15" s="613">
        <f t="shared" si="64"/>
        <v>0</v>
      </c>
      <c r="AF15" s="613">
        <f t="shared" si="23"/>
        <v>32946762.274</v>
      </c>
      <c r="AG15" s="613">
        <f t="shared" ref="AG15:AH15" si="66">AG88+AG119+AG135</f>
        <v>35955437.504000001</v>
      </c>
      <c r="AH15" s="613">
        <f t="shared" si="66"/>
        <v>0</v>
      </c>
      <c r="AI15" s="613">
        <f t="shared" si="25"/>
        <v>35955437.504000001</v>
      </c>
      <c r="AJ15" s="613">
        <f t="shared" ref="AJ15:AK15" si="67">AJ88+AJ119+AJ135</f>
        <v>41611771.954000004</v>
      </c>
      <c r="AK15" s="613">
        <f t="shared" si="67"/>
        <v>0</v>
      </c>
      <c r="AL15" s="613">
        <f t="shared" si="27"/>
        <v>41611771.954000004</v>
      </c>
      <c r="AM15" s="613">
        <f t="shared" ref="AM15:AN15" si="68">AM88+AM119+AM135</f>
        <v>45579289.954000004</v>
      </c>
      <c r="AN15" s="613">
        <f t="shared" si="68"/>
        <v>0</v>
      </c>
      <c r="AO15" s="613">
        <f t="shared" si="29"/>
        <v>45579289.954000004</v>
      </c>
      <c r="AP15" s="613">
        <f t="shared" ref="AP15:AQ15" si="69">AP88+AP119+AP135</f>
        <v>50337125.684</v>
      </c>
      <c r="AQ15" s="613">
        <f t="shared" si="69"/>
        <v>0</v>
      </c>
      <c r="AR15" s="613">
        <f t="shared" si="31"/>
        <v>50337125.684</v>
      </c>
      <c r="AS15" s="613">
        <f t="shared" ref="AS15:AT15" si="70">AS88+AS119+AS135</f>
        <v>57872662.187999994</v>
      </c>
      <c r="AT15" s="613">
        <f t="shared" si="70"/>
        <v>0</v>
      </c>
      <c r="AU15" s="613">
        <f t="shared" ref="AU15:AV15" si="71">AU88+AU119+AU135</f>
        <v>57872662.187999994</v>
      </c>
      <c r="AV15" s="613">
        <f t="shared" si="71"/>
        <v>5783392.8508200003</v>
      </c>
      <c r="AW15" s="647"/>
      <c r="AX15" s="613">
        <f t="shared" si="64"/>
        <v>78071037.121138006</v>
      </c>
      <c r="AY15" s="613">
        <f t="shared" si="65"/>
        <v>8419681.8900000006</v>
      </c>
      <c r="AZ15" s="613">
        <f t="shared" si="65"/>
        <v>86490719.011138007</v>
      </c>
      <c r="BA15" s="613">
        <f t="shared" ref="BA15" si="72">BA88+BA119+BA135</f>
        <v>6372556.02403</v>
      </c>
      <c r="BB15" s="647"/>
      <c r="BC15" s="613">
        <f t="shared" si="64"/>
        <v>69941492.638909996</v>
      </c>
      <c r="BD15" s="613">
        <f t="shared" si="64"/>
        <v>32650995.899999999</v>
      </c>
      <c r="BE15" s="613">
        <f t="shared" si="64"/>
        <v>102592488.53891</v>
      </c>
      <c r="BF15" s="613">
        <f t="shared" ref="BF15" si="73">BF88+BF119+BF135</f>
        <v>139895.83666999999</v>
      </c>
      <c r="BG15" s="613"/>
      <c r="BH15" s="613">
        <f t="shared" si="64"/>
        <v>205885191.948048</v>
      </c>
      <c r="BI15" s="613">
        <f t="shared" si="64"/>
        <v>41070677.789999999</v>
      </c>
      <c r="BJ15" s="613">
        <f t="shared" si="64"/>
        <v>246955869.73804799</v>
      </c>
      <c r="BK15" s="613">
        <f t="shared" ref="BK15:BK78" si="74">AV15+BA15+BF15</f>
        <v>12295844.711520001</v>
      </c>
      <c r="BL15" s="592"/>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row>
    <row r="16" spans="1:179" s="4" customFormat="1" ht="61.5" customHeight="1">
      <c r="A16" s="516"/>
      <c r="B16" s="516" t="s">
        <v>198</v>
      </c>
      <c r="C16" s="613">
        <f t="shared" ref="C16:AE16" si="75">C111+C124+C137+C139+C149+C162+C168+C172+C179</f>
        <v>2256431633.838964</v>
      </c>
      <c r="D16" s="613">
        <f t="shared" si="75"/>
        <v>2256431635.057056</v>
      </c>
      <c r="E16" s="613">
        <f t="shared" si="75"/>
        <v>216853318</v>
      </c>
      <c r="F16" s="613">
        <f t="shared" si="75"/>
        <v>204317951.30000001</v>
      </c>
      <c r="G16" s="613">
        <f t="shared" si="75"/>
        <v>2460749586.3570557</v>
      </c>
      <c r="H16" s="613">
        <f t="shared" si="75"/>
        <v>361204875.60216969</v>
      </c>
      <c r="I16" s="613">
        <f t="shared" si="75"/>
        <v>79137476.462372661</v>
      </c>
      <c r="J16" s="613">
        <f t="shared" si="75"/>
        <v>440342352.06454235</v>
      </c>
      <c r="K16" s="613">
        <f t="shared" si="75"/>
        <v>1182826548.23</v>
      </c>
      <c r="L16" s="613">
        <f t="shared" si="75"/>
        <v>7194643.5300000012</v>
      </c>
      <c r="M16" s="613">
        <f t="shared" si="75"/>
        <v>0</v>
      </c>
      <c r="N16" s="613">
        <f t="shared" si="16"/>
        <v>7194643.5300000012</v>
      </c>
      <c r="O16" s="613">
        <f t="shared" si="75"/>
        <v>36705017.810000002</v>
      </c>
      <c r="P16" s="613">
        <f t="shared" si="75"/>
        <v>0</v>
      </c>
      <c r="Q16" s="613">
        <f t="shared" si="18"/>
        <v>36705017.810000002</v>
      </c>
      <c r="R16" s="613">
        <f t="shared" si="75"/>
        <v>64793190.764000006</v>
      </c>
      <c r="S16" s="613">
        <f t="shared" si="75"/>
        <v>0</v>
      </c>
      <c r="T16" s="613">
        <f t="shared" si="19"/>
        <v>64793190.764000006</v>
      </c>
      <c r="U16" s="613">
        <f t="shared" si="75"/>
        <v>85185247.097021922</v>
      </c>
      <c r="V16" s="613">
        <f t="shared" si="75"/>
        <v>1599811.81</v>
      </c>
      <c r="W16" s="613">
        <f t="shared" si="20"/>
        <v>86785058.907021925</v>
      </c>
      <c r="X16" s="613">
        <f t="shared" si="75"/>
        <v>116132435.34702189</v>
      </c>
      <c r="Y16" s="613">
        <f t="shared" si="75"/>
        <v>1599811.81</v>
      </c>
      <c r="Z16" s="613">
        <f t="shared" si="21"/>
        <v>117732247.1570219</v>
      </c>
      <c r="AA16" s="613">
        <f t="shared" si="75"/>
        <v>143474981.8730219</v>
      </c>
      <c r="AB16" s="613">
        <f t="shared" si="75"/>
        <v>1599811.81</v>
      </c>
      <c r="AC16" s="613">
        <f t="shared" si="22"/>
        <v>145074793.6830219</v>
      </c>
      <c r="AD16" s="613">
        <f t="shared" si="75"/>
        <v>177257531.55428529</v>
      </c>
      <c r="AE16" s="613">
        <f t="shared" si="75"/>
        <v>3253538.81</v>
      </c>
      <c r="AF16" s="613">
        <f t="shared" si="23"/>
        <v>180511070.36428529</v>
      </c>
      <c r="AG16" s="613">
        <f t="shared" ref="AG16:AH16" si="76">AG111+AG124+AG137+AG139+AG149+AG162+AG168+AG172+AG179</f>
        <v>212151335.41428527</v>
      </c>
      <c r="AH16" s="613">
        <f t="shared" si="76"/>
        <v>4230872.8100000005</v>
      </c>
      <c r="AI16" s="613">
        <f t="shared" si="25"/>
        <v>216382208.22428527</v>
      </c>
      <c r="AJ16" s="613">
        <f t="shared" ref="AJ16:AK16" si="77">AJ111+AJ124+AJ137+AJ139+AJ149+AJ162+AJ168+AJ172+AJ179</f>
        <v>235552056.14428526</v>
      </c>
      <c r="AK16" s="613">
        <f t="shared" si="77"/>
        <v>4230872.8100000005</v>
      </c>
      <c r="AL16" s="613">
        <f t="shared" si="27"/>
        <v>239782928.95428526</v>
      </c>
      <c r="AM16" s="613">
        <f t="shared" ref="AM16:AN16" si="78">AM111+AM124+AM137+AM139+AM149+AM162+AM168+AM172+AM179</f>
        <v>277583134.98097366</v>
      </c>
      <c r="AN16" s="613">
        <f t="shared" si="78"/>
        <v>14404035.6</v>
      </c>
      <c r="AO16" s="613">
        <f t="shared" si="29"/>
        <v>291987170.58097368</v>
      </c>
      <c r="AP16" s="613">
        <f t="shared" ref="AP16:AQ16" si="79">AP111+AP124+AP137+AP139+AP149+AP162+AP168+AP172+AP179</f>
        <v>329023148.27097368</v>
      </c>
      <c r="AQ16" s="613">
        <f t="shared" si="79"/>
        <v>17750267.849999998</v>
      </c>
      <c r="AR16" s="613">
        <f t="shared" si="31"/>
        <v>346773416.12097371</v>
      </c>
      <c r="AS16" s="613">
        <f t="shared" ref="AS16:AT16" si="80">AS111+AS124+AS137+AS139+AS149+AS162+AS168+AS172+AS179</f>
        <v>356738408.08486021</v>
      </c>
      <c r="AT16" s="613">
        <f t="shared" si="80"/>
        <v>21248858.289999999</v>
      </c>
      <c r="AU16" s="613">
        <f t="shared" ref="AU16:AV16" si="81">AU111+AU124+AU137+AU139+AU149+AU162+AU168+AU172+AU179</f>
        <v>377987266.37486023</v>
      </c>
      <c r="AV16" s="613">
        <f t="shared" si="81"/>
        <v>4821895.3863829998</v>
      </c>
      <c r="AW16" s="649"/>
      <c r="AX16" s="613">
        <f t="shared" ref="AX16:BJ16" si="82">AX111+AX124+AX137+AX139+AX149+AX162+AX168+AX172+AX179</f>
        <v>361824678.71967494</v>
      </c>
      <c r="AY16" s="613">
        <f t="shared" si="82"/>
        <v>74871745.819999993</v>
      </c>
      <c r="AZ16" s="613">
        <f t="shared" si="82"/>
        <v>436696424.539675</v>
      </c>
      <c r="BA16" s="613">
        <f t="shared" ref="BA16" si="83">BA111+BA124+BA137+BA139+BA149+BA162+BA168+BA172+BA179</f>
        <v>3802732.7060301998</v>
      </c>
      <c r="BB16" s="647"/>
      <c r="BC16" s="613">
        <f t="shared" si="82"/>
        <v>235111621.8923029</v>
      </c>
      <c r="BD16" s="613">
        <f t="shared" si="82"/>
        <v>108932892.23</v>
      </c>
      <c r="BE16" s="613">
        <f t="shared" si="82"/>
        <v>344044514.12230289</v>
      </c>
      <c r="BF16" s="613">
        <f t="shared" ref="BF16" si="84">BF111+BF124+BF137+BF139+BF149+BF162+BF168+BF172+BF179</f>
        <v>3292222.0996490908</v>
      </c>
      <c r="BG16" s="613"/>
      <c r="BH16" s="613">
        <f t="shared" si="82"/>
        <v>953674708.69683838</v>
      </c>
      <c r="BI16" s="613">
        <f t="shared" si="82"/>
        <v>205053496.33999997</v>
      </c>
      <c r="BJ16" s="613">
        <f t="shared" si="82"/>
        <v>1158728205.0368381</v>
      </c>
      <c r="BK16" s="613">
        <f t="shared" si="74"/>
        <v>11916850.19206229</v>
      </c>
      <c r="BL16" s="592"/>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row>
    <row r="17" spans="1:179" s="1" customFormat="1" ht="5.25" customHeight="1">
      <c r="A17" s="517"/>
      <c r="B17" s="517"/>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4"/>
      <c r="AS17" s="614"/>
      <c r="AT17" s="614"/>
      <c r="AU17" s="614"/>
      <c r="AV17" s="614"/>
      <c r="AW17" s="648"/>
      <c r="AX17" s="614"/>
      <c r="AY17" s="614"/>
      <c r="AZ17" s="614"/>
      <c r="BA17" s="614"/>
      <c r="BB17" s="648"/>
      <c r="BC17" s="614"/>
      <c r="BD17" s="614"/>
      <c r="BE17" s="614"/>
      <c r="BF17" s="614"/>
      <c r="BG17" s="614"/>
      <c r="BH17" s="614"/>
      <c r="BI17" s="614"/>
      <c r="BJ17" s="614"/>
      <c r="BK17" s="614"/>
      <c r="BL17" s="593"/>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row>
    <row r="18" spans="1:179" s="10" customFormat="1" ht="33.75" customHeight="1">
      <c r="A18" s="518"/>
      <c r="B18" s="518" t="s">
        <v>199</v>
      </c>
      <c r="C18" s="615">
        <f t="shared" ref="C18:I18" si="85">C10+C11+C12</f>
        <v>3184016714.4582081</v>
      </c>
      <c r="D18" s="615">
        <f t="shared" si="85"/>
        <v>3184016716.2171955</v>
      </c>
      <c r="E18" s="615">
        <f t="shared" si="85"/>
        <v>298249716.90376997</v>
      </c>
      <c r="F18" s="615">
        <f t="shared" si="85"/>
        <v>276388587.56820315</v>
      </c>
      <c r="G18" s="615">
        <f t="shared" si="85"/>
        <v>3440405303.3905706</v>
      </c>
      <c r="H18" s="615">
        <f t="shared" si="85"/>
        <v>483013746.88999999</v>
      </c>
      <c r="I18" s="615">
        <f t="shared" si="85"/>
        <v>106026316.47999999</v>
      </c>
      <c r="J18" s="615">
        <f t="shared" ref="J18" si="86">J10+J11+J12</f>
        <v>589040063.37</v>
      </c>
      <c r="K18" s="615">
        <f t="shared" ref="K18:BJ18" si="87">K10+K11+K12</f>
        <v>1788408656.9900002</v>
      </c>
      <c r="L18" s="615">
        <f t="shared" si="87"/>
        <v>14354423.43</v>
      </c>
      <c r="M18" s="615">
        <f t="shared" si="87"/>
        <v>0</v>
      </c>
      <c r="N18" s="615">
        <f t="shared" si="16"/>
        <v>14354423.43</v>
      </c>
      <c r="O18" s="615">
        <f t="shared" si="87"/>
        <v>52757091.487500004</v>
      </c>
      <c r="P18" s="615">
        <f t="shared" si="87"/>
        <v>492313</v>
      </c>
      <c r="Q18" s="615">
        <f t="shared" si="18"/>
        <v>53249404.487500004</v>
      </c>
      <c r="R18" s="615">
        <f t="shared" si="87"/>
        <v>86158105.116500005</v>
      </c>
      <c r="S18" s="615">
        <f t="shared" si="87"/>
        <v>893831</v>
      </c>
      <c r="T18" s="615">
        <f t="shared" si="19"/>
        <v>87051936.116500005</v>
      </c>
      <c r="U18" s="615">
        <f t="shared" ref="U18:AZ18" si="88">U10+U11+U12</f>
        <v>114291156.43902192</v>
      </c>
      <c r="V18" s="615">
        <f t="shared" si="87"/>
        <v>3105168.81</v>
      </c>
      <c r="W18" s="615">
        <f t="shared" si="20"/>
        <v>117396325.24902192</v>
      </c>
      <c r="X18" s="615">
        <f t="shared" si="87"/>
        <v>158143112.20352191</v>
      </c>
      <c r="Y18" s="615">
        <f t="shared" si="87"/>
        <v>3744044.81</v>
      </c>
      <c r="Z18" s="615">
        <f t="shared" si="21"/>
        <v>161887157.01352191</v>
      </c>
      <c r="AA18" s="615">
        <f t="shared" si="87"/>
        <v>194618649.05302191</v>
      </c>
      <c r="AB18" s="615">
        <f t="shared" si="88"/>
        <v>4418148.8100000005</v>
      </c>
      <c r="AC18" s="615">
        <f t="shared" si="22"/>
        <v>199036797.86302191</v>
      </c>
      <c r="AD18" s="615">
        <f t="shared" si="87"/>
        <v>238071745.42478526</v>
      </c>
      <c r="AE18" s="615">
        <f t="shared" si="87"/>
        <v>6752308.8100000005</v>
      </c>
      <c r="AF18" s="615">
        <f t="shared" si="23"/>
        <v>244824054.23478526</v>
      </c>
      <c r="AG18" s="615">
        <f t="shared" ref="AG18:AH18" si="89">AG10+AG11+AG12</f>
        <v>280444659.38528526</v>
      </c>
      <c r="AH18" s="615">
        <f t="shared" si="89"/>
        <v>8466252.8100000005</v>
      </c>
      <c r="AI18" s="615">
        <f t="shared" si="25"/>
        <v>288910912.19528526</v>
      </c>
      <c r="AJ18" s="615">
        <f t="shared" ref="AJ18:AK18" si="90">AJ10+AJ11+AJ12</f>
        <v>312532318.4257853</v>
      </c>
      <c r="AK18" s="615">
        <f t="shared" si="90"/>
        <v>9222775.8100000005</v>
      </c>
      <c r="AL18" s="615">
        <f t="shared" si="27"/>
        <v>321755094.23578531</v>
      </c>
      <c r="AM18" s="615">
        <f t="shared" ref="AM18:AN18" si="91">AM10+AM11+AM12</f>
        <v>361468863.20447373</v>
      </c>
      <c r="AN18" s="615">
        <f t="shared" si="91"/>
        <v>20152857.600000001</v>
      </c>
      <c r="AO18" s="615">
        <f t="shared" si="29"/>
        <v>381621720.80447376</v>
      </c>
      <c r="AP18" s="615">
        <f t="shared" ref="AP18:AQ18" si="92">AP10+AP11+AP12</f>
        <v>421955005.68597364</v>
      </c>
      <c r="AQ18" s="615">
        <f t="shared" si="92"/>
        <v>24582424.849999998</v>
      </c>
      <c r="AR18" s="615">
        <f t="shared" si="31"/>
        <v>446537430.53597367</v>
      </c>
      <c r="AS18" s="615">
        <f t="shared" ref="AS18:AT18" si="93">AS10+AS11+AS12</f>
        <v>463527899.72186029</v>
      </c>
      <c r="AT18" s="615">
        <f t="shared" si="93"/>
        <v>30078319.289999999</v>
      </c>
      <c r="AU18" s="615">
        <f t="shared" ref="AU18:AV18" si="94">AU10+AU11+AU12</f>
        <v>493606219.01186025</v>
      </c>
      <c r="AV18" s="615">
        <f t="shared" si="94"/>
        <v>11365755.794463001</v>
      </c>
      <c r="AW18" s="650"/>
      <c r="AX18" s="615">
        <f t="shared" si="87"/>
        <v>472162987.99804568</v>
      </c>
      <c r="AY18" s="615">
        <f t="shared" si="88"/>
        <v>95741536.77376999</v>
      </c>
      <c r="AZ18" s="615">
        <f t="shared" si="88"/>
        <v>567904524.77181566</v>
      </c>
      <c r="BA18" s="615">
        <f t="shared" ref="BA18" si="95">BA10+BA11+BA12</f>
        <v>30924520.163460203</v>
      </c>
      <c r="BB18" s="650"/>
      <c r="BC18" s="615">
        <f t="shared" si="87"/>
        <v>317831515.11774433</v>
      </c>
      <c r="BD18" s="615">
        <f t="shared" si="87"/>
        <v>151147478.60000002</v>
      </c>
      <c r="BE18" s="615">
        <f t="shared" si="87"/>
        <v>468978993.71774429</v>
      </c>
      <c r="BF18" s="615">
        <f t="shared" ref="BF18" si="96">BF10+BF11+BF12</f>
        <v>18527355.279475037</v>
      </c>
      <c r="BG18" s="615"/>
      <c r="BH18" s="615">
        <f t="shared" si="87"/>
        <v>1253522402.8376503</v>
      </c>
      <c r="BI18" s="615">
        <f t="shared" si="87"/>
        <v>276642334.66376996</v>
      </c>
      <c r="BJ18" s="615">
        <f t="shared" si="87"/>
        <v>1530164737.50142</v>
      </c>
      <c r="BK18" s="615">
        <f t="shared" si="74"/>
        <v>60817631.237398237</v>
      </c>
      <c r="BL18" s="594"/>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row>
    <row r="19" spans="1:179" s="1" customFormat="1" ht="5.25" customHeight="1">
      <c r="A19" s="517"/>
      <c r="B19" s="517"/>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4"/>
      <c r="AM19" s="614"/>
      <c r="AN19" s="614"/>
      <c r="AO19" s="614"/>
      <c r="AP19" s="614"/>
      <c r="AQ19" s="614"/>
      <c r="AR19" s="614"/>
      <c r="AS19" s="614"/>
      <c r="AT19" s="614"/>
      <c r="AU19" s="614"/>
      <c r="AV19" s="614"/>
      <c r="AW19" s="648"/>
      <c r="AX19" s="614"/>
      <c r="AY19" s="614"/>
      <c r="AZ19" s="614"/>
      <c r="BA19" s="614"/>
      <c r="BB19" s="648"/>
      <c r="BC19" s="614"/>
      <c r="BD19" s="614"/>
      <c r="BE19" s="614"/>
      <c r="BF19" s="614"/>
      <c r="BG19" s="614"/>
      <c r="BH19" s="614"/>
      <c r="BI19" s="614"/>
      <c r="BJ19" s="614"/>
      <c r="BK19" s="614"/>
      <c r="BL19" s="593"/>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row>
    <row r="20" spans="1:179" s="4" customFormat="1" ht="22.9" customHeight="1">
      <c r="A20" s="519"/>
      <c r="B20" s="519" t="s">
        <v>200</v>
      </c>
      <c r="C20" s="616">
        <f t="shared" ref="C20:AE20" si="97">C21+C45+C61+C67+C76+C80+C83</f>
        <v>409807622.1814239</v>
      </c>
      <c r="D20" s="616">
        <f t="shared" si="97"/>
        <v>409807622.21894789</v>
      </c>
      <c r="E20" s="616">
        <f t="shared" si="97"/>
        <v>40325721.113770001</v>
      </c>
      <c r="F20" s="616">
        <f t="shared" si="97"/>
        <v>35108458.478203177</v>
      </c>
      <c r="G20" s="616">
        <f t="shared" si="97"/>
        <v>444916080.30232316</v>
      </c>
      <c r="H20" s="616">
        <f t="shared" si="97"/>
        <v>60091705.966566235</v>
      </c>
      <c r="I20" s="616">
        <f t="shared" si="97"/>
        <v>9082942.8523913845</v>
      </c>
      <c r="J20" s="616">
        <f t="shared" si="97"/>
        <v>69174648.818957612</v>
      </c>
      <c r="K20" s="616">
        <f t="shared" si="97"/>
        <v>317623465.81000006</v>
      </c>
      <c r="L20" s="616">
        <f t="shared" si="97"/>
        <v>4426651.5599999996</v>
      </c>
      <c r="M20" s="616">
        <f t="shared" si="97"/>
        <v>0</v>
      </c>
      <c r="N20" s="616">
        <f t="shared" si="16"/>
        <v>4426651.5599999996</v>
      </c>
      <c r="O20" s="616">
        <f t="shared" si="97"/>
        <v>9285058.7335000001</v>
      </c>
      <c r="P20" s="616">
        <f t="shared" si="97"/>
        <v>492313</v>
      </c>
      <c r="Q20" s="616">
        <f t="shared" si="18"/>
        <v>9777371.7335000001</v>
      </c>
      <c r="R20" s="616">
        <f t="shared" si="97"/>
        <v>11733291.308499999</v>
      </c>
      <c r="S20" s="616">
        <f t="shared" si="97"/>
        <v>893831</v>
      </c>
      <c r="T20" s="616">
        <f t="shared" si="19"/>
        <v>12627122.308499999</v>
      </c>
      <c r="U20" s="616">
        <f t="shared" si="97"/>
        <v>15492433.498</v>
      </c>
      <c r="V20" s="616">
        <f t="shared" si="97"/>
        <v>1505357</v>
      </c>
      <c r="W20" s="616">
        <f t="shared" si="20"/>
        <v>16997790.498</v>
      </c>
      <c r="X20" s="616">
        <f t="shared" si="97"/>
        <v>20003189.462500002</v>
      </c>
      <c r="Y20" s="616">
        <f t="shared" si="97"/>
        <v>2144233</v>
      </c>
      <c r="Z20" s="616">
        <f t="shared" si="21"/>
        <v>22147422.462500002</v>
      </c>
      <c r="AA20" s="616">
        <f t="shared" si="97"/>
        <v>23216785.706</v>
      </c>
      <c r="AB20" s="616">
        <f t="shared" si="97"/>
        <v>2818337</v>
      </c>
      <c r="AC20" s="616">
        <f t="shared" si="22"/>
        <v>26035122.706</v>
      </c>
      <c r="AD20" s="616">
        <f t="shared" si="97"/>
        <v>27867451.596499998</v>
      </c>
      <c r="AE20" s="616">
        <f t="shared" si="97"/>
        <v>3498770</v>
      </c>
      <c r="AF20" s="616">
        <f t="shared" si="23"/>
        <v>31366221.596499998</v>
      </c>
      <c r="AG20" s="616">
        <f t="shared" ref="AG20:AH20" si="98">AG21+AG45+AG61+AG67+AG76+AG80+AG83</f>
        <v>32337886.467</v>
      </c>
      <c r="AH20" s="616">
        <f t="shared" si="98"/>
        <v>4235380</v>
      </c>
      <c r="AI20" s="616">
        <f t="shared" si="25"/>
        <v>36573266.467</v>
      </c>
      <c r="AJ20" s="616">
        <f t="shared" ref="AJ20:AK20" si="99">AJ21+AJ45+AJ61+AJ67+AJ76+AJ80+AJ83</f>
        <v>35368490.327500001</v>
      </c>
      <c r="AK20" s="616">
        <f t="shared" si="99"/>
        <v>4991903</v>
      </c>
      <c r="AL20" s="616">
        <f t="shared" si="27"/>
        <v>40360393.327500001</v>
      </c>
      <c r="AM20" s="616">
        <f t="shared" ref="AM20:AN20" si="100">AM21+AM45+AM61+AM67+AM76+AM80+AM83</f>
        <v>38306438.269500002</v>
      </c>
      <c r="AN20" s="616">
        <f t="shared" si="100"/>
        <v>5748822</v>
      </c>
      <c r="AO20" s="616">
        <f t="shared" si="29"/>
        <v>44055260.269500002</v>
      </c>
      <c r="AP20" s="616">
        <f t="shared" ref="AP20:AQ20" si="101">AP21+AP45+AP61+AP67+AP76+AP80+AP83</f>
        <v>42594731.730999999</v>
      </c>
      <c r="AQ20" s="616">
        <f t="shared" si="101"/>
        <v>6832157</v>
      </c>
      <c r="AR20" s="616">
        <f t="shared" si="31"/>
        <v>49426888.730999999</v>
      </c>
      <c r="AS20" s="616">
        <f t="shared" ref="AS20:AV20" si="102">AS21+AS45+AS61+AS67+AS76+AS80+AS83</f>
        <v>48916829.449000001</v>
      </c>
      <c r="AT20" s="616">
        <f t="shared" si="102"/>
        <v>8829461</v>
      </c>
      <c r="AU20" s="616">
        <f t="shared" si="102"/>
        <v>57746290.449000001</v>
      </c>
      <c r="AV20" s="616">
        <f t="shared" si="102"/>
        <v>760467.55726000003</v>
      </c>
      <c r="AW20" s="651"/>
      <c r="AX20" s="616">
        <f t="shared" ref="AX20:BJ20" si="103">AX21+AX45+AX61+AX67+AX76+AX80+AX83</f>
        <v>32267272.157232679</v>
      </c>
      <c r="AY20" s="616">
        <f t="shared" si="103"/>
        <v>12450109.06377</v>
      </c>
      <c r="AZ20" s="616">
        <f t="shared" si="103"/>
        <v>44717381.221002676</v>
      </c>
      <c r="BA20" s="616">
        <f t="shared" si="103"/>
        <v>20749231.433400001</v>
      </c>
      <c r="BB20" s="652"/>
      <c r="BC20" s="616">
        <f t="shared" si="103"/>
        <v>12778400.586531386</v>
      </c>
      <c r="BD20" s="616">
        <f t="shared" si="103"/>
        <v>9563590.4700000007</v>
      </c>
      <c r="BE20" s="616">
        <f t="shared" si="103"/>
        <v>22341991.056531385</v>
      </c>
      <c r="BF20" s="616">
        <f t="shared" si="103"/>
        <v>15095237.343155948</v>
      </c>
      <c r="BG20" s="616"/>
      <c r="BH20" s="616">
        <f t="shared" si="103"/>
        <v>93962502.192764029</v>
      </c>
      <c r="BI20" s="616">
        <f t="shared" si="103"/>
        <v>30518160.533770002</v>
      </c>
      <c r="BJ20" s="616">
        <f t="shared" si="103"/>
        <v>124480662.72653404</v>
      </c>
      <c r="BK20" s="616">
        <f t="shared" si="74"/>
        <v>36604936.333815947</v>
      </c>
      <c r="BL20" s="595"/>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row>
    <row r="21" spans="1:179" s="2" customFormat="1" ht="48.75" customHeight="1">
      <c r="A21" s="520"/>
      <c r="B21" s="521" t="s">
        <v>201</v>
      </c>
      <c r="C21" s="617">
        <f t="shared" ref="C21:AE21" si="104">SUM(C22:C44)</f>
        <v>166495471.39871198</v>
      </c>
      <c r="D21" s="617">
        <f t="shared" si="104"/>
        <v>166495471.39871198</v>
      </c>
      <c r="E21" s="617">
        <f t="shared" si="104"/>
        <v>10219407</v>
      </c>
      <c r="F21" s="617">
        <f t="shared" si="104"/>
        <v>8986007.6999999993</v>
      </c>
      <c r="G21" s="617">
        <f t="shared" si="104"/>
        <v>175481478.70388401</v>
      </c>
      <c r="H21" s="617">
        <f t="shared" si="104"/>
        <v>16979027</v>
      </c>
      <c r="I21" s="617">
        <f t="shared" si="104"/>
        <v>4631525</v>
      </c>
      <c r="J21" s="617">
        <f t="shared" si="104"/>
        <v>21610552</v>
      </c>
      <c r="K21" s="617">
        <f t="shared" si="104"/>
        <v>129914895.48000002</v>
      </c>
      <c r="L21" s="617">
        <f t="shared" si="104"/>
        <v>1347842</v>
      </c>
      <c r="M21" s="617">
        <f t="shared" si="104"/>
        <v>0</v>
      </c>
      <c r="N21" s="617">
        <f t="shared" si="16"/>
        <v>1347842</v>
      </c>
      <c r="O21" s="617">
        <f t="shared" si="104"/>
        <v>1623709</v>
      </c>
      <c r="P21" s="617">
        <f t="shared" si="104"/>
        <v>0</v>
      </c>
      <c r="Q21" s="617">
        <f t="shared" si="18"/>
        <v>1623709</v>
      </c>
      <c r="R21" s="617">
        <f t="shared" si="104"/>
        <v>1896020</v>
      </c>
      <c r="S21" s="617">
        <f t="shared" si="104"/>
        <v>0</v>
      </c>
      <c r="T21" s="617">
        <f t="shared" si="19"/>
        <v>1896020</v>
      </c>
      <c r="U21" s="617">
        <f t="shared" si="104"/>
        <v>3312560</v>
      </c>
      <c r="V21" s="617">
        <f t="shared" si="104"/>
        <v>0</v>
      </c>
      <c r="W21" s="617">
        <f t="shared" si="20"/>
        <v>3312560</v>
      </c>
      <c r="X21" s="617">
        <f t="shared" si="104"/>
        <v>4559814</v>
      </c>
      <c r="Y21" s="617">
        <f t="shared" si="104"/>
        <v>0</v>
      </c>
      <c r="Z21" s="617">
        <f t="shared" si="21"/>
        <v>4559814</v>
      </c>
      <c r="AA21" s="617">
        <f t="shared" si="104"/>
        <v>5029906</v>
      </c>
      <c r="AB21" s="617">
        <f t="shared" si="104"/>
        <v>0</v>
      </c>
      <c r="AC21" s="617">
        <f t="shared" si="22"/>
        <v>5029906</v>
      </c>
      <c r="AD21" s="617">
        <f t="shared" si="104"/>
        <v>7267328</v>
      </c>
      <c r="AE21" s="617">
        <f t="shared" si="104"/>
        <v>0</v>
      </c>
      <c r="AF21" s="617">
        <f t="shared" si="23"/>
        <v>7267328</v>
      </c>
      <c r="AG21" s="617">
        <f t="shared" ref="AG21:AH21" si="105">SUM(AG22:AG44)</f>
        <v>8532619</v>
      </c>
      <c r="AH21" s="617">
        <f t="shared" si="105"/>
        <v>0</v>
      </c>
      <c r="AI21" s="617">
        <f t="shared" si="25"/>
        <v>8532619</v>
      </c>
      <c r="AJ21" s="617">
        <f t="shared" ref="AJ21:AK21" si="106">SUM(AJ22:AJ44)</f>
        <v>9044877</v>
      </c>
      <c r="AK21" s="617">
        <f t="shared" si="106"/>
        <v>0</v>
      </c>
      <c r="AL21" s="617">
        <f t="shared" si="27"/>
        <v>9044877</v>
      </c>
      <c r="AM21" s="617">
        <f t="shared" ref="AM21:AN21" si="107">SUM(AM22:AM44)</f>
        <v>9848975</v>
      </c>
      <c r="AN21" s="617">
        <f t="shared" si="107"/>
        <v>0</v>
      </c>
      <c r="AO21" s="617">
        <f t="shared" si="29"/>
        <v>9848975</v>
      </c>
      <c r="AP21" s="617">
        <f t="shared" ref="AP21:AQ21" si="108">SUM(AP22:AP44)</f>
        <v>11344655</v>
      </c>
      <c r="AQ21" s="617">
        <f t="shared" si="108"/>
        <v>237774</v>
      </c>
      <c r="AR21" s="617">
        <f t="shared" si="31"/>
        <v>11582429</v>
      </c>
      <c r="AS21" s="617">
        <f t="shared" ref="AS21:AV21" si="109">SUM(AS22:AS44)</f>
        <v>14042729</v>
      </c>
      <c r="AT21" s="617">
        <f t="shared" si="109"/>
        <v>1378566</v>
      </c>
      <c r="AU21" s="617">
        <f t="shared" si="109"/>
        <v>15421295</v>
      </c>
      <c r="AV21" s="617">
        <f t="shared" si="109"/>
        <v>582279</v>
      </c>
      <c r="AW21" s="653"/>
      <c r="AX21" s="617">
        <f t="shared" ref="AX21:BI21" si="110">SUM(AX22:AX44)</f>
        <v>13887721</v>
      </c>
      <c r="AY21" s="617">
        <f t="shared" si="110"/>
        <v>3395902</v>
      </c>
      <c r="AZ21" s="617">
        <f t="shared" ref="AZ21:BA21" si="111">AY21+AX21</f>
        <v>17283623</v>
      </c>
      <c r="BA21" s="617">
        <f t="shared" si="111"/>
        <v>20679525</v>
      </c>
      <c r="BB21" s="653"/>
      <c r="BC21" s="617">
        <f t="shared" si="110"/>
        <v>5958512</v>
      </c>
      <c r="BD21" s="617">
        <f t="shared" si="110"/>
        <v>4536539</v>
      </c>
      <c r="BE21" s="617">
        <f t="shared" ref="BE21:BF21" si="112">BD21+BC21</f>
        <v>10495051</v>
      </c>
      <c r="BF21" s="617">
        <f t="shared" si="112"/>
        <v>15031590</v>
      </c>
      <c r="BG21" s="617"/>
      <c r="BH21" s="617">
        <f t="shared" si="110"/>
        <v>33888962</v>
      </c>
      <c r="BI21" s="617">
        <f t="shared" si="110"/>
        <v>8986007</v>
      </c>
      <c r="BJ21" s="617">
        <f t="shared" ref="BJ21" si="113">BI21+BH21</f>
        <v>42874969</v>
      </c>
      <c r="BK21" s="617">
        <f t="shared" si="74"/>
        <v>36293394</v>
      </c>
      <c r="BL21" s="596"/>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row>
    <row r="22" spans="1:179" s="9" customFormat="1" ht="97.5" hidden="1" outlineLevel="1">
      <c r="A22" s="522" t="s">
        <v>46</v>
      </c>
      <c r="B22" s="522" t="s">
        <v>202</v>
      </c>
      <c r="C22" s="618"/>
      <c r="D22" s="618"/>
      <c r="E22" s="618"/>
      <c r="F22" s="618"/>
      <c r="G22" s="618"/>
      <c r="H22" s="618"/>
      <c r="I22" s="618"/>
      <c r="J22" s="618"/>
      <c r="K22" s="618">
        <v>0</v>
      </c>
      <c r="L22" s="618"/>
      <c r="M22" s="618"/>
      <c r="N22" s="618">
        <f>M22+L22</f>
        <v>0</v>
      </c>
      <c r="O22" s="619"/>
      <c r="P22" s="619"/>
      <c r="Q22" s="618">
        <f>P22+O22</f>
        <v>0</v>
      </c>
      <c r="R22" s="619"/>
      <c r="S22" s="619"/>
      <c r="T22" s="618">
        <f>S22+R22</f>
        <v>0</v>
      </c>
      <c r="U22" s="619"/>
      <c r="V22" s="619"/>
      <c r="W22" s="618">
        <f>V22+U22</f>
        <v>0</v>
      </c>
      <c r="X22" s="619"/>
      <c r="Y22" s="619"/>
      <c r="Z22" s="618">
        <f>Y22+X22</f>
        <v>0</v>
      </c>
      <c r="AA22" s="619"/>
      <c r="AB22" s="619"/>
      <c r="AC22" s="618">
        <f>AB22+AA22</f>
        <v>0</v>
      </c>
      <c r="AD22" s="619"/>
      <c r="AE22" s="619"/>
      <c r="AF22" s="618">
        <f>AE22+AD22</f>
        <v>0</v>
      </c>
      <c r="AG22" s="619"/>
      <c r="AH22" s="619"/>
      <c r="AI22" s="618">
        <f>AH22+AG22</f>
        <v>0</v>
      </c>
      <c r="AJ22" s="619"/>
      <c r="AK22" s="619"/>
      <c r="AL22" s="618">
        <f>AK22+AJ22</f>
        <v>0</v>
      </c>
      <c r="AM22" s="619"/>
      <c r="AN22" s="619"/>
      <c r="AO22" s="618">
        <f>AN22+AM22</f>
        <v>0</v>
      </c>
      <c r="AP22" s="619"/>
      <c r="AQ22" s="619"/>
      <c r="AR22" s="618">
        <f>AQ22+AP22</f>
        <v>0</v>
      </c>
      <c r="AS22" s="619"/>
      <c r="AT22" s="619"/>
      <c r="AU22" s="618">
        <f>AT22+AS22</f>
        <v>0</v>
      </c>
      <c r="AV22" s="619"/>
      <c r="AW22" s="654"/>
      <c r="AX22" s="619"/>
      <c r="AY22" s="619"/>
      <c r="AZ22" s="618">
        <f>AY22+AX22</f>
        <v>0</v>
      </c>
      <c r="BA22" s="619"/>
      <c r="BB22" s="654"/>
      <c r="BC22" s="619"/>
      <c r="BD22" s="619"/>
      <c r="BE22" s="618">
        <f>BD22+BC22</f>
        <v>0</v>
      </c>
      <c r="BF22" s="619"/>
      <c r="BG22" s="619"/>
      <c r="BH22" s="619"/>
      <c r="BI22" s="619"/>
      <c r="BJ22" s="618">
        <f>BI22+BH22</f>
        <v>0</v>
      </c>
      <c r="BK22" s="618">
        <f t="shared" si="74"/>
        <v>0</v>
      </c>
      <c r="BL22" s="597"/>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row>
    <row r="23" spans="1:179" s="9" customFormat="1" ht="66" customHeight="1" collapsed="1">
      <c r="A23" s="522" t="s">
        <v>47</v>
      </c>
      <c r="B23" s="522" t="s">
        <v>203</v>
      </c>
      <c r="C23" s="618">
        <v>38625269.394827999</v>
      </c>
      <c r="D23" s="618">
        <v>38625269.394827999</v>
      </c>
      <c r="E23" s="618">
        <v>4463146</v>
      </c>
      <c r="F23" s="618">
        <v>3860175</v>
      </c>
      <c r="G23" s="618">
        <v>42485444</v>
      </c>
      <c r="H23" s="618">
        <v>3360624</v>
      </c>
      <c r="I23" s="697">
        <f>2134322-5884</f>
        <v>2128438</v>
      </c>
      <c r="J23" s="697">
        <f>H23+I23</f>
        <v>5489062</v>
      </c>
      <c r="K23" s="618">
        <v>30100041.699999999</v>
      </c>
      <c r="L23" s="618">
        <v>0</v>
      </c>
      <c r="M23" s="618">
        <v>0</v>
      </c>
      <c r="N23" s="618">
        <f t="shared" ref="N23:N85" si="114">M23+L23</f>
        <v>0</v>
      </c>
      <c r="O23" s="619">
        <f>L23+169478</f>
        <v>169478</v>
      </c>
      <c r="P23" s="619">
        <f>M23</f>
        <v>0</v>
      </c>
      <c r="Q23" s="618">
        <f t="shared" ref="Q23:Q85" si="115">P23+O23</f>
        <v>169478</v>
      </c>
      <c r="R23" s="619">
        <f>O23+179103</f>
        <v>348581</v>
      </c>
      <c r="S23" s="619">
        <f>P23</f>
        <v>0</v>
      </c>
      <c r="T23" s="618">
        <f t="shared" ref="T23:T85" si="116">S23+R23</f>
        <v>348581</v>
      </c>
      <c r="U23" s="619">
        <f>R23+736680</f>
        <v>1085261</v>
      </c>
      <c r="V23" s="619">
        <f>S23</f>
        <v>0</v>
      </c>
      <c r="W23" s="618">
        <f t="shared" ref="W23:W85" si="117">V23+U23</f>
        <v>1085261</v>
      </c>
      <c r="X23" s="619">
        <f>U23+535448</f>
        <v>1620709</v>
      </c>
      <c r="Y23" s="619">
        <f>V23</f>
        <v>0</v>
      </c>
      <c r="Z23" s="618">
        <f t="shared" ref="Z23:Z85" si="118">Y23+X23</f>
        <v>1620709</v>
      </c>
      <c r="AA23" s="619">
        <f>X23</f>
        <v>1620709</v>
      </c>
      <c r="AB23" s="619">
        <f>Y23</f>
        <v>0</v>
      </c>
      <c r="AC23" s="618">
        <f t="shared" ref="AC23:AC85" si="119">AB23+AA23</f>
        <v>1620709</v>
      </c>
      <c r="AD23" s="619">
        <f>AA23</f>
        <v>1620709</v>
      </c>
      <c r="AE23" s="619">
        <f>AB23</f>
        <v>0</v>
      </c>
      <c r="AF23" s="618">
        <f t="shared" ref="AF23:AF85" si="120">AE23+AD23</f>
        <v>1620709</v>
      </c>
      <c r="AG23" s="619">
        <f>AD23+536680</f>
        <v>2157389</v>
      </c>
      <c r="AH23" s="619">
        <f>AE23</f>
        <v>0</v>
      </c>
      <c r="AI23" s="618">
        <f t="shared" ref="AI23:AI85" si="121">AH23+AG23</f>
        <v>2157389</v>
      </c>
      <c r="AJ23" s="619">
        <f>AG23</f>
        <v>2157389</v>
      </c>
      <c r="AK23" s="619">
        <f>AH23</f>
        <v>0</v>
      </c>
      <c r="AL23" s="618">
        <f t="shared" ref="AL23:AL85" si="122">AK23+AJ23</f>
        <v>2157389</v>
      </c>
      <c r="AM23" s="619">
        <f>AJ23+245560</f>
        <v>2402949</v>
      </c>
      <c r="AN23" s="619">
        <f>AK23</f>
        <v>0</v>
      </c>
      <c r="AO23" s="618">
        <f t="shared" ref="AO23:AO85" si="123">AN23+AM23</f>
        <v>2402949</v>
      </c>
      <c r="AP23" s="619">
        <f>AM23+260372</f>
        <v>2663321</v>
      </c>
      <c r="AQ23" s="619">
        <f>AN23+193009</f>
        <v>193009</v>
      </c>
      <c r="AR23" s="618">
        <f t="shared" ref="AR23:AR85" si="124">AQ23+AP23</f>
        <v>2856330</v>
      </c>
      <c r="AS23" s="619">
        <f>AP23+260371</f>
        <v>2923692</v>
      </c>
      <c r="AT23" s="619">
        <f>AQ23+193009</f>
        <v>386018</v>
      </c>
      <c r="AU23" s="618">
        <f t="shared" ref="AU23:AU85" si="125">AT23+AS23</f>
        <v>3309710</v>
      </c>
      <c r="AV23" s="619">
        <f>333921</f>
        <v>333921</v>
      </c>
      <c r="AW23" s="654" t="s">
        <v>1514</v>
      </c>
      <c r="AX23" s="619">
        <f>2082968+506907</f>
        <v>2589875</v>
      </c>
      <c r="AY23" s="619">
        <v>1544069</v>
      </c>
      <c r="AZ23" s="618">
        <f t="shared" ref="AZ23:AZ85" si="126">AY23+AX23</f>
        <v>4133944</v>
      </c>
      <c r="BA23" s="619">
        <f>15234</f>
        <v>15234</v>
      </c>
      <c r="BB23" s="654"/>
      <c r="BC23" s="619">
        <v>2603712</v>
      </c>
      <c r="BD23" s="619">
        <v>1930088</v>
      </c>
      <c r="BE23" s="618">
        <f t="shared" ref="BE23:BE85" si="127">BD23+BC23</f>
        <v>4533800</v>
      </c>
      <c r="BF23" s="619">
        <v>19042</v>
      </c>
      <c r="BG23" s="618"/>
      <c r="BH23" s="619">
        <f>BC23+AX23+AS23</f>
        <v>8117279</v>
      </c>
      <c r="BI23" s="619">
        <f>BD23+AY23+AT23</f>
        <v>3860175</v>
      </c>
      <c r="BJ23" s="618">
        <f t="shared" ref="BJ23:BJ85" si="128">BI23+BH23</f>
        <v>11977454</v>
      </c>
      <c r="BK23" s="618">
        <f t="shared" si="74"/>
        <v>368197</v>
      </c>
      <c r="BL23" s="598" t="s">
        <v>1515</v>
      </c>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row>
    <row r="24" spans="1:179" s="9" customFormat="1" ht="64.5" hidden="1" customHeight="1" outlineLevel="1">
      <c r="A24" s="522" t="s">
        <v>137</v>
      </c>
      <c r="B24" s="522" t="s">
        <v>204</v>
      </c>
      <c r="C24" s="618">
        <v>0</v>
      </c>
      <c r="D24" s="618">
        <v>0</v>
      </c>
      <c r="E24" s="618">
        <v>0</v>
      </c>
      <c r="F24" s="618">
        <v>0</v>
      </c>
      <c r="G24" s="618">
        <v>0</v>
      </c>
      <c r="H24" s="618">
        <v>0</v>
      </c>
      <c r="I24" s="618"/>
      <c r="J24" s="618">
        <f t="shared" ref="J24:J85" si="129">H24+I24</f>
        <v>0</v>
      </c>
      <c r="K24" s="618">
        <v>0</v>
      </c>
      <c r="L24" s="618"/>
      <c r="M24" s="618"/>
      <c r="N24" s="618">
        <f t="shared" si="114"/>
        <v>0</v>
      </c>
      <c r="O24" s="619"/>
      <c r="P24" s="619"/>
      <c r="Q24" s="618">
        <f t="shared" si="115"/>
        <v>0</v>
      </c>
      <c r="R24" s="619"/>
      <c r="S24" s="619"/>
      <c r="T24" s="618">
        <f t="shared" si="116"/>
        <v>0</v>
      </c>
      <c r="U24" s="619"/>
      <c r="V24" s="619"/>
      <c r="W24" s="618">
        <f t="shared" si="117"/>
        <v>0</v>
      </c>
      <c r="X24" s="619"/>
      <c r="Y24" s="619"/>
      <c r="Z24" s="618">
        <f t="shared" si="118"/>
        <v>0</v>
      </c>
      <c r="AA24" s="619"/>
      <c r="AB24" s="619"/>
      <c r="AC24" s="618">
        <f t="shared" si="119"/>
        <v>0</v>
      </c>
      <c r="AD24" s="619"/>
      <c r="AE24" s="619"/>
      <c r="AF24" s="618">
        <f t="shared" si="120"/>
        <v>0</v>
      </c>
      <c r="AG24" s="619"/>
      <c r="AH24" s="619"/>
      <c r="AI24" s="618">
        <f t="shared" si="121"/>
        <v>0</v>
      </c>
      <c r="AJ24" s="619"/>
      <c r="AK24" s="619"/>
      <c r="AL24" s="618">
        <f t="shared" si="122"/>
        <v>0</v>
      </c>
      <c r="AM24" s="619"/>
      <c r="AN24" s="619"/>
      <c r="AO24" s="618">
        <f t="shared" si="123"/>
        <v>0</v>
      </c>
      <c r="AP24" s="619"/>
      <c r="AQ24" s="619"/>
      <c r="AR24" s="618">
        <f t="shared" si="124"/>
        <v>0</v>
      </c>
      <c r="AS24" s="619"/>
      <c r="AT24" s="619"/>
      <c r="AU24" s="618">
        <f t="shared" si="125"/>
        <v>0</v>
      </c>
      <c r="AV24" s="619"/>
      <c r="AW24" s="654"/>
      <c r="AX24" s="619"/>
      <c r="AY24" s="619"/>
      <c r="AZ24" s="618">
        <f t="shared" si="126"/>
        <v>0</v>
      </c>
      <c r="BA24" s="619"/>
      <c r="BB24" s="654"/>
      <c r="BC24" s="619"/>
      <c r="BD24" s="619"/>
      <c r="BE24" s="618">
        <f t="shared" si="127"/>
        <v>0</v>
      </c>
      <c r="BF24" s="619"/>
      <c r="BG24" s="619"/>
      <c r="BH24" s="619"/>
      <c r="BI24" s="619"/>
      <c r="BJ24" s="618">
        <f t="shared" si="128"/>
        <v>0</v>
      </c>
      <c r="BK24" s="618">
        <f t="shared" si="74"/>
        <v>0</v>
      </c>
      <c r="BL24" s="597"/>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row>
    <row r="25" spans="1:179" s="9" customFormat="1" ht="82.5" customHeight="1" collapsed="1">
      <c r="A25" s="522" t="s">
        <v>48</v>
      </c>
      <c r="B25" s="522" t="s">
        <v>205</v>
      </c>
      <c r="C25" s="618">
        <v>7804604</v>
      </c>
      <c r="D25" s="618">
        <v>7804604</v>
      </c>
      <c r="E25" s="618">
        <v>0</v>
      </c>
      <c r="F25" s="618">
        <v>0</v>
      </c>
      <c r="G25" s="618">
        <v>7804604</v>
      </c>
      <c r="H25" s="618">
        <v>734053</v>
      </c>
      <c r="I25" s="618">
        <v>37088</v>
      </c>
      <c r="J25" s="618">
        <f t="shared" si="129"/>
        <v>771141</v>
      </c>
      <c r="K25" s="618">
        <v>5951472.71</v>
      </c>
      <c r="L25" s="618">
        <v>0</v>
      </c>
      <c r="M25" s="618">
        <v>0</v>
      </c>
      <c r="N25" s="618">
        <f t="shared" si="114"/>
        <v>0</v>
      </c>
      <c r="O25" s="619">
        <f t="shared" ref="O25:P26" si="130">L25</f>
        <v>0</v>
      </c>
      <c r="P25" s="619">
        <f t="shared" si="130"/>
        <v>0</v>
      </c>
      <c r="Q25" s="618">
        <f t="shared" si="115"/>
        <v>0</v>
      </c>
      <c r="R25" s="619">
        <f>O25+21109</f>
        <v>21109</v>
      </c>
      <c r="S25" s="619">
        <f t="shared" ref="S25:S26" si="131">P25</f>
        <v>0</v>
      </c>
      <c r="T25" s="618">
        <f t="shared" si="116"/>
        <v>21109</v>
      </c>
      <c r="U25" s="619">
        <f>R25+11432</f>
        <v>32541</v>
      </c>
      <c r="V25" s="619">
        <f t="shared" ref="V25:V26" si="132">S25</f>
        <v>0</v>
      </c>
      <c r="W25" s="618">
        <f t="shared" si="117"/>
        <v>32541</v>
      </c>
      <c r="X25" s="619">
        <f t="shared" ref="X25:Y27" si="133">U25</f>
        <v>32541</v>
      </c>
      <c r="Y25" s="619">
        <f t="shared" si="133"/>
        <v>0</v>
      </c>
      <c r="Z25" s="618">
        <f t="shared" si="118"/>
        <v>32541</v>
      </c>
      <c r="AA25" s="619">
        <f>X25+209439</f>
        <v>241980</v>
      </c>
      <c r="AB25" s="619">
        <f t="shared" ref="AB25:AB27" si="134">Y25</f>
        <v>0</v>
      </c>
      <c r="AC25" s="618">
        <f t="shared" si="119"/>
        <v>241980</v>
      </c>
      <c r="AD25" s="619">
        <f>AA25+26954</f>
        <v>268934</v>
      </c>
      <c r="AE25" s="619">
        <f t="shared" ref="AE25:AE27" si="135">AB25</f>
        <v>0</v>
      </c>
      <c r="AF25" s="618">
        <f t="shared" si="120"/>
        <v>268934</v>
      </c>
      <c r="AG25" s="619">
        <f>AD25+26954</f>
        <v>295888</v>
      </c>
      <c r="AH25" s="619">
        <f t="shared" ref="AH25:AH26" si="136">AE25</f>
        <v>0</v>
      </c>
      <c r="AI25" s="618">
        <f t="shared" si="121"/>
        <v>295888</v>
      </c>
      <c r="AJ25" s="619">
        <f>AG25+10171</f>
        <v>306059</v>
      </c>
      <c r="AK25" s="619">
        <f t="shared" ref="AK25:AK26" si="137">AH25</f>
        <v>0</v>
      </c>
      <c r="AL25" s="618">
        <f t="shared" si="122"/>
        <v>306059</v>
      </c>
      <c r="AM25" s="619">
        <f>AJ25+141202</f>
        <v>447261</v>
      </c>
      <c r="AN25" s="619">
        <f t="shared" ref="AN25:AN27" si="138">AK25</f>
        <v>0</v>
      </c>
      <c r="AO25" s="618">
        <f t="shared" si="123"/>
        <v>447261</v>
      </c>
      <c r="AP25" s="619">
        <f>AM25+109416</f>
        <v>556677</v>
      </c>
      <c r="AQ25" s="619">
        <f t="shared" ref="AQ25:AQ26" si="139">AN25</f>
        <v>0</v>
      </c>
      <c r="AR25" s="618">
        <f t="shared" si="124"/>
        <v>556677</v>
      </c>
      <c r="AS25" s="619">
        <f>AP25+33171</f>
        <v>589848</v>
      </c>
      <c r="AT25" s="619">
        <f t="shared" ref="AT25:AT26" si="140">AQ25</f>
        <v>0</v>
      </c>
      <c r="AU25" s="618">
        <f t="shared" si="125"/>
        <v>589848</v>
      </c>
      <c r="AV25" s="619">
        <v>2622</v>
      </c>
      <c r="AW25" s="654" t="s">
        <v>1516</v>
      </c>
      <c r="AX25" s="619">
        <f>542466+59379</f>
        <v>601845</v>
      </c>
      <c r="AY25" s="619">
        <v>0</v>
      </c>
      <c r="AZ25" s="618">
        <f t="shared" si="126"/>
        <v>601845</v>
      </c>
      <c r="BA25" s="619">
        <v>2170</v>
      </c>
      <c r="BB25" s="654"/>
      <c r="BC25" s="619">
        <f>179963</f>
        <v>179963</v>
      </c>
      <c r="BD25" s="619">
        <v>0</v>
      </c>
      <c r="BE25" s="618">
        <f t="shared" si="127"/>
        <v>179963</v>
      </c>
      <c r="BF25" s="619">
        <v>720</v>
      </c>
      <c r="BG25" s="618"/>
      <c r="BH25" s="619">
        <f t="shared" ref="BH25:BI27" si="141">BC25+AX25+AS25</f>
        <v>1371656</v>
      </c>
      <c r="BI25" s="619">
        <f t="shared" si="141"/>
        <v>0</v>
      </c>
      <c r="BJ25" s="618">
        <f t="shared" si="128"/>
        <v>1371656</v>
      </c>
      <c r="BK25" s="618">
        <f t="shared" si="74"/>
        <v>5512</v>
      </c>
      <c r="BL25" s="598" t="s">
        <v>1517</v>
      </c>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row>
    <row r="26" spans="1:179" s="9" customFormat="1" ht="64.5" customHeight="1">
      <c r="A26" s="522" t="s">
        <v>73</v>
      </c>
      <c r="B26" s="522" t="s">
        <v>206</v>
      </c>
      <c r="C26" s="618">
        <v>34695182</v>
      </c>
      <c r="D26" s="618">
        <v>34695182</v>
      </c>
      <c r="E26" s="618">
        <v>0</v>
      </c>
      <c r="F26" s="618">
        <v>0</v>
      </c>
      <c r="G26" s="618">
        <v>34695182</v>
      </c>
      <c r="H26" s="618">
        <v>2364380</v>
      </c>
      <c r="I26" s="618">
        <v>-650695</v>
      </c>
      <c r="J26" s="618">
        <f t="shared" si="129"/>
        <v>1713685</v>
      </c>
      <c r="K26" s="618">
        <v>29605015.149999999</v>
      </c>
      <c r="L26" s="618">
        <v>0</v>
      </c>
      <c r="M26" s="618">
        <v>0</v>
      </c>
      <c r="N26" s="618">
        <f t="shared" si="114"/>
        <v>0</v>
      </c>
      <c r="O26" s="619">
        <f>L26+34185</f>
        <v>34185</v>
      </c>
      <c r="P26" s="619">
        <f t="shared" si="130"/>
        <v>0</v>
      </c>
      <c r="Q26" s="618">
        <f t="shared" si="115"/>
        <v>34185</v>
      </c>
      <c r="R26" s="619">
        <f>O26+69319</f>
        <v>103504</v>
      </c>
      <c r="S26" s="619">
        <f t="shared" si="131"/>
        <v>0</v>
      </c>
      <c r="T26" s="618">
        <f t="shared" si="116"/>
        <v>103504</v>
      </c>
      <c r="U26" s="619">
        <f>R26+69319</f>
        <v>172823</v>
      </c>
      <c r="V26" s="619">
        <f t="shared" si="132"/>
        <v>0</v>
      </c>
      <c r="W26" s="618">
        <f t="shared" si="117"/>
        <v>172823</v>
      </c>
      <c r="X26" s="619">
        <f>U26+19443</f>
        <v>192266</v>
      </c>
      <c r="Y26" s="619">
        <f t="shared" si="133"/>
        <v>0</v>
      </c>
      <c r="Z26" s="618">
        <f t="shared" si="118"/>
        <v>192266</v>
      </c>
      <c r="AA26" s="619">
        <f>X26+116080</f>
        <v>308346</v>
      </c>
      <c r="AB26" s="619">
        <f t="shared" si="134"/>
        <v>0</v>
      </c>
      <c r="AC26" s="618">
        <f t="shared" si="119"/>
        <v>308346</v>
      </c>
      <c r="AD26" s="619">
        <f>AA26+185139</f>
        <v>493485</v>
      </c>
      <c r="AE26" s="619">
        <f t="shared" si="135"/>
        <v>0</v>
      </c>
      <c r="AF26" s="618">
        <f t="shared" si="120"/>
        <v>493485</v>
      </c>
      <c r="AG26" s="619">
        <f>AD26+71855</f>
        <v>565340</v>
      </c>
      <c r="AH26" s="619">
        <f t="shared" si="136"/>
        <v>0</v>
      </c>
      <c r="AI26" s="618">
        <f t="shared" si="121"/>
        <v>565340</v>
      </c>
      <c r="AJ26" s="619">
        <f>AG26+96326</f>
        <v>661666</v>
      </c>
      <c r="AK26" s="619">
        <f t="shared" si="137"/>
        <v>0</v>
      </c>
      <c r="AL26" s="618">
        <f t="shared" si="122"/>
        <v>661666</v>
      </c>
      <c r="AM26" s="619">
        <f>AJ26+193998</f>
        <v>855664</v>
      </c>
      <c r="AN26" s="619">
        <f t="shared" si="138"/>
        <v>0</v>
      </c>
      <c r="AO26" s="618">
        <f t="shared" si="123"/>
        <v>855664</v>
      </c>
      <c r="AP26" s="619">
        <f>AM26+109644</f>
        <v>965308</v>
      </c>
      <c r="AQ26" s="619">
        <f t="shared" si="139"/>
        <v>0</v>
      </c>
      <c r="AR26" s="618">
        <f t="shared" si="124"/>
        <v>965308</v>
      </c>
      <c r="AS26" s="619">
        <f>AP26+274200</f>
        <v>1239508</v>
      </c>
      <c r="AT26" s="619">
        <f t="shared" si="140"/>
        <v>0</v>
      </c>
      <c r="AU26" s="618">
        <f t="shared" si="125"/>
        <v>1239508</v>
      </c>
      <c r="AV26" s="619">
        <v>2479</v>
      </c>
      <c r="AW26" s="654" t="s">
        <v>1518</v>
      </c>
      <c r="AX26" s="619">
        <f>2416253+17513</f>
        <v>2433766</v>
      </c>
      <c r="AY26" s="619">
        <v>0</v>
      </c>
      <c r="AZ26" s="618">
        <f t="shared" si="126"/>
        <v>2433766</v>
      </c>
      <c r="BA26" s="619">
        <v>4591</v>
      </c>
      <c r="BB26" s="654"/>
      <c r="BC26" s="619">
        <v>1358116</v>
      </c>
      <c r="BD26" s="619">
        <v>0</v>
      </c>
      <c r="BE26" s="618">
        <f t="shared" si="127"/>
        <v>1358116</v>
      </c>
      <c r="BF26" s="619">
        <v>2581</v>
      </c>
      <c r="BG26" s="618"/>
      <c r="BH26" s="619">
        <f t="shared" si="141"/>
        <v>5031390</v>
      </c>
      <c r="BI26" s="619">
        <f t="shared" si="141"/>
        <v>0</v>
      </c>
      <c r="BJ26" s="618">
        <f t="shared" si="128"/>
        <v>5031390</v>
      </c>
      <c r="BK26" s="618">
        <f t="shared" si="74"/>
        <v>9651</v>
      </c>
      <c r="BL26" s="598" t="s">
        <v>1519</v>
      </c>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row>
    <row r="27" spans="1:179" s="9" customFormat="1" ht="114" customHeight="1">
      <c r="A27" s="522" t="s">
        <v>49</v>
      </c>
      <c r="B27" s="522" t="s">
        <v>207</v>
      </c>
      <c r="C27" s="618">
        <v>1001494.997196</v>
      </c>
      <c r="D27" s="618">
        <v>1001494.997196</v>
      </c>
      <c r="E27" s="618">
        <v>0</v>
      </c>
      <c r="F27" s="618">
        <v>0</v>
      </c>
      <c r="G27" s="618">
        <v>1001494.997196</v>
      </c>
      <c r="H27" s="618">
        <v>115903</v>
      </c>
      <c r="I27" s="618">
        <v>0</v>
      </c>
      <c r="J27" s="618">
        <f t="shared" si="129"/>
        <v>115903</v>
      </c>
      <c r="K27" s="618">
        <v>719543.67</v>
      </c>
      <c r="L27" s="618">
        <v>0</v>
      </c>
      <c r="M27" s="618">
        <v>0</v>
      </c>
      <c r="N27" s="618">
        <f t="shared" si="114"/>
        <v>0</v>
      </c>
      <c r="O27" s="619">
        <f t="shared" ref="O27:P27" si="142">L27</f>
        <v>0</v>
      </c>
      <c r="P27" s="619">
        <f t="shared" si="142"/>
        <v>0</v>
      </c>
      <c r="Q27" s="618">
        <f t="shared" si="115"/>
        <v>0</v>
      </c>
      <c r="R27" s="619">
        <f t="shared" ref="R27:S27" si="143">O27</f>
        <v>0</v>
      </c>
      <c r="S27" s="619">
        <f t="shared" si="143"/>
        <v>0</v>
      </c>
      <c r="T27" s="618">
        <f t="shared" si="116"/>
        <v>0</v>
      </c>
      <c r="U27" s="619">
        <f t="shared" ref="U27:V27" si="144">R27</f>
        <v>0</v>
      </c>
      <c r="V27" s="619">
        <f t="shared" si="144"/>
        <v>0</v>
      </c>
      <c r="W27" s="618">
        <f t="shared" si="117"/>
        <v>0</v>
      </c>
      <c r="X27" s="619">
        <f>U27</f>
        <v>0</v>
      </c>
      <c r="Y27" s="619">
        <f t="shared" si="133"/>
        <v>0</v>
      </c>
      <c r="Z27" s="618">
        <f t="shared" si="118"/>
        <v>0</v>
      </c>
      <c r="AA27" s="619">
        <f>X27+144573</f>
        <v>144573</v>
      </c>
      <c r="AB27" s="619">
        <f t="shared" si="134"/>
        <v>0</v>
      </c>
      <c r="AC27" s="618">
        <f t="shared" si="119"/>
        <v>144573</v>
      </c>
      <c r="AD27" s="619">
        <f>AA27+25513</f>
        <v>170086</v>
      </c>
      <c r="AE27" s="619">
        <f t="shared" si="135"/>
        <v>0</v>
      </c>
      <c r="AF27" s="618">
        <f t="shared" si="120"/>
        <v>170086</v>
      </c>
      <c r="AG27" s="619">
        <f t="shared" ref="AG27:AH27" si="145">AD27</f>
        <v>170086</v>
      </c>
      <c r="AH27" s="619">
        <f t="shared" si="145"/>
        <v>0</v>
      </c>
      <c r="AI27" s="618">
        <f t="shared" si="121"/>
        <v>170086</v>
      </c>
      <c r="AJ27" s="619">
        <f t="shared" ref="AJ27:AK27" si="146">AG27</f>
        <v>170086</v>
      </c>
      <c r="AK27" s="619">
        <f t="shared" si="146"/>
        <v>0</v>
      </c>
      <c r="AL27" s="618">
        <f t="shared" si="122"/>
        <v>170086</v>
      </c>
      <c r="AM27" s="619">
        <f>AJ27+54566</f>
        <v>224652</v>
      </c>
      <c r="AN27" s="619">
        <f t="shared" si="138"/>
        <v>0</v>
      </c>
      <c r="AO27" s="618">
        <f t="shared" si="123"/>
        <v>224652</v>
      </c>
      <c r="AP27" s="619">
        <f t="shared" ref="AP27:AQ27" si="147">AM27</f>
        <v>224652</v>
      </c>
      <c r="AQ27" s="619">
        <f t="shared" si="147"/>
        <v>0</v>
      </c>
      <c r="AR27" s="618">
        <f t="shared" si="124"/>
        <v>224652</v>
      </c>
      <c r="AS27" s="619">
        <f t="shared" ref="AS27:AT27" si="148">AP27</f>
        <v>224652</v>
      </c>
      <c r="AT27" s="619">
        <f t="shared" si="148"/>
        <v>0</v>
      </c>
      <c r="AU27" s="618">
        <f t="shared" si="125"/>
        <v>224652</v>
      </c>
      <c r="AV27" s="619">
        <v>450</v>
      </c>
      <c r="AW27" s="654" t="s">
        <v>1520</v>
      </c>
      <c r="AX27" s="619">
        <v>0</v>
      </c>
      <c r="AY27" s="619">
        <v>0</v>
      </c>
      <c r="AZ27" s="618">
        <f t="shared" si="126"/>
        <v>0</v>
      </c>
      <c r="BA27" s="619">
        <v>0</v>
      </c>
      <c r="BB27" s="654"/>
      <c r="BC27" s="619">
        <v>0</v>
      </c>
      <c r="BD27" s="619">
        <v>0</v>
      </c>
      <c r="BE27" s="618">
        <f t="shared" si="127"/>
        <v>0</v>
      </c>
      <c r="BF27" s="619">
        <v>0</v>
      </c>
      <c r="BG27" s="618"/>
      <c r="BH27" s="619">
        <f t="shared" si="141"/>
        <v>224652</v>
      </c>
      <c r="BI27" s="619">
        <f t="shared" si="141"/>
        <v>0</v>
      </c>
      <c r="BJ27" s="618">
        <f t="shared" si="128"/>
        <v>224652</v>
      </c>
      <c r="BK27" s="618">
        <f t="shared" si="74"/>
        <v>450</v>
      </c>
      <c r="BL27" s="598" t="s">
        <v>1521</v>
      </c>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row>
    <row r="28" spans="1:179" s="9" customFormat="1" ht="78" hidden="1" outlineLevel="1">
      <c r="A28" s="522" t="s">
        <v>50</v>
      </c>
      <c r="B28" s="522" t="s">
        <v>208</v>
      </c>
      <c r="C28" s="618">
        <v>0</v>
      </c>
      <c r="D28" s="618">
        <v>0</v>
      </c>
      <c r="E28" s="618">
        <v>0</v>
      </c>
      <c r="F28" s="618">
        <v>0</v>
      </c>
      <c r="G28" s="618">
        <v>0</v>
      </c>
      <c r="H28" s="618">
        <v>0</v>
      </c>
      <c r="I28" s="618">
        <v>0</v>
      </c>
      <c r="J28" s="618">
        <f t="shared" si="129"/>
        <v>0</v>
      </c>
      <c r="K28" s="618">
        <v>0</v>
      </c>
      <c r="L28" s="618">
        <v>0</v>
      </c>
      <c r="M28" s="618">
        <v>0</v>
      </c>
      <c r="N28" s="618">
        <f t="shared" si="114"/>
        <v>0</v>
      </c>
      <c r="O28" s="618">
        <v>0</v>
      </c>
      <c r="P28" s="618">
        <v>0</v>
      </c>
      <c r="Q28" s="618">
        <f t="shared" si="115"/>
        <v>0</v>
      </c>
      <c r="R28" s="618">
        <v>0</v>
      </c>
      <c r="S28" s="618">
        <v>0</v>
      </c>
      <c r="T28" s="618">
        <f t="shared" si="116"/>
        <v>0</v>
      </c>
      <c r="U28" s="618">
        <v>0</v>
      </c>
      <c r="V28" s="618">
        <v>0</v>
      </c>
      <c r="W28" s="618">
        <f t="shared" si="117"/>
        <v>0</v>
      </c>
      <c r="X28" s="618">
        <v>0</v>
      </c>
      <c r="Y28" s="618">
        <v>0</v>
      </c>
      <c r="Z28" s="618">
        <f t="shared" si="118"/>
        <v>0</v>
      </c>
      <c r="AA28" s="618">
        <v>0</v>
      </c>
      <c r="AB28" s="618">
        <v>0</v>
      </c>
      <c r="AC28" s="618">
        <f t="shared" si="119"/>
        <v>0</v>
      </c>
      <c r="AD28" s="618">
        <v>0</v>
      </c>
      <c r="AE28" s="618">
        <v>0</v>
      </c>
      <c r="AF28" s="618">
        <f t="shared" si="120"/>
        <v>0</v>
      </c>
      <c r="AG28" s="618">
        <v>0</v>
      </c>
      <c r="AH28" s="618">
        <v>0</v>
      </c>
      <c r="AI28" s="618">
        <f t="shared" si="121"/>
        <v>0</v>
      </c>
      <c r="AJ28" s="618">
        <v>0</v>
      </c>
      <c r="AK28" s="618">
        <v>0</v>
      </c>
      <c r="AL28" s="618">
        <f t="shared" si="122"/>
        <v>0</v>
      </c>
      <c r="AM28" s="618">
        <v>0</v>
      </c>
      <c r="AN28" s="618">
        <v>0</v>
      </c>
      <c r="AO28" s="618">
        <f t="shared" si="123"/>
        <v>0</v>
      </c>
      <c r="AP28" s="618">
        <v>0</v>
      </c>
      <c r="AQ28" s="618">
        <v>0</v>
      </c>
      <c r="AR28" s="618">
        <f t="shared" si="124"/>
        <v>0</v>
      </c>
      <c r="AS28" s="618">
        <v>0</v>
      </c>
      <c r="AT28" s="618">
        <v>0</v>
      </c>
      <c r="AU28" s="618">
        <f t="shared" si="125"/>
        <v>0</v>
      </c>
      <c r="AV28" s="618">
        <v>0</v>
      </c>
      <c r="AW28" s="654">
        <v>0</v>
      </c>
      <c r="AX28" s="618">
        <v>0</v>
      </c>
      <c r="AY28" s="618">
        <v>0</v>
      </c>
      <c r="AZ28" s="618">
        <f t="shared" si="126"/>
        <v>0</v>
      </c>
      <c r="BA28" s="618">
        <v>0</v>
      </c>
      <c r="BB28" s="654">
        <v>0</v>
      </c>
      <c r="BC28" s="618">
        <v>0</v>
      </c>
      <c r="BD28" s="618">
        <v>0</v>
      </c>
      <c r="BE28" s="618">
        <f t="shared" si="127"/>
        <v>0</v>
      </c>
      <c r="BF28" s="618">
        <v>0</v>
      </c>
      <c r="BG28" s="618"/>
      <c r="BH28" s="618">
        <v>0</v>
      </c>
      <c r="BI28" s="618">
        <v>0</v>
      </c>
      <c r="BJ28" s="618">
        <f t="shared" si="128"/>
        <v>0</v>
      </c>
      <c r="BK28" s="618">
        <f t="shared" si="74"/>
        <v>0</v>
      </c>
      <c r="BL28" s="551"/>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row>
    <row r="29" spans="1:179" s="9" customFormat="1" ht="135.75" customHeight="1" collapsed="1">
      <c r="A29" s="522" t="s">
        <v>51</v>
      </c>
      <c r="B29" s="522" t="s">
        <v>209</v>
      </c>
      <c r="C29" s="618">
        <v>2393420</v>
      </c>
      <c r="D29" s="618">
        <v>2393420</v>
      </c>
      <c r="E29" s="618">
        <v>0</v>
      </c>
      <c r="F29" s="618">
        <v>0</v>
      </c>
      <c r="G29" s="618">
        <v>2393420</v>
      </c>
      <c r="H29" s="618">
        <v>1546553</v>
      </c>
      <c r="I29" s="618">
        <v>0</v>
      </c>
      <c r="J29" s="618">
        <f t="shared" si="129"/>
        <v>1546553</v>
      </c>
      <c r="K29" s="618">
        <v>470669.48</v>
      </c>
      <c r="L29" s="618">
        <v>0</v>
      </c>
      <c r="M29" s="618">
        <v>0</v>
      </c>
      <c r="N29" s="618">
        <f t="shared" si="114"/>
        <v>0</v>
      </c>
      <c r="O29" s="619">
        <v>0</v>
      </c>
      <c r="P29" s="619">
        <v>0</v>
      </c>
      <c r="Q29" s="618">
        <f t="shared" si="115"/>
        <v>0</v>
      </c>
      <c r="R29" s="619">
        <v>0</v>
      </c>
      <c r="S29" s="619">
        <v>0</v>
      </c>
      <c r="T29" s="618">
        <f t="shared" si="116"/>
        <v>0</v>
      </c>
      <c r="U29" s="619">
        <v>56113</v>
      </c>
      <c r="V29" s="619">
        <v>0</v>
      </c>
      <c r="W29" s="618">
        <f t="shared" si="117"/>
        <v>56113</v>
      </c>
      <c r="X29" s="619">
        <v>56113</v>
      </c>
      <c r="Y29" s="619">
        <v>0</v>
      </c>
      <c r="Z29" s="618">
        <f t="shared" si="118"/>
        <v>56113</v>
      </c>
      <c r="AA29" s="619">
        <v>56113</v>
      </c>
      <c r="AB29" s="619">
        <v>0</v>
      </c>
      <c r="AC29" s="618">
        <f t="shared" si="119"/>
        <v>56113</v>
      </c>
      <c r="AD29" s="619">
        <v>56113</v>
      </c>
      <c r="AE29" s="619">
        <v>0</v>
      </c>
      <c r="AF29" s="618">
        <f t="shared" si="120"/>
        <v>56113</v>
      </c>
      <c r="AG29" s="619">
        <v>231001</v>
      </c>
      <c r="AH29" s="619">
        <v>0</v>
      </c>
      <c r="AI29" s="618">
        <f t="shared" si="121"/>
        <v>231001</v>
      </c>
      <c r="AJ29" s="619">
        <v>231001</v>
      </c>
      <c r="AK29" s="619">
        <v>0</v>
      </c>
      <c r="AL29" s="618">
        <f t="shared" si="122"/>
        <v>231001</v>
      </c>
      <c r="AM29" s="619">
        <v>231001</v>
      </c>
      <c r="AN29" s="619">
        <v>0</v>
      </c>
      <c r="AO29" s="618">
        <f t="shared" si="123"/>
        <v>231001</v>
      </c>
      <c r="AP29" s="619">
        <v>231001</v>
      </c>
      <c r="AQ29" s="619">
        <v>0</v>
      </c>
      <c r="AR29" s="618">
        <f t="shared" si="124"/>
        <v>231001</v>
      </c>
      <c r="AS29" s="619">
        <v>330297</v>
      </c>
      <c r="AT29" s="619">
        <v>0</v>
      </c>
      <c r="AU29" s="618">
        <f t="shared" si="125"/>
        <v>330297</v>
      </c>
      <c r="AV29" s="619">
        <v>0</v>
      </c>
      <c r="AW29" s="654" t="s">
        <v>1522</v>
      </c>
      <c r="AX29" s="619">
        <v>1382818</v>
      </c>
      <c r="AY29" s="619">
        <v>0</v>
      </c>
      <c r="AZ29" s="618">
        <f t="shared" si="126"/>
        <v>1382818</v>
      </c>
      <c r="BA29" s="619">
        <v>0</v>
      </c>
      <c r="BB29" s="654"/>
      <c r="BC29" s="619">
        <v>209636</v>
      </c>
      <c r="BD29" s="619">
        <v>0</v>
      </c>
      <c r="BE29" s="618">
        <f t="shared" si="127"/>
        <v>209636</v>
      </c>
      <c r="BF29" s="619">
        <v>0</v>
      </c>
      <c r="BG29" s="619"/>
      <c r="BH29" s="619">
        <v>1922751</v>
      </c>
      <c r="BI29" s="619">
        <v>0</v>
      </c>
      <c r="BJ29" s="618">
        <f t="shared" si="128"/>
        <v>1922751</v>
      </c>
      <c r="BK29" s="618">
        <f t="shared" si="74"/>
        <v>0</v>
      </c>
      <c r="BL29" s="597"/>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row>
    <row r="30" spans="1:179" s="9" customFormat="1" ht="114.75" customHeight="1">
      <c r="A30" s="522" t="s">
        <v>52</v>
      </c>
      <c r="B30" s="522" t="s">
        <v>210</v>
      </c>
      <c r="C30" s="618">
        <v>5425034</v>
      </c>
      <c r="D30" s="618">
        <v>5425034</v>
      </c>
      <c r="E30" s="618">
        <v>0</v>
      </c>
      <c r="F30" s="618">
        <v>0</v>
      </c>
      <c r="G30" s="618">
        <v>5425034</v>
      </c>
      <c r="H30" s="618">
        <v>909171</v>
      </c>
      <c r="I30" s="618">
        <v>52786</v>
      </c>
      <c r="J30" s="618">
        <f t="shared" si="129"/>
        <v>961957</v>
      </c>
      <c r="K30" s="618">
        <v>3667148.3200000003</v>
      </c>
      <c r="L30" s="618">
        <v>0</v>
      </c>
      <c r="M30" s="618">
        <v>0</v>
      </c>
      <c r="N30" s="618">
        <f t="shared" si="114"/>
        <v>0</v>
      </c>
      <c r="O30" s="619">
        <f>L30+59669</f>
        <v>59669</v>
      </c>
      <c r="P30" s="619">
        <f t="shared" ref="P30:P31" si="149">M30</f>
        <v>0</v>
      </c>
      <c r="Q30" s="618">
        <f t="shared" si="115"/>
        <v>59669</v>
      </c>
      <c r="R30" s="619">
        <f t="shared" ref="R30:S31" si="150">O30</f>
        <v>59669</v>
      </c>
      <c r="S30" s="619">
        <f t="shared" si="150"/>
        <v>0</v>
      </c>
      <c r="T30" s="618">
        <f t="shared" si="116"/>
        <v>59669</v>
      </c>
      <c r="U30" s="619">
        <f t="shared" ref="U30:V31" si="151">R30</f>
        <v>59669</v>
      </c>
      <c r="V30" s="619">
        <f t="shared" si="151"/>
        <v>0</v>
      </c>
      <c r="W30" s="618">
        <f t="shared" si="117"/>
        <v>59669</v>
      </c>
      <c r="X30" s="619">
        <f>U30+15856</f>
        <v>75525</v>
      </c>
      <c r="Y30" s="619">
        <f t="shared" ref="Y30" si="152">V30</f>
        <v>0</v>
      </c>
      <c r="Z30" s="618">
        <f t="shared" si="118"/>
        <v>75525</v>
      </c>
      <c r="AA30" s="619">
        <f t="shared" ref="AA30:AB31" si="153">X30</f>
        <v>75525</v>
      </c>
      <c r="AB30" s="619">
        <f t="shared" si="153"/>
        <v>0</v>
      </c>
      <c r="AC30" s="618">
        <f t="shared" si="119"/>
        <v>75525</v>
      </c>
      <c r="AD30" s="619">
        <f t="shared" ref="AD30:AE31" si="154">AA30</f>
        <v>75525</v>
      </c>
      <c r="AE30" s="619">
        <f t="shared" si="154"/>
        <v>0</v>
      </c>
      <c r="AF30" s="618">
        <f t="shared" si="120"/>
        <v>75525</v>
      </c>
      <c r="AG30" s="619">
        <f t="shared" ref="AG30:AH31" si="155">AD30</f>
        <v>75525</v>
      </c>
      <c r="AH30" s="619">
        <f t="shared" si="155"/>
        <v>0</v>
      </c>
      <c r="AI30" s="618">
        <f t="shared" si="121"/>
        <v>75525</v>
      </c>
      <c r="AJ30" s="619">
        <f>AG30+405761</f>
        <v>481286</v>
      </c>
      <c r="AK30" s="619">
        <f t="shared" ref="AK30" si="156">AH30</f>
        <v>0</v>
      </c>
      <c r="AL30" s="618">
        <f t="shared" si="122"/>
        <v>481286</v>
      </c>
      <c r="AM30" s="619">
        <f t="shared" ref="AM30:AN31" si="157">AJ30</f>
        <v>481286</v>
      </c>
      <c r="AN30" s="619">
        <f t="shared" si="157"/>
        <v>0</v>
      </c>
      <c r="AO30" s="618">
        <f t="shared" si="123"/>
        <v>481286</v>
      </c>
      <c r="AP30" s="619">
        <f>AM30+49752</f>
        <v>531038</v>
      </c>
      <c r="AQ30" s="619">
        <f t="shared" ref="AQ30" si="158">AN30</f>
        <v>0</v>
      </c>
      <c r="AR30" s="618">
        <f t="shared" si="124"/>
        <v>531038</v>
      </c>
      <c r="AS30" s="619">
        <f>AP30+195481</f>
        <v>726519</v>
      </c>
      <c r="AT30" s="619">
        <f t="shared" ref="AT30:AT31" si="159">AQ30</f>
        <v>0</v>
      </c>
      <c r="AU30" s="618">
        <f t="shared" si="125"/>
        <v>726519</v>
      </c>
      <c r="AV30" s="619">
        <v>53127</v>
      </c>
      <c r="AW30" s="654" t="s">
        <v>1520</v>
      </c>
      <c r="AX30" s="619">
        <f>252658+(181630+456448)</f>
        <v>890736</v>
      </c>
      <c r="AY30" s="619">
        <v>0</v>
      </c>
      <c r="AZ30" s="618">
        <f t="shared" si="126"/>
        <v>890736</v>
      </c>
      <c r="BA30" s="619">
        <v>14781</v>
      </c>
      <c r="BB30" s="654"/>
      <c r="BC30" s="619">
        <v>0</v>
      </c>
      <c r="BD30" s="619">
        <v>0</v>
      </c>
      <c r="BE30" s="618">
        <f t="shared" si="127"/>
        <v>0</v>
      </c>
      <c r="BF30" s="619">
        <v>0</v>
      </c>
      <c r="BG30" s="618"/>
      <c r="BH30" s="619">
        <f t="shared" ref="BH30:BI31" si="160">BC30+AX30+AS30</f>
        <v>1617255</v>
      </c>
      <c r="BI30" s="619">
        <f t="shared" si="160"/>
        <v>0</v>
      </c>
      <c r="BJ30" s="618">
        <f t="shared" si="128"/>
        <v>1617255</v>
      </c>
      <c r="BK30" s="618">
        <f t="shared" si="74"/>
        <v>67908</v>
      </c>
      <c r="BL30" s="598" t="s">
        <v>1523</v>
      </c>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row>
    <row r="31" spans="1:179" s="9" customFormat="1" ht="120.75" customHeight="1">
      <c r="A31" s="522" t="s">
        <v>53</v>
      </c>
      <c r="B31" s="522" t="s">
        <v>211</v>
      </c>
      <c r="C31" s="618">
        <v>10170874</v>
      </c>
      <c r="D31" s="618">
        <v>10170874</v>
      </c>
      <c r="E31" s="618">
        <v>509500</v>
      </c>
      <c r="F31" s="618">
        <v>447646.7</v>
      </c>
      <c r="G31" s="618">
        <v>10618520.699999999</v>
      </c>
      <c r="H31" s="618">
        <v>1032279</v>
      </c>
      <c r="I31" s="618">
        <v>872721</v>
      </c>
      <c r="J31" s="618">
        <f t="shared" si="129"/>
        <v>1905000</v>
      </c>
      <c r="K31" s="618">
        <v>4678258.54</v>
      </c>
      <c r="L31" s="618">
        <v>4128</v>
      </c>
      <c r="M31" s="618">
        <v>0</v>
      </c>
      <c r="N31" s="618">
        <f t="shared" si="114"/>
        <v>4128</v>
      </c>
      <c r="O31" s="619">
        <f>L31+12535</f>
        <v>16663</v>
      </c>
      <c r="P31" s="619">
        <f t="shared" si="149"/>
        <v>0</v>
      </c>
      <c r="Q31" s="618">
        <f t="shared" si="115"/>
        <v>16663</v>
      </c>
      <c r="R31" s="619">
        <f t="shared" si="150"/>
        <v>16663</v>
      </c>
      <c r="S31" s="619">
        <f t="shared" si="150"/>
        <v>0</v>
      </c>
      <c r="T31" s="618">
        <f t="shared" si="116"/>
        <v>16663</v>
      </c>
      <c r="U31" s="619">
        <f>R31+279293</f>
        <v>295956</v>
      </c>
      <c r="V31" s="619">
        <f t="shared" si="151"/>
        <v>0</v>
      </c>
      <c r="W31" s="618">
        <f t="shared" si="117"/>
        <v>295956</v>
      </c>
      <c r="X31" s="619">
        <f t="shared" ref="X31:Y31" si="161">U31</f>
        <v>295956</v>
      </c>
      <c r="Y31" s="619">
        <f t="shared" si="161"/>
        <v>0</v>
      </c>
      <c r="Z31" s="618">
        <f t="shared" si="118"/>
        <v>295956</v>
      </c>
      <c r="AA31" s="619">
        <f t="shared" si="153"/>
        <v>295956</v>
      </c>
      <c r="AB31" s="619">
        <f t="shared" si="153"/>
        <v>0</v>
      </c>
      <c r="AC31" s="618">
        <f t="shared" si="119"/>
        <v>295956</v>
      </c>
      <c r="AD31" s="619">
        <f t="shared" si="154"/>
        <v>295956</v>
      </c>
      <c r="AE31" s="619">
        <f t="shared" si="154"/>
        <v>0</v>
      </c>
      <c r="AF31" s="618">
        <f t="shared" si="120"/>
        <v>295956</v>
      </c>
      <c r="AG31" s="619">
        <f>AD31+326689</f>
        <v>622645</v>
      </c>
      <c r="AH31" s="619">
        <f t="shared" si="155"/>
        <v>0</v>
      </c>
      <c r="AI31" s="618">
        <f t="shared" si="121"/>
        <v>622645</v>
      </c>
      <c r="AJ31" s="619">
        <f t="shared" ref="AJ31:AK31" si="162">AG31</f>
        <v>622645</v>
      </c>
      <c r="AK31" s="619">
        <f t="shared" si="162"/>
        <v>0</v>
      </c>
      <c r="AL31" s="618">
        <f t="shared" si="122"/>
        <v>622645</v>
      </c>
      <c r="AM31" s="619">
        <f t="shared" si="157"/>
        <v>622645</v>
      </c>
      <c r="AN31" s="619">
        <f t="shared" si="157"/>
        <v>0</v>
      </c>
      <c r="AO31" s="618">
        <f t="shared" si="123"/>
        <v>622645</v>
      </c>
      <c r="AP31" s="619">
        <f t="shared" ref="AP31" si="163">AM31</f>
        <v>622645</v>
      </c>
      <c r="AQ31" s="619">
        <f>AN31+44765</f>
        <v>44765</v>
      </c>
      <c r="AR31" s="618">
        <f t="shared" si="124"/>
        <v>667410</v>
      </c>
      <c r="AS31" s="619">
        <f>AP31+450037</f>
        <v>1072682</v>
      </c>
      <c r="AT31" s="619">
        <f t="shared" si="159"/>
        <v>44765</v>
      </c>
      <c r="AU31" s="618">
        <f t="shared" si="125"/>
        <v>1117447</v>
      </c>
      <c r="AV31" s="619">
        <v>81962</v>
      </c>
      <c r="AW31" s="654" t="s">
        <v>1524</v>
      </c>
      <c r="AX31" s="619">
        <f>1537942+(477138+374181)</f>
        <v>2389261</v>
      </c>
      <c r="AY31" s="619">
        <v>201441</v>
      </c>
      <c r="AZ31" s="618">
        <f t="shared" si="126"/>
        <v>2590702</v>
      </c>
      <c r="BA31" s="619">
        <v>89405</v>
      </c>
      <c r="BB31" s="654"/>
      <c r="BC31" s="619">
        <v>1369183</v>
      </c>
      <c r="BD31" s="619">
        <v>201440</v>
      </c>
      <c r="BE31" s="618">
        <f t="shared" si="127"/>
        <v>1570623</v>
      </c>
      <c r="BF31" s="619">
        <v>80731</v>
      </c>
      <c r="BG31" s="618"/>
      <c r="BH31" s="619">
        <f t="shared" si="160"/>
        <v>4831126</v>
      </c>
      <c r="BI31" s="619">
        <f t="shared" si="160"/>
        <v>447646</v>
      </c>
      <c r="BJ31" s="618">
        <f t="shared" si="128"/>
        <v>5278772</v>
      </c>
      <c r="BK31" s="618">
        <f t="shared" si="74"/>
        <v>252098</v>
      </c>
      <c r="BL31" s="598" t="s">
        <v>1525</v>
      </c>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row>
    <row r="32" spans="1:179" s="9" customFormat="1" ht="102" customHeight="1">
      <c r="A32" s="522" t="s">
        <v>54</v>
      </c>
      <c r="B32" s="522" t="s">
        <v>212</v>
      </c>
      <c r="C32" s="618">
        <v>21956827</v>
      </c>
      <c r="D32" s="618">
        <v>21956827</v>
      </c>
      <c r="E32" s="618">
        <v>3790500</v>
      </c>
      <c r="F32" s="618">
        <v>3221925</v>
      </c>
      <c r="G32" s="618">
        <v>25178752</v>
      </c>
      <c r="H32" s="618">
        <v>3397608</v>
      </c>
      <c r="I32" s="618">
        <v>1549063</v>
      </c>
      <c r="J32" s="618">
        <f t="shared" si="129"/>
        <v>4946671</v>
      </c>
      <c r="K32" s="618">
        <v>16173482.869999999</v>
      </c>
      <c r="L32" s="618">
        <v>1293575</v>
      </c>
      <c r="M32" s="618">
        <v>0</v>
      </c>
      <c r="N32" s="618">
        <f t="shared" si="114"/>
        <v>1293575</v>
      </c>
      <c r="O32" s="619">
        <v>1293575</v>
      </c>
      <c r="P32" s="619">
        <v>0</v>
      </c>
      <c r="Q32" s="618">
        <f t="shared" si="115"/>
        <v>1293575</v>
      </c>
      <c r="R32" s="619">
        <v>1293575</v>
      </c>
      <c r="S32" s="619">
        <v>0</v>
      </c>
      <c r="T32" s="618">
        <f t="shared" si="116"/>
        <v>1293575</v>
      </c>
      <c r="U32" s="619">
        <v>1293575</v>
      </c>
      <c r="V32" s="619">
        <v>0</v>
      </c>
      <c r="W32" s="618">
        <f t="shared" si="117"/>
        <v>1293575</v>
      </c>
      <c r="X32" s="619">
        <v>1293575</v>
      </c>
      <c r="Y32" s="619">
        <v>0</v>
      </c>
      <c r="Z32" s="618">
        <f t="shared" si="118"/>
        <v>1293575</v>
      </c>
      <c r="AA32" s="619">
        <v>1293575</v>
      </c>
      <c r="AB32" s="619">
        <v>0</v>
      </c>
      <c r="AC32" s="618">
        <f t="shared" si="119"/>
        <v>1293575</v>
      </c>
      <c r="AD32" s="619">
        <v>3003348</v>
      </c>
      <c r="AE32" s="619">
        <v>0</v>
      </c>
      <c r="AF32" s="618">
        <f t="shared" si="120"/>
        <v>3003348</v>
      </c>
      <c r="AG32" s="619">
        <v>3003348</v>
      </c>
      <c r="AH32" s="619">
        <v>0</v>
      </c>
      <c r="AI32" s="618">
        <f t="shared" si="121"/>
        <v>3003348</v>
      </c>
      <c r="AJ32" s="619">
        <v>3003348</v>
      </c>
      <c r="AK32" s="619">
        <v>0</v>
      </c>
      <c r="AL32" s="618">
        <f t="shared" si="122"/>
        <v>3003348</v>
      </c>
      <c r="AM32" s="619">
        <v>3003348</v>
      </c>
      <c r="AN32" s="619">
        <v>0</v>
      </c>
      <c r="AO32" s="618">
        <f t="shared" si="123"/>
        <v>3003348</v>
      </c>
      <c r="AP32" s="619">
        <v>3003348</v>
      </c>
      <c r="AQ32" s="619">
        <v>0</v>
      </c>
      <c r="AR32" s="618">
        <f t="shared" si="124"/>
        <v>3003348</v>
      </c>
      <c r="AS32" s="619">
        <v>4383474</v>
      </c>
      <c r="AT32" s="619">
        <v>947783</v>
      </c>
      <c r="AU32" s="618">
        <f t="shared" si="125"/>
        <v>5331257</v>
      </c>
      <c r="AV32" s="619">
        <v>7191</v>
      </c>
      <c r="AW32" s="654" t="s">
        <v>1526</v>
      </c>
      <c r="AX32" s="619">
        <v>1386068</v>
      </c>
      <c r="AY32" s="619">
        <v>1056638</v>
      </c>
      <c r="AZ32" s="618">
        <f t="shared" si="126"/>
        <v>2442706</v>
      </c>
      <c r="BA32" s="619">
        <v>1163</v>
      </c>
      <c r="BB32" s="654"/>
      <c r="BC32" s="619">
        <v>0</v>
      </c>
      <c r="BD32" s="619">
        <v>1217504</v>
      </c>
      <c r="BE32" s="618">
        <f t="shared" si="127"/>
        <v>1217504</v>
      </c>
      <c r="BF32" s="619">
        <v>1340</v>
      </c>
      <c r="BG32" s="619"/>
      <c r="BH32" s="619">
        <v>5769542</v>
      </c>
      <c r="BI32" s="619">
        <v>3221925</v>
      </c>
      <c r="BJ32" s="618">
        <f t="shared" si="128"/>
        <v>8991467</v>
      </c>
      <c r="BK32" s="618">
        <f t="shared" si="74"/>
        <v>9694</v>
      </c>
      <c r="BL32" s="598" t="s">
        <v>1527</v>
      </c>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row>
    <row r="33" spans="1:179" s="9" customFormat="1" ht="136.5" hidden="1" outlineLevel="1">
      <c r="A33" s="522" t="s">
        <v>55</v>
      </c>
      <c r="B33" s="522" t="s">
        <v>213</v>
      </c>
      <c r="C33" s="618">
        <v>4203764</v>
      </c>
      <c r="D33" s="618">
        <v>4203764</v>
      </c>
      <c r="E33" s="618">
        <v>0</v>
      </c>
      <c r="F33" s="618">
        <v>0</v>
      </c>
      <c r="G33" s="618">
        <v>4203764</v>
      </c>
      <c r="H33" s="618">
        <v>0</v>
      </c>
      <c r="I33" s="618">
        <v>0</v>
      </c>
      <c r="J33" s="618">
        <f t="shared" si="129"/>
        <v>0</v>
      </c>
      <c r="K33" s="618">
        <v>4146997.76</v>
      </c>
      <c r="L33" s="618">
        <v>0</v>
      </c>
      <c r="M33" s="618">
        <v>0</v>
      </c>
      <c r="N33" s="618">
        <f t="shared" si="114"/>
        <v>0</v>
      </c>
      <c r="O33" s="619">
        <f t="shared" ref="O33:P35" si="164">L33</f>
        <v>0</v>
      </c>
      <c r="P33" s="619">
        <f t="shared" si="164"/>
        <v>0</v>
      </c>
      <c r="Q33" s="618">
        <f t="shared" si="115"/>
        <v>0</v>
      </c>
      <c r="R33" s="619">
        <f t="shared" ref="R33:S35" si="165">O33</f>
        <v>0</v>
      </c>
      <c r="S33" s="619">
        <f t="shared" si="165"/>
        <v>0</v>
      </c>
      <c r="T33" s="618">
        <f t="shared" si="116"/>
        <v>0</v>
      </c>
      <c r="U33" s="619">
        <f t="shared" ref="U33:V35" si="166">R33</f>
        <v>0</v>
      </c>
      <c r="V33" s="619">
        <f t="shared" si="166"/>
        <v>0</v>
      </c>
      <c r="W33" s="618">
        <f t="shared" si="117"/>
        <v>0</v>
      </c>
      <c r="X33" s="619">
        <f t="shared" ref="X33:Y35" si="167">U33</f>
        <v>0</v>
      </c>
      <c r="Y33" s="619">
        <f t="shared" si="167"/>
        <v>0</v>
      </c>
      <c r="Z33" s="618">
        <f t="shared" si="118"/>
        <v>0</v>
      </c>
      <c r="AA33" s="619">
        <f t="shared" ref="AA33:AB35" si="168">X33</f>
        <v>0</v>
      </c>
      <c r="AB33" s="619">
        <f t="shared" si="168"/>
        <v>0</v>
      </c>
      <c r="AC33" s="618">
        <f t="shared" si="119"/>
        <v>0</v>
      </c>
      <c r="AD33" s="619">
        <f t="shared" ref="AD33:AE35" si="169">AA33</f>
        <v>0</v>
      </c>
      <c r="AE33" s="619">
        <f t="shared" si="169"/>
        <v>0</v>
      </c>
      <c r="AF33" s="618">
        <f t="shared" si="120"/>
        <v>0</v>
      </c>
      <c r="AG33" s="619">
        <f t="shared" ref="AG33:AH35" si="170">AD33</f>
        <v>0</v>
      </c>
      <c r="AH33" s="619">
        <f t="shared" si="170"/>
        <v>0</v>
      </c>
      <c r="AI33" s="618">
        <f t="shared" si="121"/>
        <v>0</v>
      </c>
      <c r="AJ33" s="619">
        <f t="shared" ref="AJ33:AK35" si="171">AG33</f>
        <v>0</v>
      </c>
      <c r="AK33" s="619">
        <f t="shared" si="171"/>
        <v>0</v>
      </c>
      <c r="AL33" s="618">
        <f t="shared" si="122"/>
        <v>0</v>
      </c>
      <c r="AM33" s="619">
        <f t="shared" ref="AM33:AN35" si="172">AJ33</f>
        <v>0</v>
      </c>
      <c r="AN33" s="619">
        <f t="shared" si="172"/>
        <v>0</v>
      </c>
      <c r="AO33" s="618">
        <f t="shared" si="123"/>
        <v>0</v>
      </c>
      <c r="AP33" s="619">
        <f t="shared" ref="AP33:AQ35" si="173">AM33</f>
        <v>0</v>
      </c>
      <c r="AQ33" s="619">
        <f t="shared" si="173"/>
        <v>0</v>
      </c>
      <c r="AR33" s="618">
        <f t="shared" si="124"/>
        <v>0</v>
      </c>
      <c r="AS33" s="619">
        <f t="shared" ref="AS33:AT35" si="174">AP33</f>
        <v>0</v>
      </c>
      <c r="AT33" s="619">
        <f t="shared" si="174"/>
        <v>0</v>
      </c>
      <c r="AU33" s="618">
        <f t="shared" si="125"/>
        <v>0</v>
      </c>
      <c r="AV33" s="619">
        <v>0</v>
      </c>
      <c r="AW33" s="654"/>
      <c r="AX33" s="619">
        <v>0</v>
      </c>
      <c r="AY33" s="619">
        <v>0</v>
      </c>
      <c r="AZ33" s="618">
        <f t="shared" si="126"/>
        <v>0</v>
      </c>
      <c r="BA33" s="619">
        <v>0</v>
      </c>
      <c r="BB33" s="654"/>
      <c r="BC33" s="619">
        <v>0</v>
      </c>
      <c r="BD33" s="619">
        <v>0</v>
      </c>
      <c r="BE33" s="618">
        <f t="shared" si="127"/>
        <v>0</v>
      </c>
      <c r="BF33" s="619">
        <v>0</v>
      </c>
      <c r="BG33" s="618"/>
      <c r="BH33" s="619">
        <f t="shared" ref="BH33:BI35" si="175">BC33+AX33+AS33</f>
        <v>0</v>
      </c>
      <c r="BI33" s="619">
        <f t="shared" si="175"/>
        <v>0</v>
      </c>
      <c r="BJ33" s="618">
        <f t="shared" si="128"/>
        <v>0</v>
      </c>
      <c r="BK33" s="618">
        <f t="shared" si="74"/>
        <v>0</v>
      </c>
      <c r="BL33" s="598" t="s">
        <v>1528</v>
      </c>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row>
    <row r="34" spans="1:179" s="9" customFormat="1" ht="115.5" hidden="1" customHeight="1" outlineLevel="1">
      <c r="A34" s="522" t="s">
        <v>56</v>
      </c>
      <c r="B34" s="522" t="s">
        <v>214</v>
      </c>
      <c r="C34" s="618">
        <v>9465542</v>
      </c>
      <c r="D34" s="618">
        <v>9465542</v>
      </c>
      <c r="E34" s="618">
        <v>0</v>
      </c>
      <c r="F34" s="618">
        <v>0</v>
      </c>
      <c r="G34" s="618">
        <v>9465542</v>
      </c>
      <c r="H34" s="618">
        <v>0</v>
      </c>
      <c r="I34" s="618">
        <v>0</v>
      </c>
      <c r="J34" s="618">
        <f t="shared" si="129"/>
        <v>0</v>
      </c>
      <c r="K34" s="618">
        <v>9112797.5500000007</v>
      </c>
      <c r="L34" s="618">
        <v>0</v>
      </c>
      <c r="M34" s="618">
        <v>0</v>
      </c>
      <c r="N34" s="618">
        <f t="shared" si="114"/>
        <v>0</v>
      </c>
      <c r="O34" s="619">
        <f t="shared" si="164"/>
        <v>0</v>
      </c>
      <c r="P34" s="619">
        <f t="shared" si="164"/>
        <v>0</v>
      </c>
      <c r="Q34" s="618">
        <f t="shared" si="115"/>
        <v>0</v>
      </c>
      <c r="R34" s="619">
        <f t="shared" si="165"/>
        <v>0</v>
      </c>
      <c r="S34" s="619">
        <f t="shared" si="165"/>
        <v>0</v>
      </c>
      <c r="T34" s="618">
        <f t="shared" si="116"/>
        <v>0</v>
      </c>
      <c r="U34" s="619">
        <f t="shared" si="166"/>
        <v>0</v>
      </c>
      <c r="V34" s="619">
        <f t="shared" si="166"/>
        <v>0</v>
      </c>
      <c r="W34" s="618">
        <f t="shared" si="117"/>
        <v>0</v>
      </c>
      <c r="X34" s="619">
        <f t="shared" si="167"/>
        <v>0</v>
      </c>
      <c r="Y34" s="619">
        <f t="shared" si="167"/>
        <v>0</v>
      </c>
      <c r="Z34" s="618">
        <f t="shared" si="118"/>
        <v>0</v>
      </c>
      <c r="AA34" s="619">
        <f t="shared" si="168"/>
        <v>0</v>
      </c>
      <c r="AB34" s="619">
        <f t="shared" si="168"/>
        <v>0</v>
      </c>
      <c r="AC34" s="618">
        <f t="shared" si="119"/>
        <v>0</v>
      </c>
      <c r="AD34" s="619">
        <f t="shared" si="169"/>
        <v>0</v>
      </c>
      <c r="AE34" s="619">
        <f t="shared" si="169"/>
        <v>0</v>
      </c>
      <c r="AF34" s="618">
        <f t="shared" si="120"/>
        <v>0</v>
      </c>
      <c r="AG34" s="619">
        <f t="shared" si="170"/>
        <v>0</v>
      </c>
      <c r="AH34" s="619">
        <f t="shared" si="170"/>
        <v>0</v>
      </c>
      <c r="AI34" s="618">
        <f t="shared" si="121"/>
        <v>0</v>
      </c>
      <c r="AJ34" s="619">
        <f t="shared" si="171"/>
        <v>0</v>
      </c>
      <c r="AK34" s="619">
        <f t="shared" si="171"/>
        <v>0</v>
      </c>
      <c r="AL34" s="618">
        <f t="shared" si="122"/>
        <v>0</v>
      </c>
      <c r="AM34" s="619">
        <f t="shared" si="172"/>
        <v>0</v>
      </c>
      <c r="AN34" s="619">
        <f t="shared" si="172"/>
        <v>0</v>
      </c>
      <c r="AO34" s="618">
        <f t="shared" si="123"/>
        <v>0</v>
      </c>
      <c r="AP34" s="619">
        <f t="shared" si="173"/>
        <v>0</v>
      </c>
      <c r="AQ34" s="619">
        <f t="shared" si="173"/>
        <v>0</v>
      </c>
      <c r="AR34" s="618">
        <f t="shared" si="124"/>
        <v>0</v>
      </c>
      <c r="AS34" s="619">
        <f t="shared" si="174"/>
        <v>0</v>
      </c>
      <c r="AT34" s="619">
        <f t="shared" si="174"/>
        <v>0</v>
      </c>
      <c r="AU34" s="618">
        <f t="shared" si="125"/>
        <v>0</v>
      </c>
      <c r="AV34" s="619">
        <v>0</v>
      </c>
      <c r="AW34" s="654"/>
      <c r="AX34" s="619">
        <v>0</v>
      </c>
      <c r="AY34" s="619">
        <v>0</v>
      </c>
      <c r="AZ34" s="618">
        <f t="shared" si="126"/>
        <v>0</v>
      </c>
      <c r="BA34" s="619">
        <v>0</v>
      </c>
      <c r="BB34" s="654"/>
      <c r="BC34" s="619">
        <v>0</v>
      </c>
      <c r="BD34" s="619">
        <v>0</v>
      </c>
      <c r="BE34" s="618">
        <f t="shared" si="127"/>
        <v>0</v>
      </c>
      <c r="BF34" s="619">
        <v>0</v>
      </c>
      <c r="BG34" s="618"/>
      <c r="BH34" s="619">
        <f t="shared" si="175"/>
        <v>0</v>
      </c>
      <c r="BI34" s="619">
        <f t="shared" si="175"/>
        <v>0</v>
      </c>
      <c r="BJ34" s="618">
        <f t="shared" si="128"/>
        <v>0</v>
      </c>
      <c r="BK34" s="618">
        <f t="shared" si="74"/>
        <v>0</v>
      </c>
      <c r="BL34" s="598" t="s">
        <v>1529</v>
      </c>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row>
    <row r="35" spans="1:179" s="9" customFormat="1" ht="114" customHeight="1" collapsed="1">
      <c r="A35" s="522" t="s">
        <v>57</v>
      </c>
      <c r="B35" s="522" t="s">
        <v>215</v>
      </c>
      <c r="C35" s="618">
        <v>3334943</v>
      </c>
      <c r="D35" s="618">
        <v>3334943</v>
      </c>
      <c r="E35" s="618">
        <v>0</v>
      </c>
      <c r="F35" s="618">
        <v>0</v>
      </c>
      <c r="G35" s="618">
        <v>3334943</v>
      </c>
      <c r="H35" s="618">
        <v>1058040</v>
      </c>
      <c r="I35" s="618">
        <v>30735</v>
      </c>
      <c r="J35" s="618">
        <f t="shared" si="129"/>
        <v>1088775</v>
      </c>
      <c r="K35" s="618">
        <v>2066259.74</v>
      </c>
      <c r="L35" s="618">
        <v>0</v>
      </c>
      <c r="M35" s="618">
        <v>0</v>
      </c>
      <c r="N35" s="618">
        <f t="shared" si="114"/>
        <v>0</v>
      </c>
      <c r="O35" s="619">
        <f t="shared" si="164"/>
        <v>0</v>
      </c>
      <c r="P35" s="619">
        <f t="shared" si="164"/>
        <v>0</v>
      </c>
      <c r="Q35" s="618">
        <f t="shared" si="115"/>
        <v>0</v>
      </c>
      <c r="R35" s="619">
        <f t="shared" si="165"/>
        <v>0</v>
      </c>
      <c r="S35" s="619">
        <f t="shared" si="165"/>
        <v>0</v>
      </c>
      <c r="T35" s="618">
        <f t="shared" si="116"/>
        <v>0</v>
      </c>
      <c r="U35" s="619">
        <f t="shared" si="166"/>
        <v>0</v>
      </c>
      <c r="V35" s="619">
        <f t="shared" si="166"/>
        <v>0</v>
      </c>
      <c r="W35" s="618">
        <f t="shared" si="117"/>
        <v>0</v>
      </c>
      <c r="X35" s="619">
        <f>U35+254354</f>
        <v>254354</v>
      </c>
      <c r="Y35" s="619">
        <f t="shared" si="167"/>
        <v>0</v>
      </c>
      <c r="Z35" s="618">
        <f t="shared" si="118"/>
        <v>254354</v>
      </c>
      <c r="AA35" s="619">
        <f t="shared" si="168"/>
        <v>254354</v>
      </c>
      <c r="AB35" s="619">
        <f t="shared" si="168"/>
        <v>0</v>
      </c>
      <c r="AC35" s="618">
        <f t="shared" si="119"/>
        <v>254354</v>
      </c>
      <c r="AD35" s="619">
        <f t="shared" si="169"/>
        <v>254354</v>
      </c>
      <c r="AE35" s="619">
        <f t="shared" si="169"/>
        <v>0</v>
      </c>
      <c r="AF35" s="618">
        <f t="shared" si="120"/>
        <v>254354</v>
      </c>
      <c r="AG35" s="619">
        <f>AD35+56161</f>
        <v>310515</v>
      </c>
      <c r="AH35" s="619">
        <f t="shared" si="170"/>
        <v>0</v>
      </c>
      <c r="AI35" s="618">
        <f t="shared" si="121"/>
        <v>310515</v>
      </c>
      <c r="AJ35" s="619">
        <f t="shared" si="171"/>
        <v>310515</v>
      </c>
      <c r="AK35" s="619">
        <f t="shared" si="171"/>
        <v>0</v>
      </c>
      <c r="AL35" s="618">
        <f t="shared" si="122"/>
        <v>310515</v>
      </c>
      <c r="AM35" s="619">
        <f t="shared" si="172"/>
        <v>310515</v>
      </c>
      <c r="AN35" s="619">
        <f t="shared" si="172"/>
        <v>0</v>
      </c>
      <c r="AO35" s="618">
        <f t="shared" si="123"/>
        <v>310515</v>
      </c>
      <c r="AP35" s="619">
        <f>AM35+287066</f>
        <v>597581</v>
      </c>
      <c r="AQ35" s="619">
        <f t="shared" si="173"/>
        <v>0</v>
      </c>
      <c r="AR35" s="618">
        <f t="shared" si="124"/>
        <v>597581</v>
      </c>
      <c r="AS35" s="619">
        <f t="shared" si="174"/>
        <v>597581</v>
      </c>
      <c r="AT35" s="619">
        <f t="shared" si="174"/>
        <v>0</v>
      </c>
      <c r="AU35" s="618">
        <f t="shared" si="125"/>
        <v>597581</v>
      </c>
      <c r="AV35" s="619">
        <f>25967+2000</f>
        <v>27967</v>
      </c>
      <c r="AW35" s="654" t="s">
        <v>1524</v>
      </c>
      <c r="AX35" s="619">
        <f>280230+328873</f>
        <v>609103</v>
      </c>
      <c r="AY35" s="619">
        <v>0</v>
      </c>
      <c r="AZ35" s="618">
        <f t="shared" si="126"/>
        <v>609103</v>
      </c>
      <c r="BA35" s="619">
        <f>7763+2334</f>
        <v>10097</v>
      </c>
      <c r="BB35" s="654"/>
      <c r="BC35" s="619">
        <v>0</v>
      </c>
      <c r="BD35" s="619">
        <v>0</v>
      </c>
      <c r="BE35" s="618">
        <f t="shared" si="127"/>
        <v>0</v>
      </c>
      <c r="BF35" s="619">
        <v>0</v>
      </c>
      <c r="BG35" s="618"/>
      <c r="BH35" s="619">
        <f t="shared" si="175"/>
        <v>1206684</v>
      </c>
      <c r="BI35" s="619">
        <f t="shared" si="175"/>
        <v>0</v>
      </c>
      <c r="BJ35" s="618">
        <f t="shared" si="128"/>
        <v>1206684</v>
      </c>
      <c r="BK35" s="618">
        <f t="shared" si="74"/>
        <v>38064</v>
      </c>
      <c r="BL35" s="598" t="s">
        <v>1530</v>
      </c>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row>
    <row r="36" spans="1:179" s="9" customFormat="1" ht="136.5" hidden="1" outlineLevel="1">
      <c r="A36" s="522" t="s">
        <v>58</v>
      </c>
      <c r="B36" s="522" t="s">
        <v>216</v>
      </c>
      <c r="C36" s="618">
        <v>0</v>
      </c>
      <c r="D36" s="618">
        <v>0</v>
      </c>
      <c r="E36" s="618">
        <v>0</v>
      </c>
      <c r="F36" s="618">
        <v>0</v>
      </c>
      <c r="G36" s="618">
        <v>0</v>
      </c>
      <c r="H36" s="618">
        <v>0</v>
      </c>
      <c r="I36" s="618">
        <v>0</v>
      </c>
      <c r="J36" s="618">
        <f t="shared" si="129"/>
        <v>0</v>
      </c>
      <c r="K36" s="618">
        <v>0</v>
      </c>
      <c r="L36" s="618">
        <v>0</v>
      </c>
      <c r="M36" s="618"/>
      <c r="N36" s="618">
        <f>M36+L36</f>
        <v>0</v>
      </c>
      <c r="O36" s="619"/>
      <c r="P36" s="619"/>
      <c r="Q36" s="618">
        <f>P36+O36</f>
        <v>0</v>
      </c>
      <c r="R36" s="619"/>
      <c r="S36" s="619"/>
      <c r="T36" s="618">
        <f>S36+R36</f>
        <v>0</v>
      </c>
      <c r="U36" s="619"/>
      <c r="V36" s="619"/>
      <c r="W36" s="618">
        <f>V36+U36</f>
        <v>0</v>
      </c>
      <c r="X36" s="619"/>
      <c r="Y36" s="619"/>
      <c r="Z36" s="618">
        <f>Y36+X36</f>
        <v>0</v>
      </c>
      <c r="AA36" s="619"/>
      <c r="AB36" s="619"/>
      <c r="AC36" s="618">
        <f>AB36+AA36</f>
        <v>0</v>
      </c>
      <c r="AD36" s="619"/>
      <c r="AE36" s="619"/>
      <c r="AF36" s="618">
        <f>AE36+AD36</f>
        <v>0</v>
      </c>
      <c r="AG36" s="619"/>
      <c r="AH36" s="619"/>
      <c r="AI36" s="618">
        <f>AH36+AG36</f>
        <v>0</v>
      </c>
      <c r="AJ36" s="619"/>
      <c r="AK36" s="619"/>
      <c r="AL36" s="618">
        <f>AK36+AJ36</f>
        <v>0</v>
      </c>
      <c r="AM36" s="619"/>
      <c r="AN36" s="619"/>
      <c r="AO36" s="618">
        <f>AN36+AM36</f>
        <v>0</v>
      </c>
      <c r="AP36" s="619"/>
      <c r="AQ36" s="619"/>
      <c r="AR36" s="618">
        <f>AQ36+AP36</f>
        <v>0</v>
      </c>
      <c r="AS36" s="619"/>
      <c r="AT36" s="619"/>
      <c r="AU36" s="618">
        <f>AT36+AS36</f>
        <v>0</v>
      </c>
      <c r="AV36" s="619"/>
      <c r="AW36" s="654"/>
      <c r="AX36" s="619"/>
      <c r="AY36" s="619"/>
      <c r="AZ36" s="618">
        <f>AY36+AX36</f>
        <v>0</v>
      </c>
      <c r="BA36" s="619"/>
      <c r="BB36" s="654"/>
      <c r="BC36" s="619"/>
      <c r="BD36" s="619"/>
      <c r="BE36" s="618">
        <f>BD36+BC36</f>
        <v>0</v>
      </c>
      <c r="BF36" s="619"/>
      <c r="BG36" s="618"/>
      <c r="BH36" s="619"/>
      <c r="BI36" s="619"/>
      <c r="BJ36" s="618">
        <f>BI36+BH36</f>
        <v>0</v>
      </c>
      <c r="BK36" s="618">
        <f t="shared" si="74"/>
        <v>0</v>
      </c>
      <c r="BL36" s="598"/>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row>
    <row r="37" spans="1:179" s="9" customFormat="1" ht="64.5" hidden="1" customHeight="1" outlineLevel="1">
      <c r="A37" s="522" t="s">
        <v>59</v>
      </c>
      <c r="B37" s="522" t="s">
        <v>217</v>
      </c>
      <c r="C37" s="618">
        <v>0</v>
      </c>
      <c r="D37" s="618">
        <v>0</v>
      </c>
      <c r="E37" s="618">
        <v>0</v>
      </c>
      <c r="F37" s="618">
        <v>0</v>
      </c>
      <c r="G37" s="618">
        <v>0</v>
      </c>
      <c r="H37" s="618">
        <v>0</v>
      </c>
      <c r="I37" s="618">
        <v>0</v>
      </c>
      <c r="J37" s="618">
        <f t="shared" si="129"/>
        <v>0</v>
      </c>
      <c r="K37" s="618">
        <v>0</v>
      </c>
      <c r="L37" s="618">
        <v>0</v>
      </c>
      <c r="M37" s="618"/>
      <c r="N37" s="618">
        <f t="shared" si="114"/>
        <v>0</v>
      </c>
      <c r="O37" s="619"/>
      <c r="P37" s="619"/>
      <c r="Q37" s="618">
        <f t="shared" si="115"/>
        <v>0</v>
      </c>
      <c r="R37" s="619"/>
      <c r="S37" s="619"/>
      <c r="T37" s="618">
        <f t="shared" si="116"/>
        <v>0</v>
      </c>
      <c r="U37" s="619"/>
      <c r="V37" s="619"/>
      <c r="W37" s="618">
        <f t="shared" si="117"/>
        <v>0</v>
      </c>
      <c r="X37" s="619"/>
      <c r="Y37" s="619"/>
      <c r="Z37" s="618">
        <f t="shared" si="118"/>
        <v>0</v>
      </c>
      <c r="AA37" s="619"/>
      <c r="AB37" s="619"/>
      <c r="AC37" s="618">
        <f t="shared" si="119"/>
        <v>0</v>
      </c>
      <c r="AD37" s="619"/>
      <c r="AE37" s="619"/>
      <c r="AF37" s="618">
        <f t="shared" si="120"/>
        <v>0</v>
      </c>
      <c r="AG37" s="619"/>
      <c r="AH37" s="619"/>
      <c r="AI37" s="618">
        <f t="shared" si="121"/>
        <v>0</v>
      </c>
      <c r="AJ37" s="619"/>
      <c r="AK37" s="619"/>
      <c r="AL37" s="618">
        <f t="shared" si="122"/>
        <v>0</v>
      </c>
      <c r="AM37" s="619"/>
      <c r="AN37" s="619"/>
      <c r="AO37" s="618">
        <f t="shared" si="123"/>
        <v>0</v>
      </c>
      <c r="AP37" s="619"/>
      <c r="AQ37" s="619"/>
      <c r="AR37" s="618">
        <f t="shared" si="124"/>
        <v>0</v>
      </c>
      <c r="AS37" s="619"/>
      <c r="AT37" s="619"/>
      <c r="AU37" s="618">
        <f t="shared" si="125"/>
        <v>0</v>
      </c>
      <c r="AV37" s="619"/>
      <c r="AW37" s="654"/>
      <c r="AX37" s="619"/>
      <c r="AY37" s="619"/>
      <c r="AZ37" s="618">
        <f t="shared" si="126"/>
        <v>0</v>
      </c>
      <c r="BA37" s="619"/>
      <c r="BB37" s="654"/>
      <c r="BC37" s="619"/>
      <c r="BD37" s="619"/>
      <c r="BE37" s="618">
        <f t="shared" si="127"/>
        <v>0</v>
      </c>
      <c r="BF37" s="619"/>
      <c r="BG37" s="619"/>
      <c r="BH37" s="619"/>
      <c r="BI37" s="619"/>
      <c r="BJ37" s="618">
        <f t="shared" si="128"/>
        <v>0</v>
      </c>
      <c r="BK37" s="618">
        <f t="shared" si="74"/>
        <v>0</v>
      </c>
      <c r="BL37" s="59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row>
    <row r="38" spans="1:179" s="9" customFormat="1" ht="126.75" customHeight="1" collapsed="1">
      <c r="A38" s="522" t="s">
        <v>60</v>
      </c>
      <c r="B38" s="522" t="s">
        <v>218</v>
      </c>
      <c r="C38" s="618">
        <v>16956067.876044001</v>
      </c>
      <c r="D38" s="618">
        <v>16956067.876044001</v>
      </c>
      <c r="E38" s="618">
        <v>0</v>
      </c>
      <c r="F38" s="618">
        <v>0</v>
      </c>
      <c r="G38" s="618">
        <v>16956067.876044001</v>
      </c>
      <c r="H38" s="618">
        <v>0</v>
      </c>
      <c r="I38" s="618">
        <v>0</v>
      </c>
      <c r="J38" s="618">
        <f t="shared" si="129"/>
        <v>0</v>
      </c>
      <c r="K38" s="618">
        <v>16908052.149999999</v>
      </c>
      <c r="L38" s="618">
        <v>0</v>
      </c>
      <c r="M38" s="618">
        <v>0</v>
      </c>
      <c r="N38" s="618">
        <f>M38+L38</f>
        <v>0</v>
      </c>
      <c r="O38" s="619">
        <f>L38</f>
        <v>0</v>
      </c>
      <c r="P38" s="619">
        <f t="shared" ref="P38" si="176">M38</f>
        <v>0</v>
      </c>
      <c r="Q38" s="618">
        <f>P38+O38</f>
        <v>0</v>
      </c>
      <c r="R38" s="619">
        <f>O38+2780</f>
        <v>2780</v>
      </c>
      <c r="S38" s="619">
        <f t="shared" ref="S38" si="177">P38</f>
        <v>0</v>
      </c>
      <c r="T38" s="618">
        <f>S38+R38</f>
        <v>2780</v>
      </c>
      <c r="U38" s="619">
        <f t="shared" ref="U38:V39" si="178">R38</f>
        <v>2780</v>
      </c>
      <c r="V38" s="619">
        <f t="shared" si="178"/>
        <v>0</v>
      </c>
      <c r="W38" s="618">
        <f>V38+U38</f>
        <v>2780</v>
      </c>
      <c r="X38" s="619">
        <f t="shared" ref="X38:Y39" si="179">U38</f>
        <v>2780</v>
      </c>
      <c r="Y38" s="619">
        <f t="shared" si="179"/>
        <v>0</v>
      </c>
      <c r="Z38" s="618">
        <f>Y38+X38</f>
        <v>2780</v>
      </c>
      <c r="AA38" s="619">
        <f t="shared" ref="AA38:AB39" si="180">X38</f>
        <v>2780</v>
      </c>
      <c r="AB38" s="619">
        <f t="shared" si="180"/>
        <v>0</v>
      </c>
      <c r="AC38" s="618">
        <f>AB38+AA38</f>
        <v>2780</v>
      </c>
      <c r="AD38" s="619">
        <f t="shared" ref="AD38:AE39" si="181">AA38</f>
        <v>2780</v>
      </c>
      <c r="AE38" s="619">
        <f t="shared" si="181"/>
        <v>0</v>
      </c>
      <c r="AF38" s="618">
        <f>AE38+AD38</f>
        <v>2780</v>
      </c>
      <c r="AG38" s="619">
        <f t="shared" ref="AG38:AH39" si="182">AD38</f>
        <v>2780</v>
      </c>
      <c r="AH38" s="619">
        <f t="shared" si="182"/>
        <v>0</v>
      </c>
      <c r="AI38" s="618">
        <f>AH38+AG38</f>
        <v>2780</v>
      </c>
      <c r="AJ38" s="619">
        <f t="shared" ref="AJ38:AK39" si="183">AG38</f>
        <v>2780</v>
      </c>
      <c r="AK38" s="619">
        <f t="shared" si="183"/>
        <v>0</v>
      </c>
      <c r="AL38" s="618">
        <f>AK38+AJ38</f>
        <v>2780</v>
      </c>
      <c r="AM38" s="619">
        <f t="shared" ref="AM38:AN39" si="184">AJ38</f>
        <v>2780</v>
      </c>
      <c r="AN38" s="619">
        <f t="shared" si="184"/>
        <v>0</v>
      </c>
      <c r="AO38" s="618">
        <f>AN38+AM38</f>
        <v>2780</v>
      </c>
      <c r="AP38" s="619">
        <f t="shared" ref="AP38:AQ39" si="185">AM38</f>
        <v>2780</v>
      </c>
      <c r="AQ38" s="619">
        <f t="shared" si="185"/>
        <v>0</v>
      </c>
      <c r="AR38" s="618">
        <f>AQ38+AP38</f>
        <v>2780</v>
      </c>
      <c r="AS38" s="619">
        <f t="shared" ref="AS38:AT39" si="186">AP38</f>
        <v>2780</v>
      </c>
      <c r="AT38" s="619">
        <f t="shared" si="186"/>
        <v>0</v>
      </c>
      <c r="AU38" s="618">
        <f>AT38+AS38</f>
        <v>2780</v>
      </c>
      <c r="AV38" s="619">
        <v>0</v>
      </c>
      <c r="AW38" s="654" t="s">
        <v>1520</v>
      </c>
      <c r="AX38" s="619">
        <v>0</v>
      </c>
      <c r="AY38" s="619">
        <v>0</v>
      </c>
      <c r="AZ38" s="618">
        <f>AY38+AX38</f>
        <v>0</v>
      </c>
      <c r="BA38" s="619">
        <v>0</v>
      </c>
      <c r="BB38" s="654"/>
      <c r="BC38" s="619">
        <v>0</v>
      </c>
      <c r="BD38" s="619">
        <v>0</v>
      </c>
      <c r="BE38" s="618">
        <f>BD38+BC38</f>
        <v>0</v>
      </c>
      <c r="BF38" s="619">
        <v>0</v>
      </c>
      <c r="BG38" s="618"/>
      <c r="BH38" s="619">
        <f t="shared" ref="BH38:BI39" si="187">BC38+AX38+AS38</f>
        <v>2780</v>
      </c>
      <c r="BI38" s="619">
        <f t="shared" si="187"/>
        <v>0</v>
      </c>
      <c r="BJ38" s="618">
        <f>BI38+BH38</f>
        <v>2780</v>
      </c>
      <c r="BK38" s="618">
        <f t="shared" si="74"/>
        <v>0</v>
      </c>
      <c r="BL38" s="598" t="s">
        <v>1531</v>
      </c>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row>
    <row r="39" spans="1:179" s="9" customFormat="1" ht="97.5">
      <c r="A39" s="522" t="s">
        <v>61</v>
      </c>
      <c r="B39" s="522" t="s">
        <v>219</v>
      </c>
      <c r="C39" s="618">
        <v>0</v>
      </c>
      <c r="D39" s="618">
        <v>0</v>
      </c>
      <c r="E39" s="618">
        <f>1781261-325000</f>
        <v>1456261</v>
      </c>
      <c r="F39" s="618">
        <f t="shared" ref="F39:G39" si="188">1781261-325000</f>
        <v>1456261</v>
      </c>
      <c r="G39" s="618">
        <f t="shared" si="188"/>
        <v>1456261</v>
      </c>
      <c r="H39" s="618">
        <v>0</v>
      </c>
      <c r="I39" s="618">
        <v>80000</v>
      </c>
      <c r="J39" s="618">
        <f t="shared" si="129"/>
        <v>80000</v>
      </c>
      <c r="K39" s="618">
        <v>0</v>
      </c>
      <c r="L39" s="618">
        <v>0</v>
      </c>
      <c r="M39" s="618"/>
      <c r="N39" s="618">
        <f t="shared" si="114"/>
        <v>0</v>
      </c>
      <c r="O39" s="619">
        <f t="shared" ref="O39:P39" si="189">L39</f>
        <v>0</v>
      </c>
      <c r="P39" s="619">
        <f t="shared" si="189"/>
        <v>0</v>
      </c>
      <c r="Q39" s="618">
        <f t="shared" si="115"/>
        <v>0</v>
      </c>
      <c r="R39" s="619">
        <f t="shared" ref="R39:S39" si="190">O39</f>
        <v>0</v>
      </c>
      <c r="S39" s="619">
        <f t="shared" si="190"/>
        <v>0</v>
      </c>
      <c r="T39" s="618">
        <f t="shared" si="116"/>
        <v>0</v>
      </c>
      <c r="U39" s="619">
        <f t="shared" si="178"/>
        <v>0</v>
      </c>
      <c r="V39" s="619">
        <f t="shared" si="178"/>
        <v>0</v>
      </c>
      <c r="W39" s="618">
        <f t="shared" si="117"/>
        <v>0</v>
      </c>
      <c r="X39" s="619">
        <f t="shared" si="179"/>
        <v>0</v>
      </c>
      <c r="Y39" s="619">
        <f t="shared" si="179"/>
        <v>0</v>
      </c>
      <c r="Z39" s="618">
        <f t="shared" si="118"/>
        <v>0</v>
      </c>
      <c r="AA39" s="619">
        <f t="shared" si="180"/>
        <v>0</v>
      </c>
      <c r="AB39" s="619">
        <f t="shared" si="180"/>
        <v>0</v>
      </c>
      <c r="AC39" s="618">
        <f t="shared" si="119"/>
        <v>0</v>
      </c>
      <c r="AD39" s="619">
        <f t="shared" si="181"/>
        <v>0</v>
      </c>
      <c r="AE39" s="619">
        <f t="shared" si="181"/>
        <v>0</v>
      </c>
      <c r="AF39" s="618">
        <f t="shared" si="120"/>
        <v>0</v>
      </c>
      <c r="AG39" s="619">
        <f t="shared" si="182"/>
        <v>0</v>
      </c>
      <c r="AH39" s="619">
        <f t="shared" si="182"/>
        <v>0</v>
      </c>
      <c r="AI39" s="618">
        <f t="shared" si="121"/>
        <v>0</v>
      </c>
      <c r="AJ39" s="619">
        <f t="shared" si="183"/>
        <v>0</v>
      </c>
      <c r="AK39" s="619">
        <f t="shared" si="183"/>
        <v>0</v>
      </c>
      <c r="AL39" s="618">
        <f t="shared" si="122"/>
        <v>0</v>
      </c>
      <c r="AM39" s="619">
        <f t="shared" si="184"/>
        <v>0</v>
      </c>
      <c r="AN39" s="619">
        <f t="shared" si="184"/>
        <v>0</v>
      </c>
      <c r="AO39" s="618">
        <f t="shared" si="123"/>
        <v>0</v>
      </c>
      <c r="AP39" s="619">
        <f t="shared" si="185"/>
        <v>0</v>
      </c>
      <c r="AQ39" s="619">
        <f t="shared" si="185"/>
        <v>0</v>
      </c>
      <c r="AR39" s="618">
        <f t="shared" si="124"/>
        <v>0</v>
      </c>
      <c r="AS39" s="619">
        <f t="shared" si="186"/>
        <v>0</v>
      </c>
      <c r="AT39" s="619">
        <f t="shared" si="186"/>
        <v>0</v>
      </c>
      <c r="AU39" s="618">
        <f t="shared" si="125"/>
        <v>0</v>
      </c>
      <c r="AV39" s="619">
        <v>0</v>
      </c>
      <c r="AW39" s="654"/>
      <c r="AX39" s="619">
        <v>0</v>
      </c>
      <c r="AY39" s="620">
        <v>593754</v>
      </c>
      <c r="AZ39" s="618">
        <f t="shared" si="126"/>
        <v>593754</v>
      </c>
      <c r="BA39" s="619">
        <v>0</v>
      </c>
      <c r="BB39" s="654"/>
      <c r="BC39" s="619">
        <v>0</v>
      </c>
      <c r="BD39" s="620">
        <v>1187507</v>
      </c>
      <c r="BE39" s="618">
        <f t="shared" si="127"/>
        <v>1187507</v>
      </c>
      <c r="BF39" s="619">
        <v>0</v>
      </c>
      <c r="BG39" s="618"/>
      <c r="BH39" s="619">
        <f t="shared" si="187"/>
        <v>0</v>
      </c>
      <c r="BI39" s="618">
        <f t="shared" ref="BI39:BJ39" si="191">1781261-325000</f>
        <v>1456261</v>
      </c>
      <c r="BJ39" s="618">
        <f t="shared" si="191"/>
        <v>1456261</v>
      </c>
      <c r="BK39" s="618">
        <f t="shared" si="74"/>
        <v>0</v>
      </c>
      <c r="BL39" s="598" t="s">
        <v>1532</v>
      </c>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row>
    <row r="40" spans="1:179" s="9" customFormat="1" ht="136.5" hidden="1" outlineLevel="1">
      <c r="A40" s="522" t="s">
        <v>62</v>
      </c>
      <c r="B40" s="522" t="s">
        <v>220</v>
      </c>
      <c r="C40" s="618">
        <v>0</v>
      </c>
      <c r="D40" s="618">
        <v>0</v>
      </c>
      <c r="E40" s="618">
        <v>0</v>
      </c>
      <c r="F40" s="618">
        <v>0</v>
      </c>
      <c r="G40" s="618">
        <v>0</v>
      </c>
      <c r="H40" s="618">
        <v>0</v>
      </c>
      <c r="I40" s="618">
        <v>0</v>
      </c>
      <c r="J40" s="618">
        <f t="shared" si="129"/>
        <v>0</v>
      </c>
      <c r="K40" s="618">
        <v>0</v>
      </c>
      <c r="L40" s="618">
        <v>0</v>
      </c>
      <c r="M40" s="618"/>
      <c r="N40" s="618">
        <f>M40+L40</f>
        <v>0</v>
      </c>
      <c r="O40" s="619"/>
      <c r="P40" s="619"/>
      <c r="Q40" s="618">
        <f>P40+O40</f>
        <v>0</v>
      </c>
      <c r="R40" s="619"/>
      <c r="S40" s="619"/>
      <c r="T40" s="618">
        <f>S40+R40</f>
        <v>0</v>
      </c>
      <c r="U40" s="619"/>
      <c r="V40" s="619"/>
      <c r="W40" s="618">
        <f>V40+U40</f>
        <v>0</v>
      </c>
      <c r="X40" s="619"/>
      <c r="Y40" s="619"/>
      <c r="Z40" s="618">
        <f>Y40+X40</f>
        <v>0</v>
      </c>
      <c r="AA40" s="619"/>
      <c r="AB40" s="619"/>
      <c r="AC40" s="618">
        <f>AB40+AA40</f>
        <v>0</v>
      </c>
      <c r="AD40" s="619"/>
      <c r="AE40" s="619"/>
      <c r="AF40" s="618">
        <f>AE40+AD40</f>
        <v>0</v>
      </c>
      <c r="AG40" s="619"/>
      <c r="AH40" s="619"/>
      <c r="AI40" s="618">
        <f>AH40+AG40</f>
        <v>0</v>
      </c>
      <c r="AJ40" s="619"/>
      <c r="AK40" s="619"/>
      <c r="AL40" s="618">
        <f>AK40+AJ40</f>
        <v>0</v>
      </c>
      <c r="AM40" s="619"/>
      <c r="AN40" s="619"/>
      <c r="AO40" s="618">
        <f>AN40+AM40</f>
        <v>0</v>
      </c>
      <c r="AP40" s="619"/>
      <c r="AQ40" s="619"/>
      <c r="AR40" s="618">
        <f>AQ40+AP40</f>
        <v>0</v>
      </c>
      <c r="AS40" s="619"/>
      <c r="AT40" s="619"/>
      <c r="AU40" s="618">
        <f>AT40+AS40</f>
        <v>0</v>
      </c>
      <c r="AV40" s="619"/>
      <c r="AW40" s="654"/>
      <c r="AX40" s="619"/>
      <c r="AY40" s="619"/>
      <c r="AZ40" s="618">
        <f>AY40+AX40</f>
        <v>0</v>
      </c>
      <c r="BA40" s="619"/>
      <c r="BB40" s="654"/>
      <c r="BC40" s="619"/>
      <c r="BD40" s="619"/>
      <c r="BE40" s="618">
        <f>BD40+BC40</f>
        <v>0</v>
      </c>
      <c r="BF40" s="619"/>
      <c r="BG40" s="619"/>
      <c r="BH40" s="619"/>
      <c r="BI40" s="619"/>
      <c r="BJ40" s="618">
        <f>BI40+BH40</f>
        <v>0</v>
      </c>
      <c r="BK40" s="618">
        <f t="shared" si="74"/>
        <v>0</v>
      </c>
      <c r="BL40" s="597"/>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row>
    <row r="41" spans="1:179" s="9" customFormat="1" ht="97.5" hidden="1" outlineLevel="1">
      <c r="A41" s="522" t="s">
        <v>63</v>
      </c>
      <c r="B41" s="522" t="s">
        <v>369</v>
      </c>
      <c r="C41" s="618">
        <v>0</v>
      </c>
      <c r="D41" s="618">
        <v>0</v>
      </c>
      <c r="E41" s="618">
        <v>0</v>
      </c>
      <c r="F41" s="618">
        <v>0</v>
      </c>
      <c r="G41" s="618">
        <v>0</v>
      </c>
      <c r="H41" s="618">
        <v>0</v>
      </c>
      <c r="I41" s="618">
        <v>0</v>
      </c>
      <c r="J41" s="618">
        <f t="shared" si="129"/>
        <v>0</v>
      </c>
      <c r="K41" s="618">
        <v>0</v>
      </c>
      <c r="L41" s="618">
        <v>0</v>
      </c>
      <c r="M41" s="618"/>
      <c r="N41" s="618">
        <f t="shared" si="114"/>
        <v>0</v>
      </c>
      <c r="O41" s="619"/>
      <c r="P41" s="619"/>
      <c r="Q41" s="618">
        <f t="shared" si="115"/>
        <v>0</v>
      </c>
      <c r="R41" s="619"/>
      <c r="S41" s="619"/>
      <c r="T41" s="618">
        <f t="shared" si="116"/>
        <v>0</v>
      </c>
      <c r="U41" s="619"/>
      <c r="V41" s="619"/>
      <c r="W41" s="618">
        <f t="shared" si="117"/>
        <v>0</v>
      </c>
      <c r="X41" s="619"/>
      <c r="Y41" s="619"/>
      <c r="Z41" s="618">
        <f t="shared" si="118"/>
        <v>0</v>
      </c>
      <c r="AA41" s="619"/>
      <c r="AB41" s="619"/>
      <c r="AC41" s="618">
        <f t="shared" si="119"/>
        <v>0</v>
      </c>
      <c r="AD41" s="619"/>
      <c r="AE41" s="619"/>
      <c r="AF41" s="618">
        <f t="shared" si="120"/>
        <v>0</v>
      </c>
      <c r="AG41" s="619"/>
      <c r="AH41" s="619"/>
      <c r="AI41" s="618">
        <f t="shared" si="121"/>
        <v>0</v>
      </c>
      <c r="AJ41" s="619"/>
      <c r="AK41" s="619"/>
      <c r="AL41" s="618">
        <f t="shared" si="122"/>
        <v>0</v>
      </c>
      <c r="AM41" s="619"/>
      <c r="AN41" s="619"/>
      <c r="AO41" s="618">
        <f t="shared" si="123"/>
        <v>0</v>
      </c>
      <c r="AP41" s="619"/>
      <c r="AQ41" s="619"/>
      <c r="AR41" s="618">
        <f t="shared" si="124"/>
        <v>0</v>
      </c>
      <c r="AS41" s="619"/>
      <c r="AT41" s="619"/>
      <c r="AU41" s="618">
        <f t="shared" si="125"/>
        <v>0</v>
      </c>
      <c r="AV41" s="619"/>
      <c r="AW41" s="654"/>
      <c r="AX41" s="619"/>
      <c r="AY41" s="619"/>
      <c r="AZ41" s="618">
        <f t="shared" si="126"/>
        <v>0</v>
      </c>
      <c r="BA41" s="619"/>
      <c r="BB41" s="654"/>
      <c r="BC41" s="619"/>
      <c r="BD41" s="619"/>
      <c r="BE41" s="618">
        <f t="shared" si="127"/>
        <v>0</v>
      </c>
      <c r="BF41" s="619"/>
      <c r="BG41" s="619"/>
      <c r="BH41" s="619"/>
      <c r="BI41" s="619"/>
      <c r="BJ41" s="618">
        <f t="shared" si="128"/>
        <v>0</v>
      </c>
      <c r="BK41" s="618">
        <f t="shared" si="74"/>
        <v>0</v>
      </c>
      <c r="BL41" s="597"/>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row>
    <row r="42" spans="1:179" s="9" customFormat="1" ht="60.75" customHeight="1" collapsed="1">
      <c r="A42" s="522" t="s">
        <v>64</v>
      </c>
      <c r="B42" s="522" t="s">
        <v>221</v>
      </c>
      <c r="C42" s="618">
        <v>973356.13064400002</v>
      </c>
      <c r="D42" s="618">
        <v>973356.13064400002</v>
      </c>
      <c r="E42" s="618">
        <v>0</v>
      </c>
      <c r="F42" s="618">
        <v>0</v>
      </c>
      <c r="G42" s="618">
        <v>973356.13064400002</v>
      </c>
      <c r="H42" s="618">
        <v>227747</v>
      </c>
      <c r="I42" s="618">
        <v>0</v>
      </c>
      <c r="J42" s="618">
        <f t="shared" si="129"/>
        <v>227747</v>
      </c>
      <c r="K42" s="618">
        <v>323046.01</v>
      </c>
      <c r="L42" s="618">
        <v>0</v>
      </c>
      <c r="M42" s="618">
        <v>0</v>
      </c>
      <c r="N42" s="618">
        <f>M42+L42</f>
        <v>0</v>
      </c>
      <c r="O42" s="619">
        <f t="shared" ref="O42:P44" si="192">L42</f>
        <v>0</v>
      </c>
      <c r="P42" s="619">
        <f t="shared" si="192"/>
        <v>0</v>
      </c>
      <c r="Q42" s="618">
        <f>P42+O42</f>
        <v>0</v>
      </c>
      <c r="R42" s="619">
        <f t="shared" ref="R42:S44" si="193">O42</f>
        <v>0</v>
      </c>
      <c r="S42" s="619">
        <f t="shared" si="193"/>
        <v>0</v>
      </c>
      <c r="T42" s="618">
        <f>S42+R42</f>
        <v>0</v>
      </c>
      <c r="U42" s="619">
        <f t="shared" ref="U42:V44" si="194">R42</f>
        <v>0</v>
      </c>
      <c r="V42" s="619">
        <f t="shared" si="194"/>
        <v>0</v>
      </c>
      <c r="W42" s="618">
        <f>V42+U42</f>
        <v>0</v>
      </c>
      <c r="X42" s="619">
        <f>U42+47330</f>
        <v>47330</v>
      </c>
      <c r="Y42" s="619">
        <f t="shared" ref="Y42:Y43" si="195">V42</f>
        <v>0</v>
      </c>
      <c r="Z42" s="618">
        <f>Y42+X42</f>
        <v>47330</v>
      </c>
      <c r="AA42" s="619">
        <f t="shared" ref="AA42:AB44" si="196">X42</f>
        <v>47330</v>
      </c>
      <c r="AB42" s="619">
        <f t="shared" si="196"/>
        <v>0</v>
      </c>
      <c r="AC42" s="618">
        <f>AB42+AA42</f>
        <v>47330</v>
      </c>
      <c r="AD42" s="619">
        <f t="shared" ref="AD42:AE44" si="197">AA42</f>
        <v>47330</v>
      </c>
      <c r="AE42" s="619">
        <f t="shared" si="197"/>
        <v>0</v>
      </c>
      <c r="AF42" s="618">
        <f>AE42+AD42</f>
        <v>47330</v>
      </c>
      <c r="AG42" s="619">
        <f t="shared" ref="AG42:AH44" si="198">AD42</f>
        <v>47330</v>
      </c>
      <c r="AH42" s="619">
        <f t="shared" si="198"/>
        <v>0</v>
      </c>
      <c r="AI42" s="618">
        <f>AH42+AG42</f>
        <v>47330</v>
      </c>
      <c r="AJ42" s="619">
        <f t="shared" ref="AJ42:AK44" si="199">AG42</f>
        <v>47330</v>
      </c>
      <c r="AK42" s="619">
        <f t="shared" si="199"/>
        <v>0</v>
      </c>
      <c r="AL42" s="618">
        <f>AK42+AJ42</f>
        <v>47330</v>
      </c>
      <c r="AM42" s="619">
        <f t="shared" ref="AM42:AN44" si="200">AJ42</f>
        <v>47330</v>
      </c>
      <c r="AN42" s="619">
        <f t="shared" si="200"/>
        <v>0</v>
      </c>
      <c r="AO42" s="618">
        <f>AN42+AM42</f>
        <v>47330</v>
      </c>
      <c r="AP42" s="619">
        <f>AM42+131925</f>
        <v>179255</v>
      </c>
      <c r="AQ42" s="619">
        <f t="shared" ref="AQ42:AQ44" si="201">AN42</f>
        <v>0</v>
      </c>
      <c r="AR42" s="618">
        <f>AQ42+AP42</f>
        <v>179255</v>
      </c>
      <c r="AS42" s="619">
        <f t="shared" ref="AS42:AT44" si="202">AP42</f>
        <v>179255</v>
      </c>
      <c r="AT42" s="619">
        <f t="shared" si="202"/>
        <v>0</v>
      </c>
      <c r="AU42" s="618">
        <f>AT42+AS42</f>
        <v>179255</v>
      </c>
      <c r="AV42" s="619">
        <v>852</v>
      </c>
      <c r="AW42" s="654" t="s">
        <v>1520</v>
      </c>
      <c r="AX42" s="619">
        <f>186651+44035</f>
        <v>230686</v>
      </c>
      <c r="AY42" s="619">
        <v>0</v>
      </c>
      <c r="AZ42" s="618">
        <f>AY42+AX42</f>
        <v>230686</v>
      </c>
      <c r="BA42" s="619">
        <v>710</v>
      </c>
      <c r="BB42" s="654"/>
      <c r="BC42" s="619">
        <v>237902</v>
      </c>
      <c r="BD42" s="619">
        <v>0</v>
      </c>
      <c r="BE42" s="618">
        <f>BD42+BC42</f>
        <v>237902</v>
      </c>
      <c r="BF42" s="619">
        <v>905</v>
      </c>
      <c r="BG42" s="618"/>
      <c r="BH42" s="619">
        <f t="shared" ref="BH42:BI44" si="203">BC42+AX42+AS42</f>
        <v>647843</v>
      </c>
      <c r="BI42" s="619">
        <f t="shared" si="203"/>
        <v>0</v>
      </c>
      <c r="BJ42" s="618">
        <f>BI42+BH42</f>
        <v>647843</v>
      </c>
      <c r="BK42" s="618">
        <f t="shared" si="74"/>
        <v>2467</v>
      </c>
      <c r="BL42" s="598"/>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row>
    <row r="43" spans="1:179" s="9" customFormat="1" ht="195">
      <c r="A43" s="522" t="s">
        <v>65</v>
      </c>
      <c r="B43" s="522" t="s">
        <v>222</v>
      </c>
      <c r="C43" s="618">
        <v>3584300</v>
      </c>
      <c r="D43" s="618">
        <v>3584300</v>
      </c>
      <c r="E43" s="618">
        <v>0</v>
      </c>
      <c r="F43" s="618">
        <v>0</v>
      </c>
      <c r="G43" s="618">
        <v>3584300</v>
      </c>
      <c r="H43" s="618">
        <v>1912576</v>
      </c>
      <c r="I43" s="618">
        <v>23423</v>
      </c>
      <c r="J43" s="618">
        <f t="shared" si="129"/>
        <v>1935999</v>
      </c>
      <c r="K43" s="618">
        <v>1404468.8</v>
      </c>
      <c r="L43" s="618">
        <v>39913</v>
      </c>
      <c r="M43" s="618">
        <v>0</v>
      </c>
      <c r="N43" s="618">
        <f t="shared" si="114"/>
        <v>39913</v>
      </c>
      <c r="O43" s="619">
        <f t="shared" si="192"/>
        <v>39913</v>
      </c>
      <c r="P43" s="619">
        <f t="shared" si="192"/>
        <v>0</v>
      </c>
      <c r="Q43" s="618">
        <f t="shared" si="115"/>
        <v>39913</v>
      </c>
      <c r="R43" s="619">
        <f t="shared" si="193"/>
        <v>39913</v>
      </c>
      <c r="S43" s="619">
        <f t="shared" si="193"/>
        <v>0</v>
      </c>
      <c r="T43" s="618">
        <f t="shared" si="116"/>
        <v>39913</v>
      </c>
      <c r="U43" s="619">
        <f t="shared" si="194"/>
        <v>39913</v>
      </c>
      <c r="V43" s="619">
        <f t="shared" si="194"/>
        <v>0</v>
      </c>
      <c r="W43" s="618">
        <f t="shared" si="117"/>
        <v>39913</v>
      </c>
      <c r="X43" s="619">
        <f>U43+374823</f>
        <v>414736</v>
      </c>
      <c r="Y43" s="619">
        <f t="shared" si="195"/>
        <v>0</v>
      </c>
      <c r="Z43" s="618">
        <f t="shared" si="118"/>
        <v>414736</v>
      </c>
      <c r="AA43" s="619">
        <f t="shared" si="196"/>
        <v>414736</v>
      </c>
      <c r="AB43" s="619">
        <f t="shared" si="196"/>
        <v>0</v>
      </c>
      <c r="AC43" s="618">
        <f t="shared" si="119"/>
        <v>414736</v>
      </c>
      <c r="AD43" s="619">
        <f>AA43+214957</f>
        <v>629693</v>
      </c>
      <c r="AE43" s="619">
        <f t="shared" si="197"/>
        <v>0</v>
      </c>
      <c r="AF43" s="618">
        <f t="shared" si="120"/>
        <v>629693</v>
      </c>
      <c r="AG43" s="619">
        <f>AD43+14806</f>
        <v>644499</v>
      </c>
      <c r="AH43" s="619">
        <f t="shared" si="198"/>
        <v>0</v>
      </c>
      <c r="AI43" s="618">
        <f t="shared" si="121"/>
        <v>644499</v>
      </c>
      <c r="AJ43" s="619">
        <f t="shared" si="199"/>
        <v>644499</v>
      </c>
      <c r="AK43" s="619">
        <f t="shared" si="199"/>
        <v>0</v>
      </c>
      <c r="AL43" s="618">
        <f t="shared" si="122"/>
        <v>644499</v>
      </c>
      <c r="AM43" s="619">
        <f t="shared" si="200"/>
        <v>644499</v>
      </c>
      <c r="AN43" s="619">
        <f t="shared" si="200"/>
        <v>0</v>
      </c>
      <c r="AO43" s="618">
        <f t="shared" si="123"/>
        <v>644499</v>
      </c>
      <c r="AP43" s="619">
        <f>AM43+525895</f>
        <v>1170394</v>
      </c>
      <c r="AQ43" s="619">
        <f t="shared" si="201"/>
        <v>0</v>
      </c>
      <c r="AR43" s="618">
        <f t="shared" si="124"/>
        <v>1170394</v>
      </c>
      <c r="AS43" s="619">
        <f t="shared" si="202"/>
        <v>1170394</v>
      </c>
      <c r="AT43" s="619">
        <f t="shared" si="202"/>
        <v>0</v>
      </c>
      <c r="AU43" s="618">
        <f t="shared" si="125"/>
        <v>1170394</v>
      </c>
      <c r="AV43" s="619">
        <v>10364</v>
      </c>
      <c r="AW43" s="654" t="s">
        <v>1522</v>
      </c>
      <c r="AX43" s="619">
        <f>497466+494266</f>
        <v>991732</v>
      </c>
      <c r="AY43" s="619">
        <v>0</v>
      </c>
      <c r="AZ43" s="618">
        <f t="shared" si="126"/>
        <v>991732</v>
      </c>
      <c r="BA43" s="619">
        <v>3085</v>
      </c>
      <c r="BB43" s="654"/>
      <c r="BC43" s="619">
        <v>0</v>
      </c>
      <c r="BD43" s="619">
        <v>0</v>
      </c>
      <c r="BE43" s="618">
        <f t="shared" si="127"/>
        <v>0</v>
      </c>
      <c r="BF43" s="619">
        <v>0</v>
      </c>
      <c r="BG43" s="618"/>
      <c r="BH43" s="619">
        <f t="shared" si="203"/>
        <v>2162126</v>
      </c>
      <c r="BI43" s="619">
        <f t="shared" si="203"/>
        <v>0</v>
      </c>
      <c r="BJ43" s="618">
        <f t="shared" si="128"/>
        <v>2162126</v>
      </c>
      <c r="BK43" s="618">
        <f t="shared" si="74"/>
        <v>13449</v>
      </c>
      <c r="BL43" s="598"/>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row>
    <row r="44" spans="1:179" s="9" customFormat="1" ht="162">
      <c r="A44" s="522" t="s">
        <v>66</v>
      </c>
      <c r="B44" s="522" t="s">
        <v>223</v>
      </c>
      <c r="C44" s="618">
        <v>5904793</v>
      </c>
      <c r="D44" s="618">
        <v>5904793</v>
      </c>
      <c r="E44" s="618">
        <v>0</v>
      </c>
      <c r="F44" s="618">
        <v>0</v>
      </c>
      <c r="G44" s="618">
        <v>5904793</v>
      </c>
      <c r="H44" s="618">
        <v>320093</v>
      </c>
      <c r="I44" s="618">
        <v>507966</v>
      </c>
      <c r="J44" s="618">
        <f t="shared" si="129"/>
        <v>828059</v>
      </c>
      <c r="K44" s="618">
        <v>4587641.03</v>
      </c>
      <c r="L44" s="618">
        <v>10226</v>
      </c>
      <c r="M44" s="618">
        <v>0</v>
      </c>
      <c r="N44" s="618">
        <f t="shared" si="114"/>
        <v>10226</v>
      </c>
      <c r="O44" s="619">
        <f t="shared" si="192"/>
        <v>10226</v>
      </c>
      <c r="P44" s="619">
        <f t="shared" si="192"/>
        <v>0</v>
      </c>
      <c r="Q44" s="618">
        <f t="shared" si="115"/>
        <v>10226</v>
      </c>
      <c r="R44" s="619">
        <f t="shared" si="193"/>
        <v>10226</v>
      </c>
      <c r="S44" s="619">
        <f t="shared" si="193"/>
        <v>0</v>
      </c>
      <c r="T44" s="618">
        <f t="shared" si="116"/>
        <v>10226</v>
      </c>
      <c r="U44" s="619">
        <f>R44+263703</f>
        <v>273929</v>
      </c>
      <c r="V44" s="619">
        <f t="shared" si="194"/>
        <v>0</v>
      </c>
      <c r="W44" s="618">
        <f t="shared" si="117"/>
        <v>273929</v>
      </c>
      <c r="X44" s="619">
        <f t="shared" ref="X44:Y44" si="204">U44</f>
        <v>273929</v>
      </c>
      <c r="Y44" s="619">
        <f t="shared" si="204"/>
        <v>0</v>
      </c>
      <c r="Z44" s="618">
        <f t="shared" si="118"/>
        <v>273929</v>
      </c>
      <c r="AA44" s="619">
        <f t="shared" si="196"/>
        <v>273929</v>
      </c>
      <c r="AB44" s="619">
        <f t="shared" si="196"/>
        <v>0</v>
      </c>
      <c r="AC44" s="618">
        <f t="shared" si="119"/>
        <v>273929</v>
      </c>
      <c r="AD44" s="619">
        <f>AA44+75086</f>
        <v>349015</v>
      </c>
      <c r="AE44" s="619">
        <f t="shared" si="197"/>
        <v>0</v>
      </c>
      <c r="AF44" s="618">
        <f t="shared" si="120"/>
        <v>349015</v>
      </c>
      <c r="AG44" s="619">
        <f>AD44+57258</f>
        <v>406273</v>
      </c>
      <c r="AH44" s="619">
        <f t="shared" si="198"/>
        <v>0</v>
      </c>
      <c r="AI44" s="618">
        <f t="shared" si="121"/>
        <v>406273</v>
      </c>
      <c r="AJ44" s="619">
        <f t="shared" si="199"/>
        <v>406273</v>
      </c>
      <c r="AK44" s="619">
        <f t="shared" si="199"/>
        <v>0</v>
      </c>
      <c r="AL44" s="618">
        <f t="shared" si="122"/>
        <v>406273</v>
      </c>
      <c r="AM44" s="619">
        <f>AJ44+168772</f>
        <v>575045</v>
      </c>
      <c r="AN44" s="619">
        <f t="shared" si="200"/>
        <v>0</v>
      </c>
      <c r="AO44" s="618">
        <f t="shared" si="123"/>
        <v>575045</v>
      </c>
      <c r="AP44" s="619">
        <f>AM44+21610</f>
        <v>596655</v>
      </c>
      <c r="AQ44" s="619">
        <f t="shared" si="201"/>
        <v>0</v>
      </c>
      <c r="AR44" s="618">
        <f t="shared" si="124"/>
        <v>596655</v>
      </c>
      <c r="AS44" s="619">
        <f>AP44+5392</f>
        <v>602047</v>
      </c>
      <c r="AT44" s="619">
        <f t="shared" si="202"/>
        <v>0</v>
      </c>
      <c r="AU44" s="618">
        <f t="shared" si="125"/>
        <v>602047</v>
      </c>
      <c r="AV44" s="619">
        <v>61344</v>
      </c>
      <c r="AW44" s="654" t="s">
        <v>1522</v>
      </c>
      <c r="AX44" s="619">
        <f>195027+186804</f>
        <v>381831</v>
      </c>
      <c r="AY44" s="619">
        <v>0</v>
      </c>
      <c r="AZ44" s="618">
        <f t="shared" si="126"/>
        <v>381831</v>
      </c>
      <c r="BA44" s="619">
        <v>13340</v>
      </c>
      <c r="BB44" s="654"/>
      <c r="BC44" s="619">
        <v>0</v>
      </c>
      <c r="BD44" s="619">
        <v>0</v>
      </c>
      <c r="BE44" s="618">
        <f t="shared" si="127"/>
        <v>0</v>
      </c>
      <c r="BF44" s="619">
        <v>0</v>
      </c>
      <c r="BG44" s="618"/>
      <c r="BH44" s="619">
        <f t="shared" si="203"/>
        <v>983878</v>
      </c>
      <c r="BI44" s="619">
        <f t="shared" si="203"/>
        <v>0</v>
      </c>
      <c r="BJ44" s="618">
        <f t="shared" si="128"/>
        <v>983878</v>
      </c>
      <c r="BK44" s="618">
        <f t="shared" si="74"/>
        <v>74684</v>
      </c>
      <c r="BL44" s="598" t="s">
        <v>1533</v>
      </c>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row>
    <row r="45" spans="1:179" s="5" customFormat="1">
      <c r="A45" s="523"/>
      <c r="B45" s="524" t="s">
        <v>224</v>
      </c>
      <c r="C45" s="621">
        <f t="shared" ref="C45:J45" si="205">SUM(C46:C60)</f>
        <v>169862412.96999598</v>
      </c>
      <c r="D45" s="621">
        <f t="shared" si="205"/>
        <v>169862412.96999598</v>
      </c>
      <c r="E45" s="621">
        <f t="shared" si="205"/>
        <v>26406314.113770001</v>
      </c>
      <c r="F45" s="621">
        <f t="shared" si="205"/>
        <v>22586250.778203182</v>
      </c>
      <c r="G45" s="621">
        <f t="shared" si="205"/>
        <v>192448663.74819919</v>
      </c>
      <c r="H45" s="621">
        <f t="shared" si="205"/>
        <v>30674252.890000001</v>
      </c>
      <c r="I45" s="621">
        <f t="shared" si="205"/>
        <v>2248578</v>
      </c>
      <c r="J45" s="621">
        <f t="shared" si="205"/>
        <v>32922830.890000001</v>
      </c>
      <c r="K45" s="621">
        <f t="shared" ref="K45:BJ45" si="206">SUM(K46:K60)</f>
        <v>140361404.56999999</v>
      </c>
      <c r="L45" s="621">
        <f t="shared" si="206"/>
        <v>2748870</v>
      </c>
      <c r="M45" s="621">
        <f t="shared" si="206"/>
        <v>0</v>
      </c>
      <c r="N45" s="621">
        <f t="shared" si="206"/>
        <v>2748870</v>
      </c>
      <c r="O45" s="621">
        <f t="shared" si="206"/>
        <v>5744539</v>
      </c>
      <c r="P45" s="621">
        <f t="shared" si="206"/>
        <v>492313</v>
      </c>
      <c r="Q45" s="621">
        <f t="shared" ref="Q45" si="207">SUM(Q46:Q60)</f>
        <v>6236852</v>
      </c>
      <c r="R45" s="621">
        <f t="shared" si="206"/>
        <v>6952237</v>
      </c>
      <c r="S45" s="621">
        <f t="shared" si="206"/>
        <v>893831</v>
      </c>
      <c r="T45" s="621">
        <f t="shared" ref="T45" si="208">SUM(T46:T60)</f>
        <v>7846068</v>
      </c>
      <c r="U45" s="621">
        <f t="shared" si="206"/>
        <v>8505566</v>
      </c>
      <c r="V45" s="621">
        <f t="shared" si="206"/>
        <v>1505357</v>
      </c>
      <c r="W45" s="621">
        <f t="shared" ref="W45" si="209">SUM(W46:W60)</f>
        <v>10010923</v>
      </c>
      <c r="X45" s="621">
        <f t="shared" si="206"/>
        <v>10347426</v>
      </c>
      <c r="Y45" s="621">
        <f t="shared" si="206"/>
        <v>2144233</v>
      </c>
      <c r="Z45" s="621">
        <f t="shared" ref="Z45" si="210">SUM(Z46:Z60)</f>
        <v>12491659</v>
      </c>
      <c r="AA45" s="621">
        <f t="shared" si="206"/>
        <v>12086005</v>
      </c>
      <c r="AB45" s="621">
        <f t="shared" si="206"/>
        <v>2818337</v>
      </c>
      <c r="AC45" s="621">
        <f t="shared" ref="AC45" si="211">SUM(AC46:AC60)</f>
        <v>14904342</v>
      </c>
      <c r="AD45" s="621">
        <f t="shared" si="206"/>
        <v>13815025</v>
      </c>
      <c r="AE45" s="621">
        <f t="shared" si="206"/>
        <v>3498770</v>
      </c>
      <c r="AF45" s="621">
        <f t="shared" ref="AF45" si="212">SUM(AF46:AF60)</f>
        <v>17313795</v>
      </c>
      <c r="AG45" s="621">
        <f t="shared" si="206"/>
        <v>15443380</v>
      </c>
      <c r="AH45" s="621">
        <f t="shared" si="206"/>
        <v>4235380</v>
      </c>
      <c r="AI45" s="621">
        <f t="shared" ref="AI45" si="213">SUM(AI46:AI60)</f>
        <v>19678760</v>
      </c>
      <c r="AJ45" s="621">
        <f t="shared" si="206"/>
        <v>17221048</v>
      </c>
      <c r="AK45" s="621">
        <f t="shared" si="206"/>
        <v>4991903</v>
      </c>
      <c r="AL45" s="621">
        <f t="shared" ref="AL45" si="214">SUM(AL46:AL60)</f>
        <v>22212951</v>
      </c>
      <c r="AM45" s="621">
        <f t="shared" si="206"/>
        <v>18598340</v>
      </c>
      <c r="AN45" s="621">
        <f t="shared" si="206"/>
        <v>5748822</v>
      </c>
      <c r="AO45" s="621">
        <f t="shared" ref="AO45" si="215">SUM(AO46:AO60)</f>
        <v>24347162</v>
      </c>
      <c r="AP45" s="621">
        <f t="shared" si="206"/>
        <v>19997627</v>
      </c>
      <c r="AQ45" s="621">
        <f t="shared" si="206"/>
        <v>6594383</v>
      </c>
      <c r="AR45" s="621">
        <f t="shared" ref="AR45" si="216">SUM(AR46:AR60)</f>
        <v>26592010</v>
      </c>
      <c r="AS45" s="621">
        <f t="shared" si="206"/>
        <v>21735220</v>
      </c>
      <c r="AT45" s="621">
        <f t="shared" si="206"/>
        <v>7450895</v>
      </c>
      <c r="AU45" s="621">
        <f t="shared" ref="AU45:AV45" si="217">SUM(AU46:AU60)</f>
        <v>29186115</v>
      </c>
      <c r="AV45" s="621">
        <f t="shared" si="217"/>
        <v>17017</v>
      </c>
      <c r="AW45" s="653"/>
      <c r="AX45" s="621">
        <f t="shared" si="206"/>
        <v>10599291.378912676</v>
      </c>
      <c r="AY45" s="621">
        <f t="shared" si="206"/>
        <v>8554207.0637699999</v>
      </c>
      <c r="AZ45" s="621">
        <f t="shared" si="206"/>
        <v>19153498.442682676</v>
      </c>
      <c r="BA45" s="621">
        <f t="shared" si="206"/>
        <v>16652</v>
      </c>
      <c r="BB45" s="653"/>
      <c r="BC45" s="621">
        <f t="shared" si="206"/>
        <v>2414227.0830793334</v>
      </c>
      <c r="BD45" s="621">
        <f t="shared" si="206"/>
        <v>2012508.05</v>
      </c>
      <c r="BE45" s="621">
        <f t="shared" si="206"/>
        <v>4426735.1330793332</v>
      </c>
      <c r="BF45" s="621">
        <f t="shared" si="206"/>
        <v>1276</v>
      </c>
      <c r="BG45" s="621"/>
      <c r="BH45" s="621">
        <f t="shared" si="206"/>
        <v>34748738.461992003</v>
      </c>
      <c r="BI45" s="621">
        <f t="shared" si="206"/>
        <v>18017610.113770001</v>
      </c>
      <c r="BJ45" s="621">
        <f t="shared" si="206"/>
        <v>52766348.575762011</v>
      </c>
      <c r="BK45" s="621">
        <f t="shared" si="74"/>
        <v>34945</v>
      </c>
      <c r="BL45" s="599"/>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row>
    <row r="46" spans="1:179" s="9" customFormat="1" ht="90.75" customHeight="1">
      <c r="A46" s="525" t="s">
        <v>21</v>
      </c>
      <c r="B46" s="525" t="s">
        <v>225</v>
      </c>
      <c r="C46" s="622">
        <v>5441400</v>
      </c>
      <c r="D46" s="622">
        <v>5441400</v>
      </c>
      <c r="E46" s="622">
        <v>1000000</v>
      </c>
      <c r="F46" s="622">
        <v>1000000</v>
      </c>
      <c r="G46" s="622">
        <v>6441400</v>
      </c>
      <c r="H46" s="622">
        <v>1076501</v>
      </c>
      <c r="I46" s="622">
        <v>572186</v>
      </c>
      <c r="J46" s="622">
        <v>1648687</v>
      </c>
      <c r="K46" s="622">
        <v>4137701.01</v>
      </c>
      <c r="L46" s="622">
        <v>75334</v>
      </c>
      <c r="M46" s="622">
        <v>0</v>
      </c>
      <c r="N46" s="618">
        <f t="shared" si="114"/>
        <v>75334</v>
      </c>
      <c r="O46" s="623">
        <v>152081</v>
      </c>
      <c r="P46" s="623">
        <v>0</v>
      </c>
      <c r="Q46" s="618">
        <f t="shared" si="115"/>
        <v>152081</v>
      </c>
      <c r="R46" s="623">
        <v>258930</v>
      </c>
      <c r="S46" s="623">
        <v>0</v>
      </c>
      <c r="T46" s="618">
        <f t="shared" si="116"/>
        <v>258930</v>
      </c>
      <c r="U46" s="623">
        <v>356788</v>
      </c>
      <c r="V46" s="623">
        <v>0</v>
      </c>
      <c r="W46" s="618">
        <f t="shared" si="117"/>
        <v>356788</v>
      </c>
      <c r="X46" s="623">
        <v>449251</v>
      </c>
      <c r="Y46" s="623">
        <v>0</v>
      </c>
      <c r="Z46" s="618">
        <f t="shared" si="118"/>
        <v>449251</v>
      </c>
      <c r="AA46" s="623">
        <v>524673</v>
      </c>
      <c r="AB46" s="623">
        <v>0</v>
      </c>
      <c r="AC46" s="618">
        <f t="shared" si="119"/>
        <v>524673</v>
      </c>
      <c r="AD46" s="623">
        <v>600094</v>
      </c>
      <c r="AE46" s="623">
        <v>0</v>
      </c>
      <c r="AF46" s="618">
        <f t="shared" si="120"/>
        <v>600094</v>
      </c>
      <c r="AG46" s="623">
        <v>675516</v>
      </c>
      <c r="AH46" s="623">
        <v>0</v>
      </c>
      <c r="AI46" s="618">
        <f t="shared" si="121"/>
        <v>675516</v>
      </c>
      <c r="AJ46" s="623">
        <v>750937</v>
      </c>
      <c r="AK46" s="623">
        <v>17982</v>
      </c>
      <c r="AL46" s="618">
        <f t="shared" si="122"/>
        <v>768919</v>
      </c>
      <c r="AM46" s="623">
        <v>826359</v>
      </c>
      <c r="AN46" s="623">
        <v>35964</v>
      </c>
      <c r="AO46" s="618">
        <f t="shared" si="123"/>
        <v>862323</v>
      </c>
      <c r="AP46" s="623">
        <v>900881</v>
      </c>
      <c r="AQ46" s="623">
        <v>125874</v>
      </c>
      <c r="AR46" s="618">
        <f t="shared" si="124"/>
        <v>1026755</v>
      </c>
      <c r="AS46" s="623">
        <v>975404</v>
      </c>
      <c r="AT46" s="623">
        <v>247252</v>
      </c>
      <c r="AU46" s="618">
        <f t="shared" si="125"/>
        <v>1222656</v>
      </c>
      <c r="AV46" s="623">
        <v>1224</v>
      </c>
      <c r="AW46" s="655" t="s">
        <v>1534</v>
      </c>
      <c r="AX46" s="623">
        <v>270661.99</v>
      </c>
      <c r="AY46" s="623">
        <v>751747</v>
      </c>
      <c r="AZ46" s="618">
        <f t="shared" si="126"/>
        <v>1022408.99</v>
      </c>
      <c r="BA46" s="623">
        <v>1023</v>
      </c>
      <c r="BB46" s="655" t="s">
        <v>1534</v>
      </c>
      <c r="BC46" s="623">
        <v>0</v>
      </c>
      <c r="BD46" s="623">
        <v>0</v>
      </c>
      <c r="BE46" s="618">
        <f t="shared" si="127"/>
        <v>0</v>
      </c>
      <c r="BF46" s="623">
        <v>0</v>
      </c>
      <c r="BG46" s="623"/>
      <c r="BH46" s="622">
        <f>BC46+AX46+AS46</f>
        <v>1246065.99</v>
      </c>
      <c r="BI46" s="622">
        <f>BD46+AY46+AT46</f>
        <v>998999</v>
      </c>
      <c r="BJ46" s="618">
        <f t="shared" si="128"/>
        <v>2245064.9900000002</v>
      </c>
      <c r="BK46" s="618">
        <f t="shared" si="74"/>
        <v>2247</v>
      </c>
      <c r="BL46" s="600" t="s">
        <v>1535</v>
      </c>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row>
    <row r="47" spans="1:179" s="9" customFormat="1" ht="64.5" customHeight="1">
      <c r="A47" s="525" t="s">
        <v>22</v>
      </c>
      <c r="B47" s="525" t="s">
        <v>226</v>
      </c>
      <c r="C47" s="622">
        <v>69881818.064676002</v>
      </c>
      <c r="D47" s="622">
        <v>69881818.064676002</v>
      </c>
      <c r="E47" s="622">
        <v>7571088.8137699999</v>
      </c>
      <c r="F47" s="622">
        <v>6979029.6685331855</v>
      </c>
      <c r="G47" s="622">
        <v>76860847.733209193</v>
      </c>
      <c r="H47" s="622">
        <v>12667804</v>
      </c>
      <c r="I47" s="622">
        <v>76274</v>
      </c>
      <c r="J47" s="622">
        <v>12744078</v>
      </c>
      <c r="K47" s="622">
        <v>52554937.339999996</v>
      </c>
      <c r="L47" s="622">
        <v>888737</v>
      </c>
      <c r="M47" s="622">
        <v>0</v>
      </c>
      <c r="N47" s="618">
        <f t="shared" si="114"/>
        <v>888737</v>
      </c>
      <c r="O47" s="623">
        <v>2061727</v>
      </c>
      <c r="P47" s="623">
        <v>70440</v>
      </c>
      <c r="Q47" s="618">
        <f t="shared" si="115"/>
        <v>2132167</v>
      </c>
      <c r="R47" s="623">
        <v>2374702</v>
      </c>
      <c r="S47" s="623">
        <v>71766</v>
      </c>
      <c r="T47" s="618">
        <f t="shared" si="116"/>
        <v>2446468</v>
      </c>
      <c r="U47" s="623">
        <v>2793734</v>
      </c>
      <c r="V47" s="623">
        <v>189536</v>
      </c>
      <c r="W47" s="618">
        <f t="shared" si="117"/>
        <v>2983270</v>
      </c>
      <c r="X47" s="623">
        <v>3499916</v>
      </c>
      <c r="Y47" s="623">
        <v>353750</v>
      </c>
      <c r="Z47" s="618">
        <f t="shared" si="118"/>
        <v>3853666</v>
      </c>
      <c r="AA47" s="623">
        <v>4177030</v>
      </c>
      <c r="AB47" s="623">
        <v>552797</v>
      </c>
      <c r="AC47" s="618">
        <f t="shared" si="119"/>
        <v>4729827</v>
      </c>
      <c r="AD47" s="623">
        <v>5019706</v>
      </c>
      <c r="AE47" s="623">
        <v>751844</v>
      </c>
      <c r="AF47" s="618">
        <f t="shared" si="120"/>
        <v>5771550</v>
      </c>
      <c r="AG47" s="623">
        <v>5862382</v>
      </c>
      <c r="AH47" s="623">
        <v>950892</v>
      </c>
      <c r="AI47" s="618">
        <f t="shared" si="121"/>
        <v>6813274</v>
      </c>
      <c r="AJ47" s="623">
        <v>6687760</v>
      </c>
      <c r="AK47" s="623">
        <v>1149939</v>
      </c>
      <c r="AL47" s="618">
        <f t="shared" si="122"/>
        <v>7837699</v>
      </c>
      <c r="AM47" s="623">
        <v>7430769</v>
      </c>
      <c r="AN47" s="623">
        <v>1348986</v>
      </c>
      <c r="AO47" s="618">
        <f t="shared" si="123"/>
        <v>8779755</v>
      </c>
      <c r="AP47" s="623">
        <v>8173778</v>
      </c>
      <c r="AQ47" s="623">
        <v>1548033</v>
      </c>
      <c r="AR47" s="618">
        <f t="shared" si="124"/>
        <v>9721811</v>
      </c>
      <c r="AS47" s="623">
        <v>8916787</v>
      </c>
      <c r="AT47" s="623">
        <v>1747081</v>
      </c>
      <c r="AU47" s="618">
        <f t="shared" si="125"/>
        <v>10663868</v>
      </c>
      <c r="AV47" s="623">
        <v>3200</v>
      </c>
      <c r="AW47" s="655" t="s">
        <v>1534</v>
      </c>
      <c r="AX47" s="623">
        <v>6206881.7246760055</v>
      </c>
      <c r="AY47" s="623">
        <v>3886360.8137699999</v>
      </c>
      <c r="AZ47" s="618">
        <f t="shared" si="126"/>
        <v>10093242.538446005</v>
      </c>
      <c r="BA47" s="623">
        <v>3029</v>
      </c>
      <c r="BB47" s="655" t="s">
        <v>1534</v>
      </c>
      <c r="BC47" s="623">
        <v>2198013</v>
      </c>
      <c r="BD47" s="623">
        <v>1935376</v>
      </c>
      <c r="BE47" s="618">
        <f t="shared" si="127"/>
        <v>4133389</v>
      </c>
      <c r="BF47" s="623">
        <v>1240</v>
      </c>
      <c r="BG47" s="622" t="s">
        <v>1534</v>
      </c>
      <c r="BH47" s="622">
        <f t="shared" ref="BH47:BI60" si="218">BC47+AX47+AS47</f>
        <v>17321681.724676006</v>
      </c>
      <c r="BI47" s="622">
        <f t="shared" si="218"/>
        <v>7568817.8137699999</v>
      </c>
      <c r="BJ47" s="618">
        <f t="shared" si="128"/>
        <v>24890499.538446005</v>
      </c>
      <c r="BK47" s="618">
        <f t="shared" si="74"/>
        <v>7469</v>
      </c>
      <c r="BL47" s="600" t="s">
        <v>1536</v>
      </c>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row>
    <row r="48" spans="1:179" s="9" customFormat="1" ht="64.5" customHeight="1">
      <c r="A48" s="525" t="s">
        <v>167</v>
      </c>
      <c r="B48" s="525" t="s">
        <v>370</v>
      </c>
      <c r="C48" s="622">
        <v>3070747.4611200001</v>
      </c>
      <c r="D48" s="622">
        <v>3070747.4611200001</v>
      </c>
      <c r="E48" s="622">
        <v>0</v>
      </c>
      <c r="F48" s="622">
        <v>0</v>
      </c>
      <c r="G48" s="622">
        <v>3070747.4611200001</v>
      </c>
      <c r="H48" s="622">
        <v>0</v>
      </c>
      <c r="I48" s="622">
        <v>0</v>
      </c>
      <c r="J48" s="622">
        <v>0</v>
      </c>
      <c r="K48" s="622">
        <v>3070746.28</v>
      </c>
      <c r="L48" s="622">
        <v>0</v>
      </c>
      <c r="M48" s="622">
        <v>0</v>
      </c>
      <c r="N48" s="618">
        <f t="shared" si="114"/>
        <v>0</v>
      </c>
      <c r="O48" s="623">
        <v>0</v>
      </c>
      <c r="P48" s="623">
        <v>0</v>
      </c>
      <c r="Q48" s="618">
        <f t="shared" si="115"/>
        <v>0</v>
      </c>
      <c r="R48" s="623">
        <v>0</v>
      </c>
      <c r="S48" s="623">
        <v>0</v>
      </c>
      <c r="T48" s="618">
        <f t="shared" si="116"/>
        <v>0</v>
      </c>
      <c r="U48" s="623">
        <v>0</v>
      </c>
      <c r="V48" s="623">
        <v>0</v>
      </c>
      <c r="W48" s="618">
        <f t="shared" si="117"/>
        <v>0</v>
      </c>
      <c r="X48" s="623">
        <v>0</v>
      </c>
      <c r="Y48" s="623">
        <v>0</v>
      </c>
      <c r="Z48" s="618">
        <f t="shared" si="118"/>
        <v>0</v>
      </c>
      <c r="AA48" s="623">
        <v>0</v>
      </c>
      <c r="AB48" s="623">
        <v>0</v>
      </c>
      <c r="AC48" s="618">
        <f t="shared" si="119"/>
        <v>0</v>
      </c>
      <c r="AD48" s="623">
        <v>0</v>
      </c>
      <c r="AE48" s="623">
        <v>0</v>
      </c>
      <c r="AF48" s="618">
        <f t="shared" si="120"/>
        <v>0</v>
      </c>
      <c r="AG48" s="623">
        <v>0</v>
      </c>
      <c r="AH48" s="623">
        <v>0</v>
      </c>
      <c r="AI48" s="618">
        <f t="shared" si="121"/>
        <v>0</v>
      </c>
      <c r="AJ48" s="623">
        <v>0</v>
      </c>
      <c r="AK48" s="623">
        <v>0</v>
      </c>
      <c r="AL48" s="618">
        <f t="shared" si="122"/>
        <v>0</v>
      </c>
      <c r="AM48" s="623">
        <v>0</v>
      </c>
      <c r="AN48" s="623">
        <v>0</v>
      </c>
      <c r="AO48" s="618">
        <f t="shared" si="123"/>
        <v>0</v>
      </c>
      <c r="AP48" s="623">
        <v>0</v>
      </c>
      <c r="AQ48" s="623">
        <v>0</v>
      </c>
      <c r="AR48" s="618">
        <f t="shared" si="124"/>
        <v>0</v>
      </c>
      <c r="AS48" s="623">
        <v>0</v>
      </c>
      <c r="AT48" s="623">
        <v>0</v>
      </c>
      <c r="AU48" s="618">
        <f t="shared" si="125"/>
        <v>0</v>
      </c>
      <c r="AV48" s="623">
        <v>0</v>
      </c>
      <c r="AW48" s="655"/>
      <c r="AX48" s="623">
        <v>0</v>
      </c>
      <c r="AY48" s="623">
        <v>0</v>
      </c>
      <c r="AZ48" s="618">
        <f t="shared" si="126"/>
        <v>0</v>
      </c>
      <c r="BA48" s="623">
        <v>0</v>
      </c>
      <c r="BB48" s="655"/>
      <c r="BC48" s="623">
        <v>0</v>
      </c>
      <c r="BD48" s="623">
        <v>0</v>
      </c>
      <c r="BE48" s="618">
        <f t="shared" si="127"/>
        <v>0</v>
      </c>
      <c r="BF48" s="623">
        <v>0</v>
      </c>
      <c r="BG48" s="623"/>
      <c r="BH48" s="622">
        <f t="shared" si="218"/>
        <v>0</v>
      </c>
      <c r="BI48" s="622">
        <f t="shared" si="218"/>
        <v>0</v>
      </c>
      <c r="BJ48" s="618">
        <f t="shared" si="128"/>
        <v>0</v>
      </c>
      <c r="BK48" s="618">
        <f t="shared" si="74"/>
        <v>0</v>
      </c>
      <c r="BL48" s="600"/>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row>
    <row r="49" spans="1:179" s="9" customFormat="1" ht="97.5">
      <c r="A49" s="525" t="s">
        <v>168</v>
      </c>
      <c r="B49" s="525" t="s">
        <v>227</v>
      </c>
      <c r="C49" s="622">
        <v>519738.31688400003</v>
      </c>
      <c r="D49" s="622">
        <v>519738.31688399997</v>
      </c>
      <c r="E49" s="622">
        <v>0</v>
      </c>
      <c r="F49" s="622">
        <v>0</v>
      </c>
      <c r="G49" s="622">
        <v>519738.31688399997</v>
      </c>
      <c r="H49" s="622">
        <v>0</v>
      </c>
      <c r="I49" s="622">
        <v>0</v>
      </c>
      <c r="J49" s="622">
        <v>0</v>
      </c>
      <c r="K49" s="622">
        <v>536499.61</v>
      </c>
      <c r="L49" s="622">
        <v>0</v>
      </c>
      <c r="M49" s="622">
        <v>0</v>
      </c>
      <c r="N49" s="618">
        <f t="shared" si="114"/>
        <v>0</v>
      </c>
      <c r="O49" s="623">
        <v>0</v>
      </c>
      <c r="P49" s="623">
        <v>0</v>
      </c>
      <c r="Q49" s="618">
        <f t="shared" si="115"/>
        <v>0</v>
      </c>
      <c r="R49" s="623">
        <v>0</v>
      </c>
      <c r="S49" s="623">
        <v>0</v>
      </c>
      <c r="T49" s="618">
        <f t="shared" si="116"/>
        <v>0</v>
      </c>
      <c r="U49" s="623">
        <v>0</v>
      </c>
      <c r="V49" s="623">
        <v>0</v>
      </c>
      <c r="W49" s="618">
        <f t="shared" si="117"/>
        <v>0</v>
      </c>
      <c r="X49" s="623">
        <v>0</v>
      </c>
      <c r="Y49" s="623">
        <v>0</v>
      </c>
      <c r="Z49" s="618">
        <f t="shared" si="118"/>
        <v>0</v>
      </c>
      <c r="AA49" s="623">
        <v>0</v>
      </c>
      <c r="AB49" s="623">
        <v>0</v>
      </c>
      <c r="AC49" s="618">
        <f t="shared" si="119"/>
        <v>0</v>
      </c>
      <c r="AD49" s="623">
        <v>0</v>
      </c>
      <c r="AE49" s="623">
        <v>0</v>
      </c>
      <c r="AF49" s="618">
        <f t="shared" si="120"/>
        <v>0</v>
      </c>
      <c r="AG49" s="623">
        <v>0</v>
      </c>
      <c r="AH49" s="623">
        <v>0</v>
      </c>
      <c r="AI49" s="618">
        <f t="shared" si="121"/>
        <v>0</v>
      </c>
      <c r="AJ49" s="623">
        <v>0</v>
      </c>
      <c r="AK49" s="623">
        <v>0</v>
      </c>
      <c r="AL49" s="618">
        <f t="shared" si="122"/>
        <v>0</v>
      </c>
      <c r="AM49" s="623">
        <v>0</v>
      </c>
      <c r="AN49" s="623">
        <v>0</v>
      </c>
      <c r="AO49" s="618">
        <f t="shared" si="123"/>
        <v>0</v>
      </c>
      <c r="AP49" s="623">
        <v>0</v>
      </c>
      <c r="AQ49" s="623">
        <v>0</v>
      </c>
      <c r="AR49" s="618">
        <f t="shared" si="124"/>
        <v>0</v>
      </c>
      <c r="AS49" s="623">
        <v>0</v>
      </c>
      <c r="AT49" s="623">
        <v>0</v>
      </c>
      <c r="AU49" s="618">
        <f t="shared" si="125"/>
        <v>0</v>
      </c>
      <c r="AV49" s="623">
        <v>0</v>
      </c>
      <c r="AW49" s="655"/>
      <c r="AX49" s="623">
        <v>0</v>
      </c>
      <c r="AY49" s="623">
        <v>0</v>
      </c>
      <c r="AZ49" s="618">
        <f t="shared" si="126"/>
        <v>0</v>
      </c>
      <c r="BA49" s="623">
        <v>0</v>
      </c>
      <c r="BB49" s="655"/>
      <c r="BC49" s="623">
        <v>0</v>
      </c>
      <c r="BD49" s="623">
        <v>0</v>
      </c>
      <c r="BE49" s="618">
        <f t="shared" si="127"/>
        <v>0</v>
      </c>
      <c r="BF49" s="623">
        <v>0</v>
      </c>
      <c r="BG49" s="623"/>
      <c r="BH49" s="622">
        <f t="shared" si="218"/>
        <v>0</v>
      </c>
      <c r="BI49" s="622">
        <f t="shared" si="218"/>
        <v>0</v>
      </c>
      <c r="BJ49" s="618">
        <f t="shared" si="128"/>
        <v>0</v>
      </c>
      <c r="BK49" s="618">
        <f t="shared" si="74"/>
        <v>0</v>
      </c>
      <c r="BL49" s="600"/>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row>
    <row r="50" spans="1:179" s="9" customFormat="1" ht="120.75" customHeight="1">
      <c r="A50" s="525" t="s">
        <v>23</v>
      </c>
      <c r="B50" s="525" t="s">
        <v>228</v>
      </c>
      <c r="C50" s="622">
        <v>5685350.5280999998</v>
      </c>
      <c r="D50" s="622">
        <v>5685350.5280999998</v>
      </c>
      <c r="E50" s="622">
        <v>0</v>
      </c>
      <c r="F50" s="622">
        <v>0</v>
      </c>
      <c r="G50" s="622">
        <v>5685350.5280999998</v>
      </c>
      <c r="H50" s="622">
        <v>0</v>
      </c>
      <c r="I50" s="622">
        <v>0</v>
      </c>
      <c r="J50" s="622">
        <v>0</v>
      </c>
      <c r="K50" s="622">
        <v>5193313.92</v>
      </c>
      <c r="L50" s="622">
        <v>0</v>
      </c>
      <c r="M50" s="622">
        <v>0</v>
      </c>
      <c r="N50" s="618">
        <f t="shared" si="114"/>
        <v>0</v>
      </c>
      <c r="O50" s="623">
        <v>0</v>
      </c>
      <c r="P50" s="623">
        <v>0</v>
      </c>
      <c r="Q50" s="618">
        <f t="shared" si="115"/>
        <v>0</v>
      </c>
      <c r="R50" s="623">
        <v>0</v>
      </c>
      <c r="S50" s="623">
        <v>0</v>
      </c>
      <c r="T50" s="618">
        <f t="shared" si="116"/>
        <v>0</v>
      </c>
      <c r="U50" s="623">
        <v>0</v>
      </c>
      <c r="V50" s="623">
        <v>0</v>
      </c>
      <c r="W50" s="618">
        <f t="shared" si="117"/>
        <v>0</v>
      </c>
      <c r="X50" s="623">
        <v>0</v>
      </c>
      <c r="Y50" s="623">
        <v>0</v>
      </c>
      <c r="Z50" s="618">
        <f t="shared" si="118"/>
        <v>0</v>
      </c>
      <c r="AA50" s="623">
        <v>0</v>
      </c>
      <c r="AB50" s="623">
        <v>0</v>
      </c>
      <c r="AC50" s="618">
        <f t="shared" si="119"/>
        <v>0</v>
      </c>
      <c r="AD50" s="623">
        <v>0</v>
      </c>
      <c r="AE50" s="623">
        <v>0</v>
      </c>
      <c r="AF50" s="618">
        <f t="shared" si="120"/>
        <v>0</v>
      </c>
      <c r="AG50" s="623">
        <v>0</v>
      </c>
      <c r="AH50" s="623">
        <v>0</v>
      </c>
      <c r="AI50" s="618">
        <f t="shared" si="121"/>
        <v>0</v>
      </c>
      <c r="AJ50" s="623">
        <v>0</v>
      </c>
      <c r="AK50" s="623">
        <v>0</v>
      </c>
      <c r="AL50" s="618">
        <f t="shared" si="122"/>
        <v>0</v>
      </c>
      <c r="AM50" s="623">
        <v>0</v>
      </c>
      <c r="AN50" s="623">
        <v>0</v>
      </c>
      <c r="AO50" s="618">
        <f t="shared" si="123"/>
        <v>0</v>
      </c>
      <c r="AP50" s="623">
        <v>0</v>
      </c>
      <c r="AQ50" s="623">
        <v>0</v>
      </c>
      <c r="AR50" s="618">
        <f t="shared" si="124"/>
        <v>0</v>
      </c>
      <c r="AS50" s="623">
        <v>0</v>
      </c>
      <c r="AT50" s="623">
        <v>0</v>
      </c>
      <c r="AU50" s="618">
        <f t="shared" si="125"/>
        <v>0</v>
      </c>
      <c r="AV50" s="623">
        <v>0</v>
      </c>
      <c r="AW50" s="655"/>
      <c r="AX50" s="623">
        <v>491544.60809999984</v>
      </c>
      <c r="AY50" s="623">
        <v>0</v>
      </c>
      <c r="AZ50" s="618">
        <f t="shared" si="126"/>
        <v>491544.60809999984</v>
      </c>
      <c r="BA50" s="623">
        <v>492</v>
      </c>
      <c r="BB50" s="655" t="s">
        <v>1534</v>
      </c>
      <c r="BC50" s="623">
        <v>0</v>
      </c>
      <c r="BD50" s="623">
        <v>0</v>
      </c>
      <c r="BE50" s="618">
        <f t="shared" si="127"/>
        <v>0</v>
      </c>
      <c r="BF50" s="623">
        <v>0</v>
      </c>
      <c r="BG50" s="623"/>
      <c r="BH50" s="622">
        <f t="shared" si="218"/>
        <v>491544.60809999984</v>
      </c>
      <c r="BI50" s="622">
        <f t="shared" si="218"/>
        <v>0</v>
      </c>
      <c r="BJ50" s="618">
        <f t="shared" si="128"/>
        <v>491544.60809999984</v>
      </c>
      <c r="BK50" s="618">
        <f t="shared" si="74"/>
        <v>492</v>
      </c>
      <c r="BL50" s="600" t="s">
        <v>1537</v>
      </c>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row>
    <row r="51" spans="1:179" s="9" customFormat="1" ht="64.5" customHeight="1">
      <c r="A51" s="525" t="s">
        <v>24</v>
      </c>
      <c r="B51" s="525" t="s">
        <v>229</v>
      </c>
      <c r="C51" s="622">
        <v>1970593.5412079999</v>
      </c>
      <c r="D51" s="622">
        <v>1970593.5412079999</v>
      </c>
      <c r="E51" s="622">
        <v>0</v>
      </c>
      <c r="F51" s="622">
        <v>0</v>
      </c>
      <c r="G51" s="622">
        <v>1970593.5412079999</v>
      </c>
      <c r="H51" s="622">
        <v>452239</v>
      </c>
      <c r="I51" s="622">
        <v>55029</v>
      </c>
      <c r="J51" s="622">
        <v>507268</v>
      </c>
      <c r="K51" s="622">
        <v>1420448.56</v>
      </c>
      <c r="L51" s="622">
        <v>50686</v>
      </c>
      <c r="M51" s="622">
        <v>0</v>
      </c>
      <c r="N51" s="618">
        <f t="shared" si="114"/>
        <v>50686</v>
      </c>
      <c r="O51" s="623">
        <v>119274</v>
      </c>
      <c r="P51" s="623">
        <v>0</v>
      </c>
      <c r="Q51" s="618">
        <f t="shared" si="115"/>
        <v>119274</v>
      </c>
      <c r="R51" s="623">
        <v>126834</v>
      </c>
      <c r="S51" s="623">
        <v>0</v>
      </c>
      <c r="T51" s="618">
        <f t="shared" si="116"/>
        <v>126834</v>
      </c>
      <c r="U51" s="623">
        <v>151265</v>
      </c>
      <c r="V51" s="623">
        <v>0</v>
      </c>
      <c r="W51" s="618">
        <f t="shared" si="117"/>
        <v>151265</v>
      </c>
      <c r="X51" s="623">
        <v>171263</v>
      </c>
      <c r="Y51" s="623">
        <v>0</v>
      </c>
      <c r="Z51" s="618">
        <f t="shared" si="118"/>
        <v>171263</v>
      </c>
      <c r="AA51" s="623">
        <v>188196</v>
      </c>
      <c r="AB51" s="623">
        <v>0</v>
      </c>
      <c r="AC51" s="618">
        <f t="shared" si="119"/>
        <v>188196</v>
      </c>
      <c r="AD51" s="623">
        <v>222206</v>
      </c>
      <c r="AE51" s="623">
        <v>0</v>
      </c>
      <c r="AF51" s="618">
        <f t="shared" si="120"/>
        <v>222206</v>
      </c>
      <c r="AG51" s="623">
        <v>241044</v>
      </c>
      <c r="AH51" s="623">
        <v>0</v>
      </c>
      <c r="AI51" s="618">
        <f t="shared" si="121"/>
        <v>241044</v>
      </c>
      <c r="AJ51" s="623">
        <v>274113</v>
      </c>
      <c r="AK51" s="623">
        <v>0</v>
      </c>
      <c r="AL51" s="618">
        <f t="shared" si="122"/>
        <v>274113</v>
      </c>
      <c r="AM51" s="623">
        <v>304173</v>
      </c>
      <c r="AN51" s="623">
        <v>0</v>
      </c>
      <c r="AO51" s="618">
        <f t="shared" si="123"/>
        <v>304173</v>
      </c>
      <c r="AP51" s="623">
        <v>357099</v>
      </c>
      <c r="AQ51" s="623">
        <v>0</v>
      </c>
      <c r="AR51" s="618">
        <f t="shared" si="124"/>
        <v>357099</v>
      </c>
      <c r="AS51" s="623">
        <v>412133</v>
      </c>
      <c r="AT51" s="623">
        <v>0</v>
      </c>
      <c r="AU51" s="618">
        <f t="shared" si="125"/>
        <v>412133</v>
      </c>
      <c r="AV51" s="623">
        <v>124</v>
      </c>
      <c r="AW51" s="655" t="s">
        <v>1534</v>
      </c>
      <c r="AX51" s="623">
        <v>137846.98120799987</v>
      </c>
      <c r="AY51" s="623">
        <v>0</v>
      </c>
      <c r="AZ51" s="618">
        <f t="shared" si="126"/>
        <v>137846.98120799987</v>
      </c>
      <c r="BA51" s="623">
        <v>41</v>
      </c>
      <c r="BB51" s="655" t="s">
        <v>1534</v>
      </c>
      <c r="BC51" s="623">
        <v>0</v>
      </c>
      <c r="BD51" s="623">
        <v>0</v>
      </c>
      <c r="BE51" s="618">
        <f t="shared" si="127"/>
        <v>0</v>
      </c>
      <c r="BF51" s="623">
        <v>0</v>
      </c>
      <c r="BG51" s="623"/>
      <c r="BH51" s="622">
        <f t="shared" si="218"/>
        <v>549979.98120799987</v>
      </c>
      <c r="BI51" s="622">
        <f t="shared" si="218"/>
        <v>0</v>
      </c>
      <c r="BJ51" s="618">
        <f t="shared" si="128"/>
        <v>549979.98120799987</v>
      </c>
      <c r="BK51" s="618">
        <f t="shared" si="74"/>
        <v>165</v>
      </c>
      <c r="BL51" s="600" t="s">
        <v>1538</v>
      </c>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row>
    <row r="52" spans="1:179" s="9" customFormat="1" ht="134.25" customHeight="1">
      <c r="A52" s="525" t="s">
        <v>372</v>
      </c>
      <c r="B52" s="525" t="s">
        <v>230</v>
      </c>
      <c r="C52" s="622">
        <v>48697755.119052</v>
      </c>
      <c r="D52" s="622">
        <v>48697755.119052</v>
      </c>
      <c r="E52" s="622">
        <v>15707779</v>
      </c>
      <c r="F52" s="622">
        <v>12642739</v>
      </c>
      <c r="G52" s="622">
        <v>61340494.119052</v>
      </c>
      <c r="H52" s="622">
        <v>10402799</v>
      </c>
      <c r="I52" s="622">
        <v>0</v>
      </c>
      <c r="J52" s="622">
        <v>10402799</v>
      </c>
      <c r="K52" s="622">
        <v>47897455.269999996</v>
      </c>
      <c r="L52" s="622">
        <v>1038948</v>
      </c>
      <c r="M52" s="622">
        <v>0</v>
      </c>
      <c r="N52" s="618">
        <f t="shared" si="114"/>
        <v>1038948</v>
      </c>
      <c r="O52" s="623">
        <v>1757003</v>
      </c>
      <c r="P52" s="623">
        <v>421873</v>
      </c>
      <c r="Q52" s="618">
        <f t="shared" si="115"/>
        <v>2178876</v>
      </c>
      <c r="R52" s="623">
        <v>2084439</v>
      </c>
      <c r="S52" s="623">
        <v>811353</v>
      </c>
      <c r="T52" s="618">
        <f t="shared" si="116"/>
        <v>2895792</v>
      </c>
      <c r="U52" s="623">
        <v>2467772</v>
      </c>
      <c r="V52" s="623">
        <v>1216508</v>
      </c>
      <c r="W52" s="618">
        <f t="shared" si="117"/>
        <v>3684280</v>
      </c>
      <c r="X52" s="623">
        <v>2835572</v>
      </c>
      <c r="Y52" s="623">
        <v>1617632</v>
      </c>
      <c r="Z52" s="618">
        <f t="shared" si="118"/>
        <v>4453204</v>
      </c>
      <c r="AA52" s="623">
        <v>3201860</v>
      </c>
      <c r="AB52" s="623">
        <v>2018756</v>
      </c>
      <c r="AC52" s="618">
        <f t="shared" si="119"/>
        <v>5220616</v>
      </c>
      <c r="AD52" s="623">
        <v>3567718</v>
      </c>
      <c r="AE52" s="623">
        <v>2419880</v>
      </c>
      <c r="AF52" s="618">
        <f t="shared" si="120"/>
        <v>5987598</v>
      </c>
      <c r="AG52" s="623">
        <v>3934022</v>
      </c>
      <c r="AH52" s="623">
        <v>2825639</v>
      </c>
      <c r="AI52" s="618">
        <f t="shared" si="121"/>
        <v>6759661</v>
      </c>
      <c r="AJ52" s="623">
        <v>4349498</v>
      </c>
      <c r="AK52" s="623">
        <v>3231398</v>
      </c>
      <c r="AL52" s="618">
        <f t="shared" si="122"/>
        <v>7580896</v>
      </c>
      <c r="AM52" s="623">
        <v>4711610</v>
      </c>
      <c r="AN52" s="623">
        <v>3637157</v>
      </c>
      <c r="AO52" s="618">
        <f t="shared" si="123"/>
        <v>8348767</v>
      </c>
      <c r="AP52" s="623">
        <v>5080526</v>
      </c>
      <c r="AQ52" s="623">
        <v>4042916</v>
      </c>
      <c r="AR52" s="618">
        <f t="shared" si="124"/>
        <v>9123442</v>
      </c>
      <c r="AS52" s="623">
        <v>5447274</v>
      </c>
      <c r="AT52" s="623">
        <v>4444040</v>
      </c>
      <c r="AU52" s="618">
        <f t="shared" si="125"/>
        <v>9891314</v>
      </c>
      <c r="AV52" s="623">
        <v>7919</v>
      </c>
      <c r="AW52" s="655" t="s">
        <v>1534</v>
      </c>
      <c r="AX52" s="623">
        <v>646733.79905200447</v>
      </c>
      <c r="AY52" s="623">
        <v>2879826</v>
      </c>
      <c r="AZ52" s="692">
        <v>3526559.7990520047</v>
      </c>
      <c r="BA52" s="623">
        <v>9526</v>
      </c>
      <c r="BB52" s="655" t="s">
        <v>1534</v>
      </c>
      <c r="BC52" s="623">
        <v>0</v>
      </c>
      <c r="BD52" s="623">
        <v>0</v>
      </c>
      <c r="BE52" s="618">
        <f t="shared" si="127"/>
        <v>0</v>
      </c>
      <c r="BF52" s="623">
        <v>0</v>
      </c>
      <c r="BG52" s="623"/>
      <c r="BH52" s="622">
        <f t="shared" si="218"/>
        <v>6094007.7990520047</v>
      </c>
      <c r="BI52" s="622">
        <f t="shared" si="218"/>
        <v>7323866</v>
      </c>
      <c r="BJ52" s="618">
        <f t="shared" si="128"/>
        <v>13417873.799052004</v>
      </c>
      <c r="BK52" s="618">
        <f t="shared" si="74"/>
        <v>17445</v>
      </c>
      <c r="BL52" s="600" t="s">
        <v>1539</v>
      </c>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row>
    <row r="53" spans="1:179" s="9" customFormat="1" ht="64.5" hidden="1" customHeight="1" outlineLevel="1">
      <c r="A53" s="525" t="s">
        <v>25</v>
      </c>
      <c r="B53" s="525" t="s">
        <v>231</v>
      </c>
      <c r="C53" s="622">
        <v>0</v>
      </c>
      <c r="D53" s="622">
        <v>0</v>
      </c>
      <c r="E53" s="622">
        <v>0</v>
      </c>
      <c r="F53" s="622">
        <v>0</v>
      </c>
      <c r="G53" s="622">
        <v>0</v>
      </c>
      <c r="H53" s="622">
        <v>0</v>
      </c>
      <c r="I53" s="622">
        <v>0</v>
      </c>
      <c r="J53" s="622">
        <v>0</v>
      </c>
      <c r="K53" s="622">
        <v>0</v>
      </c>
      <c r="L53" s="622">
        <v>0</v>
      </c>
      <c r="M53" s="622">
        <v>0</v>
      </c>
      <c r="N53" s="618">
        <f t="shared" si="114"/>
        <v>0</v>
      </c>
      <c r="O53" s="623">
        <v>0</v>
      </c>
      <c r="P53" s="623">
        <v>0</v>
      </c>
      <c r="Q53" s="618">
        <f t="shared" si="115"/>
        <v>0</v>
      </c>
      <c r="R53" s="623">
        <v>0</v>
      </c>
      <c r="S53" s="623">
        <v>0</v>
      </c>
      <c r="T53" s="618">
        <f t="shared" si="116"/>
        <v>0</v>
      </c>
      <c r="U53" s="623">
        <v>0</v>
      </c>
      <c r="V53" s="623">
        <v>0</v>
      </c>
      <c r="W53" s="618">
        <f t="shared" si="117"/>
        <v>0</v>
      </c>
      <c r="X53" s="623">
        <v>0</v>
      </c>
      <c r="Y53" s="623">
        <v>0</v>
      </c>
      <c r="Z53" s="618">
        <f t="shared" si="118"/>
        <v>0</v>
      </c>
      <c r="AA53" s="623">
        <v>0</v>
      </c>
      <c r="AB53" s="623">
        <v>0</v>
      </c>
      <c r="AC53" s="618">
        <f t="shared" si="119"/>
        <v>0</v>
      </c>
      <c r="AD53" s="623">
        <v>0</v>
      </c>
      <c r="AE53" s="623">
        <v>0</v>
      </c>
      <c r="AF53" s="618">
        <f t="shared" si="120"/>
        <v>0</v>
      </c>
      <c r="AG53" s="623">
        <v>0</v>
      </c>
      <c r="AH53" s="623">
        <v>0</v>
      </c>
      <c r="AI53" s="618">
        <f t="shared" si="121"/>
        <v>0</v>
      </c>
      <c r="AJ53" s="623">
        <v>0</v>
      </c>
      <c r="AK53" s="623">
        <v>0</v>
      </c>
      <c r="AL53" s="618">
        <f t="shared" si="122"/>
        <v>0</v>
      </c>
      <c r="AM53" s="623">
        <v>0</v>
      </c>
      <c r="AN53" s="623">
        <v>0</v>
      </c>
      <c r="AO53" s="618">
        <f t="shared" si="123"/>
        <v>0</v>
      </c>
      <c r="AP53" s="623">
        <v>0</v>
      </c>
      <c r="AQ53" s="623">
        <v>0</v>
      </c>
      <c r="AR53" s="618">
        <f t="shared" si="124"/>
        <v>0</v>
      </c>
      <c r="AS53" s="623">
        <v>0</v>
      </c>
      <c r="AT53" s="623">
        <v>0</v>
      </c>
      <c r="AU53" s="618">
        <f t="shared" si="125"/>
        <v>0</v>
      </c>
      <c r="AV53" s="623">
        <v>0</v>
      </c>
      <c r="AW53" s="655"/>
      <c r="AX53" s="623">
        <v>0</v>
      </c>
      <c r="AY53" s="623">
        <v>0</v>
      </c>
      <c r="AZ53" s="618">
        <f t="shared" si="126"/>
        <v>0</v>
      </c>
      <c r="BA53" s="623">
        <v>0</v>
      </c>
      <c r="BB53" s="655"/>
      <c r="BC53" s="623">
        <v>0</v>
      </c>
      <c r="BD53" s="623">
        <v>0</v>
      </c>
      <c r="BE53" s="618">
        <f t="shared" si="127"/>
        <v>0</v>
      </c>
      <c r="BF53" s="623">
        <v>0</v>
      </c>
      <c r="BG53" s="623"/>
      <c r="BH53" s="622">
        <f t="shared" si="218"/>
        <v>0</v>
      </c>
      <c r="BI53" s="622">
        <f t="shared" si="218"/>
        <v>0</v>
      </c>
      <c r="BJ53" s="618">
        <f t="shared" si="128"/>
        <v>0</v>
      </c>
      <c r="BK53" s="618">
        <f t="shared" si="74"/>
        <v>0</v>
      </c>
      <c r="BL53" s="600"/>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row>
    <row r="54" spans="1:179" s="9" customFormat="1" ht="120.75" customHeight="1" collapsed="1">
      <c r="A54" s="525" t="s">
        <v>26</v>
      </c>
      <c r="B54" s="525" t="s">
        <v>232</v>
      </c>
      <c r="C54" s="622">
        <v>850000</v>
      </c>
      <c r="D54" s="622">
        <v>850000</v>
      </c>
      <c r="E54" s="622">
        <v>0</v>
      </c>
      <c r="F54" s="622">
        <v>0</v>
      </c>
      <c r="G54" s="622">
        <v>850000</v>
      </c>
      <c r="H54" s="622">
        <v>395890</v>
      </c>
      <c r="I54" s="622">
        <v>-2732</v>
      </c>
      <c r="J54" s="622">
        <v>393158</v>
      </c>
      <c r="K54" s="622">
        <v>320132.71000000002</v>
      </c>
      <c r="L54" s="622">
        <v>8690</v>
      </c>
      <c r="M54" s="622">
        <v>0</v>
      </c>
      <c r="N54" s="618">
        <f t="shared" si="114"/>
        <v>8690</v>
      </c>
      <c r="O54" s="623">
        <v>52589</v>
      </c>
      <c r="P54" s="623">
        <v>0</v>
      </c>
      <c r="Q54" s="618">
        <f t="shared" si="115"/>
        <v>52589</v>
      </c>
      <c r="R54" s="623">
        <v>71844</v>
      </c>
      <c r="S54" s="623">
        <v>0</v>
      </c>
      <c r="T54" s="618">
        <f t="shared" si="116"/>
        <v>71844</v>
      </c>
      <c r="U54" s="623">
        <v>100841</v>
      </c>
      <c r="V54" s="623">
        <v>0</v>
      </c>
      <c r="W54" s="618">
        <f t="shared" si="117"/>
        <v>100841</v>
      </c>
      <c r="X54" s="623">
        <v>106372</v>
      </c>
      <c r="Y54" s="623">
        <v>0</v>
      </c>
      <c r="Z54" s="618">
        <f t="shared" si="118"/>
        <v>106372</v>
      </c>
      <c r="AA54" s="623">
        <v>164652</v>
      </c>
      <c r="AB54" s="623">
        <v>0</v>
      </c>
      <c r="AC54" s="618">
        <f t="shared" si="119"/>
        <v>164652</v>
      </c>
      <c r="AD54" s="623">
        <v>172100</v>
      </c>
      <c r="AE54" s="623">
        <v>0</v>
      </c>
      <c r="AF54" s="618">
        <f t="shared" si="120"/>
        <v>172100</v>
      </c>
      <c r="AG54" s="623">
        <v>188340</v>
      </c>
      <c r="AH54" s="623">
        <v>0</v>
      </c>
      <c r="AI54" s="618">
        <f t="shared" si="121"/>
        <v>188340</v>
      </c>
      <c r="AJ54" s="623">
        <v>216203</v>
      </c>
      <c r="AK54" s="623">
        <v>0</v>
      </c>
      <c r="AL54" s="618">
        <f t="shared" si="122"/>
        <v>216203</v>
      </c>
      <c r="AM54" s="623">
        <v>229730</v>
      </c>
      <c r="AN54" s="623">
        <v>0</v>
      </c>
      <c r="AO54" s="618">
        <f t="shared" si="123"/>
        <v>229730</v>
      </c>
      <c r="AP54" s="623">
        <v>250060</v>
      </c>
      <c r="AQ54" s="623">
        <v>0</v>
      </c>
      <c r="AR54" s="618">
        <f t="shared" si="124"/>
        <v>250060</v>
      </c>
      <c r="AS54" s="623">
        <v>272519</v>
      </c>
      <c r="AT54" s="623">
        <v>0</v>
      </c>
      <c r="AU54" s="618">
        <f t="shared" si="125"/>
        <v>272519</v>
      </c>
      <c r="AV54" s="623">
        <v>27</v>
      </c>
      <c r="AW54" s="655" t="s">
        <v>1534</v>
      </c>
      <c r="AX54" s="623">
        <v>257295.29</v>
      </c>
      <c r="AY54" s="623">
        <v>0</v>
      </c>
      <c r="AZ54" s="618">
        <f t="shared" si="126"/>
        <v>257295.29</v>
      </c>
      <c r="BA54" s="623">
        <v>26</v>
      </c>
      <c r="BB54" s="655" t="s">
        <v>1534</v>
      </c>
      <c r="BC54" s="623">
        <v>0</v>
      </c>
      <c r="BD54" s="623">
        <v>0</v>
      </c>
      <c r="BE54" s="618">
        <f t="shared" si="127"/>
        <v>0</v>
      </c>
      <c r="BF54" s="623">
        <v>0</v>
      </c>
      <c r="BG54" s="623"/>
      <c r="BH54" s="622">
        <f t="shared" si="218"/>
        <v>529814.29</v>
      </c>
      <c r="BI54" s="622">
        <f t="shared" si="218"/>
        <v>0</v>
      </c>
      <c r="BJ54" s="618">
        <f t="shared" si="128"/>
        <v>529814.29</v>
      </c>
      <c r="BK54" s="618">
        <f t="shared" si="74"/>
        <v>53</v>
      </c>
      <c r="BL54" s="600" t="s">
        <v>1540</v>
      </c>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row>
    <row r="55" spans="1:179" s="9" customFormat="1" ht="136.5" hidden="1" outlineLevel="1">
      <c r="A55" s="525" t="s">
        <v>27</v>
      </c>
      <c r="B55" s="525" t="s">
        <v>233</v>
      </c>
      <c r="C55" s="622">
        <v>0</v>
      </c>
      <c r="D55" s="622">
        <v>0</v>
      </c>
      <c r="E55" s="622">
        <v>0</v>
      </c>
      <c r="F55" s="622">
        <v>0</v>
      </c>
      <c r="G55" s="622">
        <v>0</v>
      </c>
      <c r="H55" s="622">
        <v>0</v>
      </c>
      <c r="I55" s="622">
        <v>0</v>
      </c>
      <c r="J55" s="622">
        <v>0</v>
      </c>
      <c r="K55" s="622">
        <v>0</v>
      </c>
      <c r="L55" s="622">
        <v>0</v>
      </c>
      <c r="M55" s="622">
        <v>0</v>
      </c>
      <c r="N55" s="618">
        <f t="shared" si="114"/>
        <v>0</v>
      </c>
      <c r="O55" s="623">
        <v>0</v>
      </c>
      <c r="P55" s="623">
        <v>0</v>
      </c>
      <c r="Q55" s="618">
        <f t="shared" si="115"/>
        <v>0</v>
      </c>
      <c r="R55" s="623">
        <v>0</v>
      </c>
      <c r="S55" s="623">
        <v>0</v>
      </c>
      <c r="T55" s="618">
        <f t="shared" si="116"/>
        <v>0</v>
      </c>
      <c r="U55" s="623">
        <v>0</v>
      </c>
      <c r="V55" s="623">
        <v>0</v>
      </c>
      <c r="W55" s="618">
        <f t="shared" si="117"/>
        <v>0</v>
      </c>
      <c r="X55" s="623">
        <v>0</v>
      </c>
      <c r="Y55" s="623">
        <v>0</v>
      </c>
      <c r="Z55" s="618">
        <f t="shared" si="118"/>
        <v>0</v>
      </c>
      <c r="AA55" s="623">
        <v>0</v>
      </c>
      <c r="AB55" s="623">
        <v>0</v>
      </c>
      <c r="AC55" s="618">
        <f t="shared" si="119"/>
        <v>0</v>
      </c>
      <c r="AD55" s="623">
        <v>0</v>
      </c>
      <c r="AE55" s="623">
        <v>0</v>
      </c>
      <c r="AF55" s="618">
        <f t="shared" si="120"/>
        <v>0</v>
      </c>
      <c r="AG55" s="623">
        <v>0</v>
      </c>
      <c r="AH55" s="623">
        <v>0</v>
      </c>
      <c r="AI55" s="618">
        <f t="shared" si="121"/>
        <v>0</v>
      </c>
      <c r="AJ55" s="623">
        <v>0</v>
      </c>
      <c r="AK55" s="623">
        <v>0</v>
      </c>
      <c r="AL55" s="618">
        <f t="shared" si="122"/>
        <v>0</v>
      </c>
      <c r="AM55" s="623">
        <v>0</v>
      </c>
      <c r="AN55" s="623">
        <v>0</v>
      </c>
      <c r="AO55" s="618">
        <f t="shared" si="123"/>
        <v>0</v>
      </c>
      <c r="AP55" s="623">
        <v>0</v>
      </c>
      <c r="AQ55" s="623">
        <v>0</v>
      </c>
      <c r="AR55" s="618">
        <f t="shared" si="124"/>
        <v>0</v>
      </c>
      <c r="AS55" s="623">
        <v>0</v>
      </c>
      <c r="AT55" s="623">
        <v>0</v>
      </c>
      <c r="AU55" s="618">
        <f t="shared" si="125"/>
        <v>0</v>
      </c>
      <c r="AV55" s="623">
        <v>0</v>
      </c>
      <c r="AW55" s="655"/>
      <c r="AX55" s="623">
        <v>0</v>
      </c>
      <c r="AY55" s="623">
        <v>0</v>
      </c>
      <c r="AZ55" s="618">
        <f t="shared" si="126"/>
        <v>0</v>
      </c>
      <c r="BA55" s="623">
        <v>0</v>
      </c>
      <c r="BB55" s="655"/>
      <c r="BC55" s="623">
        <v>0</v>
      </c>
      <c r="BD55" s="623">
        <v>0</v>
      </c>
      <c r="BE55" s="618">
        <f t="shared" si="127"/>
        <v>0</v>
      </c>
      <c r="BF55" s="623">
        <v>0</v>
      </c>
      <c r="BG55" s="623"/>
      <c r="BH55" s="622">
        <f t="shared" si="218"/>
        <v>0</v>
      </c>
      <c r="BI55" s="622">
        <f t="shared" si="218"/>
        <v>0</v>
      </c>
      <c r="BJ55" s="618">
        <f t="shared" si="128"/>
        <v>0</v>
      </c>
      <c r="BK55" s="618">
        <f t="shared" si="74"/>
        <v>0</v>
      </c>
      <c r="BL55" s="600"/>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row>
    <row r="56" spans="1:179" s="9" customFormat="1" ht="101.25" customHeight="1" collapsed="1">
      <c r="A56" s="525" t="s">
        <v>28</v>
      </c>
      <c r="B56" s="525" t="s">
        <v>234</v>
      </c>
      <c r="C56" s="622">
        <v>10940071.258476</v>
      </c>
      <c r="D56" s="622">
        <v>10940071.258476</v>
      </c>
      <c r="E56" s="622">
        <v>1194461.3</v>
      </c>
      <c r="F56" s="622">
        <v>1094007.10467</v>
      </c>
      <c r="G56" s="622">
        <v>12034078.363146</v>
      </c>
      <c r="H56" s="622">
        <v>1471344</v>
      </c>
      <c r="I56" s="622">
        <v>611010</v>
      </c>
      <c r="J56" s="622">
        <v>2082354</v>
      </c>
      <c r="K56" s="622">
        <v>8480346.7599999998</v>
      </c>
      <c r="L56" s="622">
        <v>152378</v>
      </c>
      <c r="M56" s="622">
        <v>0</v>
      </c>
      <c r="N56" s="618">
        <f t="shared" si="114"/>
        <v>152378</v>
      </c>
      <c r="O56" s="623">
        <v>498072</v>
      </c>
      <c r="P56" s="623">
        <v>0</v>
      </c>
      <c r="Q56" s="618">
        <f t="shared" si="115"/>
        <v>498072</v>
      </c>
      <c r="R56" s="623">
        <v>536468</v>
      </c>
      <c r="S56" s="623">
        <v>10712</v>
      </c>
      <c r="T56" s="618">
        <f t="shared" si="116"/>
        <v>547180</v>
      </c>
      <c r="U56" s="623">
        <v>651577</v>
      </c>
      <c r="V56" s="623">
        <v>99313</v>
      </c>
      <c r="W56" s="618">
        <f t="shared" si="117"/>
        <v>750890</v>
      </c>
      <c r="X56" s="623">
        <v>750085</v>
      </c>
      <c r="Y56" s="623">
        <v>172851</v>
      </c>
      <c r="Z56" s="618">
        <f t="shared" si="118"/>
        <v>922936</v>
      </c>
      <c r="AA56" s="623">
        <v>875693</v>
      </c>
      <c r="AB56" s="623">
        <v>246784</v>
      </c>
      <c r="AC56" s="618">
        <f t="shared" si="119"/>
        <v>1122477</v>
      </c>
      <c r="AD56" s="623">
        <v>923165</v>
      </c>
      <c r="AE56" s="623">
        <v>321192</v>
      </c>
      <c r="AF56" s="618">
        <f t="shared" si="120"/>
        <v>1244357</v>
      </c>
      <c r="AG56" s="623">
        <v>965416</v>
      </c>
      <c r="AH56" s="623">
        <v>412019</v>
      </c>
      <c r="AI56" s="618">
        <f t="shared" si="121"/>
        <v>1377435</v>
      </c>
      <c r="AJ56" s="623">
        <v>997212</v>
      </c>
      <c r="AK56" s="623">
        <v>487218</v>
      </c>
      <c r="AL56" s="618">
        <f t="shared" si="122"/>
        <v>1484430</v>
      </c>
      <c r="AM56" s="623">
        <v>1016594</v>
      </c>
      <c r="AN56" s="623">
        <v>562813</v>
      </c>
      <c r="AO56" s="618">
        <f t="shared" si="123"/>
        <v>1579407</v>
      </c>
      <c r="AP56" s="623">
        <v>1041096</v>
      </c>
      <c r="AQ56" s="623">
        <v>655122</v>
      </c>
      <c r="AR56" s="618">
        <f t="shared" si="124"/>
        <v>1696218</v>
      </c>
      <c r="AS56" s="623">
        <v>1329206</v>
      </c>
      <c r="AT56" s="623">
        <v>731548</v>
      </c>
      <c r="AU56" s="618">
        <f t="shared" si="125"/>
        <v>2060754</v>
      </c>
      <c r="AV56" s="623">
        <v>206</v>
      </c>
      <c r="AW56" s="655" t="s">
        <v>1534</v>
      </c>
      <c r="AX56" s="623">
        <v>924012.41539666709</v>
      </c>
      <c r="AY56" s="623">
        <v>385661.25</v>
      </c>
      <c r="AZ56" s="618">
        <f t="shared" si="126"/>
        <v>1309673.6653966671</v>
      </c>
      <c r="BA56" s="623">
        <v>131</v>
      </c>
      <c r="BB56" s="655" t="s">
        <v>1534</v>
      </c>
      <c r="BC56" s="623">
        <v>206260.08307933342</v>
      </c>
      <c r="BD56" s="623">
        <v>77132.05</v>
      </c>
      <c r="BE56" s="618">
        <f t="shared" si="127"/>
        <v>283392.13307933341</v>
      </c>
      <c r="BF56" s="623">
        <v>28</v>
      </c>
      <c r="BG56" s="622" t="s">
        <v>1541</v>
      </c>
      <c r="BH56" s="622">
        <f t="shared" si="218"/>
        <v>2459478.4984760005</v>
      </c>
      <c r="BI56" s="622">
        <f t="shared" si="218"/>
        <v>1194341.3</v>
      </c>
      <c r="BJ56" s="618">
        <f t="shared" si="128"/>
        <v>3653819.7984760003</v>
      </c>
      <c r="BK56" s="618">
        <f t="shared" si="74"/>
        <v>365</v>
      </c>
      <c r="BL56" s="600" t="s">
        <v>1542</v>
      </c>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row>
    <row r="57" spans="1:179" s="9" customFormat="1" ht="116.25" customHeight="1">
      <c r="A57" s="525" t="s">
        <v>29</v>
      </c>
      <c r="B57" s="525" t="s">
        <v>235</v>
      </c>
      <c r="C57" s="622">
        <v>8705014.6804799996</v>
      </c>
      <c r="D57" s="622">
        <v>8705014.6804799996</v>
      </c>
      <c r="E57" s="622">
        <v>932985</v>
      </c>
      <c r="F57" s="622">
        <v>870475.005</v>
      </c>
      <c r="G57" s="622">
        <v>9575489.6854800005</v>
      </c>
      <c r="H57" s="622">
        <v>1052931</v>
      </c>
      <c r="I57" s="622">
        <v>554303</v>
      </c>
      <c r="J57" s="622">
        <v>1607234</v>
      </c>
      <c r="K57" s="622">
        <v>7265316.3200000003</v>
      </c>
      <c r="L57" s="622">
        <v>188321</v>
      </c>
      <c r="M57" s="622">
        <v>0</v>
      </c>
      <c r="N57" s="618">
        <f t="shared" si="114"/>
        <v>188321</v>
      </c>
      <c r="O57" s="623">
        <v>329451</v>
      </c>
      <c r="P57" s="623">
        <v>0</v>
      </c>
      <c r="Q57" s="618">
        <f t="shared" si="115"/>
        <v>329451</v>
      </c>
      <c r="R57" s="623">
        <v>415548</v>
      </c>
      <c r="S57" s="623">
        <v>0</v>
      </c>
      <c r="T57" s="618">
        <f t="shared" si="116"/>
        <v>415548</v>
      </c>
      <c r="U57" s="623">
        <v>527132</v>
      </c>
      <c r="V57" s="623">
        <v>0</v>
      </c>
      <c r="W57" s="618">
        <f t="shared" si="117"/>
        <v>527132</v>
      </c>
      <c r="X57" s="623">
        <v>634337</v>
      </c>
      <c r="Y57" s="623">
        <v>0</v>
      </c>
      <c r="Z57" s="618">
        <f t="shared" si="118"/>
        <v>634337</v>
      </c>
      <c r="AA57" s="623">
        <v>733201</v>
      </c>
      <c r="AB57" s="623">
        <v>0</v>
      </c>
      <c r="AC57" s="618">
        <f t="shared" si="119"/>
        <v>733201</v>
      </c>
      <c r="AD57" s="623">
        <v>822599</v>
      </c>
      <c r="AE57" s="623">
        <v>5854</v>
      </c>
      <c r="AF57" s="618">
        <f t="shared" si="120"/>
        <v>828453</v>
      </c>
      <c r="AG57" s="623">
        <v>893223</v>
      </c>
      <c r="AH57" s="623">
        <v>46830</v>
      </c>
      <c r="AI57" s="618">
        <f t="shared" si="121"/>
        <v>940053</v>
      </c>
      <c r="AJ57" s="623">
        <v>932510</v>
      </c>
      <c r="AK57" s="623">
        <v>105366</v>
      </c>
      <c r="AL57" s="618">
        <f t="shared" si="122"/>
        <v>1037876</v>
      </c>
      <c r="AM57" s="623">
        <v>967099</v>
      </c>
      <c r="AN57" s="623">
        <v>163902</v>
      </c>
      <c r="AO57" s="618">
        <f t="shared" si="123"/>
        <v>1131001</v>
      </c>
      <c r="AP57" s="623">
        <v>1006028</v>
      </c>
      <c r="AQ57" s="623">
        <v>222438</v>
      </c>
      <c r="AR57" s="618">
        <f t="shared" si="124"/>
        <v>1228466</v>
      </c>
      <c r="AS57" s="623">
        <v>1042607</v>
      </c>
      <c r="AT57" s="623">
        <v>280974</v>
      </c>
      <c r="AU57" s="618">
        <f t="shared" si="125"/>
        <v>1323581</v>
      </c>
      <c r="AV57" s="623">
        <v>1988</v>
      </c>
      <c r="AW57" s="655" t="s">
        <v>1534</v>
      </c>
      <c r="AX57" s="623">
        <v>394820.36047999933</v>
      </c>
      <c r="AY57" s="623">
        <v>650612</v>
      </c>
      <c r="AZ57" s="618">
        <f t="shared" si="126"/>
        <v>1045432.3604799993</v>
      </c>
      <c r="BA57" s="623">
        <v>1571</v>
      </c>
      <c r="BB57" s="655" t="s">
        <v>1534</v>
      </c>
      <c r="BC57" s="623">
        <v>0</v>
      </c>
      <c r="BD57" s="623">
        <v>0</v>
      </c>
      <c r="BE57" s="618">
        <f t="shared" si="127"/>
        <v>0</v>
      </c>
      <c r="BF57" s="623">
        <v>0</v>
      </c>
      <c r="BG57" s="623"/>
      <c r="BH57" s="622">
        <f t="shared" si="218"/>
        <v>1437427.3604799993</v>
      </c>
      <c r="BI57" s="622">
        <f t="shared" si="218"/>
        <v>931586</v>
      </c>
      <c r="BJ57" s="618">
        <f t="shared" si="128"/>
        <v>2369013.3604799993</v>
      </c>
      <c r="BK57" s="618">
        <f t="shared" si="74"/>
        <v>3559</v>
      </c>
      <c r="BL57" s="600" t="s">
        <v>1543</v>
      </c>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row>
    <row r="58" spans="1:179" s="9" customFormat="1" ht="64.5" customHeight="1">
      <c r="A58" s="525" t="s">
        <v>30</v>
      </c>
      <c r="B58" s="525" t="s">
        <v>236</v>
      </c>
      <c r="C58" s="622">
        <v>1262086</v>
      </c>
      <c r="D58" s="622">
        <v>1262086</v>
      </c>
      <c r="E58" s="622">
        <v>0</v>
      </c>
      <c r="F58" s="622">
        <v>0</v>
      </c>
      <c r="G58" s="622">
        <v>1262086</v>
      </c>
      <c r="H58" s="622">
        <v>516172.89</v>
      </c>
      <c r="I58" s="622">
        <v>30143</v>
      </c>
      <c r="J58" s="622">
        <v>546315.89</v>
      </c>
      <c r="K58" s="622">
        <v>733316.11</v>
      </c>
      <c r="L58" s="622">
        <v>29123</v>
      </c>
      <c r="M58" s="622">
        <v>0</v>
      </c>
      <c r="N58" s="618">
        <f t="shared" si="114"/>
        <v>29123</v>
      </c>
      <c r="O58" s="623">
        <v>57767</v>
      </c>
      <c r="P58" s="623">
        <v>0</v>
      </c>
      <c r="Q58" s="618">
        <f t="shared" si="115"/>
        <v>57767</v>
      </c>
      <c r="R58" s="623">
        <v>58610</v>
      </c>
      <c r="S58" s="623">
        <v>0</v>
      </c>
      <c r="T58" s="618">
        <f t="shared" si="116"/>
        <v>58610</v>
      </c>
      <c r="U58" s="623">
        <v>59454</v>
      </c>
      <c r="V58" s="623">
        <v>0</v>
      </c>
      <c r="W58" s="618">
        <f t="shared" si="117"/>
        <v>59454</v>
      </c>
      <c r="X58" s="623">
        <v>72151</v>
      </c>
      <c r="Y58" s="623">
        <v>0</v>
      </c>
      <c r="Z58" s="618">
        <f t="shared" si="118"/>
        <v>72151</v>
      </c>
      <c r="AA58" s="623">
        <v>72995</v>
      </c>
      <c r="AB58" s="623">
        <v>0</v>
      </c>
      <c r="AC58" s="618">
        <f t="shared" si="119"/>
        <v>72995</v>
      </c>
      <c r="AD58" s="623">
        <v>92958</v>
      </c>
      <c r="AE58" s="623">
        <v>0</v>
      </c>
      <c r="AF58" s="618">
        <f t="shared" si="120"/>
        <v>92958</v>
      </c>
      <c r="AG58" s="623">
        <v>93802</v>
      </c>
      <c r="AH58" s="623">
        <v>0</v>
      </c>
      <c r="AI58" s="618">
        <f t="shared" si="121"/>
        <v>93802</v>
      </c>
      <c r="AJ58" s="623">
        <v>230972</v>
      </c>
      <c r="AK58" s="623">
        <v>0</v>
      </c>
      <c r="AL58" s="618">
        <f t="shared" si="122"/>
        <v>230972</v>
      </c>
      <c r="AM58" s="623">
        <v>274252</v>
      </c>
      <c r="AN58" s="623">
        <v>0</v>
      </c>
      <c r="AO58" s="618">
        <f t="shared" si="123"/>
        <v>274252</v>
      </c>
      <c r="AP58" s="623">
        <v>275095</v>
      </c>
      <c r="AQ58" s="623">
        <v>0</v>
      </c>
      <c r="AR58" s="618">
        <f t="shared" si="124"/>
        <v>275095</v>
      </c>
      <c r="AS58" s="623">
        <v>381107</v>
      </c>
      <c r="AT58" s="623">
        <v>0</v>
      </c>
      <c r="AU58" s="618">
        <f t="shared" si="125"/>
        <v>381107</v>
      </c>
      <c r="AV58" s="623">
        <v>114</v>
      </c>
      <c r="AW58" s="655" t="s">
        <v>1534</v>
      </c>
      <c r="AX58" s="623">
        <v>147309.89000000001</v>
      </c>
      <c r="AY58" s="623">
        <v>0</v>
      </c>
      <c r="AZ58" s="618">
        <f t="shared" si="126"/>
        <v>147309.89000000001</v>
      </c>
      <c r="BA58" s="623">
        <v>44</v>
      </c>
      <c r="BB58" s="655" t="s">
        <v>1534</v>
      </c>
      <c r="BC58" s="623">
        <v>0</v>
      </c>
      <c r="BD58" s="623">
        <v>0</v>
      </c>
      <c r="BE58" s="618">
        <f t="shared" si="127"/>
        <v>0</v>
      </c>
      <c r="BF58" s="623">
        <v>0</v>
      </c>
      <c r="BG58" s="623"/>
      <c r="BH58" s="622">
        <f t="shared" si="218"/>
        <v>528416.89</v>
      </c>
      <c r="BI58" s="622">
        <f t="shared" si="218"/>
        <v>0</v>
      </c>
      <c r="BJ58" s="618">
        <f t="shared" si="128"/>
        <v>528416.89</v>
      </c>
      <c r="BK58" s="618">
        <f t="shared" si="74"/>
        <v>158</v>
      </c>
      <c r="BL58" s="600" t="s">
        <v>1544</v>
      </c>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row>
    <row r="59" spans="1:179" s="9" customFormat="1" ht="117.75" customHeight="1">
      <c r="A59" s="525" t="s">
        <v>31</v>
      </c>
      <c r="B59" s="525" t="s">
        <v>237</v>
      </c>
      <c r="C59" s="622">
        <v>3215141</v>
      </c>
      <c r="D59" s="622">
        <v>3215141</v>
      </c>
      <c r="E59" s="622">
        <v>0</v>
      </c>
      <c r="F59" s="622">
        <v>0</v>
      </c>
      <c r="G59" s="622">
        <v>3215141</v>
      </c>
      <c r="H59" s="622">
        <v>412383</v>
      </c>
      <c r="I59" s="622">
        <v>0</v>
      </c>
      <c r="J59" s="622">
        <v>412383</v>
      </c>
      <c r="K59" s="622">
        <v>2649066.0299999998</v>
      </c>
      <c r="L59" s="622">
        <v>40089</v>
      </c>
      <c r="M59" s="622">
        <v>0</v>
      </c>
      <c r="N59" s="618">
        <f t="shared" si="114"/>
        <v>40089</v>
      </c>
      <c r="O59" s="623">
        <v>62355</v>
      </c>
      <c r="P59" s="623">
        <v>0</v>
      </c>
      <c r="Q59" s="618">
        <f t="shared" si="115"/>
        <v>62355</v>
      </c>
      <c r="R59" s="623">
        <v>109359</v>
      </c>
      <c r="S59" s="623">
        <v>0</v>
      </c>
      <c r="T59" s="618">
        <f t="shared" si="116"/>
        <v>109359</v>
      </c>
      <c r="U59" s="623">
        <v>159345</v>
      </c>
      <c r="V59" s="623">
        <v>0</v>
      </c>
      <c r="W59" s="618">
        <f t="shared" si="117"/>
        <v>159345</v>
      </c>
      <c r="X59" s="623">
        <v>207124</v>
      </c>
      <c r="Y59" s="623">
        <v>0</v>
      </c>
      <c r="Z59" s="618">
        <f t="shared" si="118"/>
        <v>207124</v>
      </c>
      <c r="AA59" s="623">
        <v>249853</v>
      </c>
      <c r="AB59" s="623">
        <v>0</v>
      </c>
      <c r="AC59" s="618">
        <f t="shared" si="119"/>
        <v>249853</v>
      </c>
      <c r="AD59" s="623">
        <v>292582</v>
      </c>
      <c r="AE59" s="623">
        <v>0</v>
      </c>
      <c r="AF59" s="618">
        <f t="shared" si="120"/>
        <v>292582</v>
      </c>
      <c r="AG59" s="623">
        <v>343809</v>
      </c>
      <c r="AH59" s="623">
        <v>0</v>
      </c>
      <c r="AI59" s="618">
        <f t="shared" si="121"/>
        <v>343809</v>
      </c>
      <c r="AJ59" s="623">
        <v>386408</v>
      </c>
      <c r="AK59" s="623">
        <v>0</v>
      </c>
      <c r="AL59" s="618">
        <f t="shared" si="122"/>
        <v>386408</v>
      </c>
      <c r="AM59" s="623">
        <v>429007</v>
      </c>
      <c r="AN59" s="623">
        <v>0</v>
      </c>
      <c r="AO59" s="618">
        <f t="shared" si="123"/>
        <v>429007</v>
      </c>
      <c r="AP59" s="623">
        <v>431936</v>
      </c>
      <c r="AQ59" s="623">
        <v>0</v>
      </c>
      <c r="AR59" s="618">
        <f t="shared" si="124"/>
        <v>431936</v>
      </c>
      <c r="AS59" s="623">
        <v>431936</v>
      </c>
      <c r="AT59" s="623">
        <v>0</v>
      </c>
      <c r="AU59" s="618">
        <f t="shared" si="125"/>
        <v>431936</v>
      </c>
      <c r="AV59" s="623">
        <v>130</v>
      </c>
      <c r="AW59" s="655" t="s">
        <v>1534</v>
      </c>
      <c r="AX59" s="623">
        <v>133232.97</v>
      </c>
      <c r="AY59" s="623">
        <v>0</v>
      </c>
      <c r="AZ59" s="618">
        <f t="shared" si="126"/>
        <v>133232.97</v>
      </c>
      <c r="BA59" s="623">
        <v>40</v>
      </c>
      <c r="BB59" s="655" t="s">
        <v>1534</v>
      </c>
      <c r="BC59" s="623">
        <v>0</v>
      </c>
      <c r="BD59" s="623">
        <v>0</v>
      </c>
      <c r="BE59" s="618">
        <f t="shared" si="127"/>
        <v>0</v>
      </c>
      <c r="BF59" s="623">
        <v>0</v>
      </c>
      <c r="BG59" s="623"/>
      <c r="BH59" s="622">
        <f t="shared" si="218"/>
        <v>565168.97</v>
      </c>
      <c r="BI59" s="622">
        <f t="shared" si="218"/>
        <v>0</v>
      </c>
      <c r="BJ59" s="618">
        <f t="shared" si="128"/>
        <v>565168.97</v>
      </c>
      <c r="BK59" s="618">
        <f t="shared" si="74"/>
        <v>170</v>
      </c>
      <c r="BL59" s="600" t="s">
        <v>1545</v>
      </c>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row>
    <row r="60" spans="1:179" s="9" customFormat="1" ht="107.25" customHeight="1">
      <c r="A60" s="525" t="s">
        <v>32</v>
      </c>
      <c r="B60" s="525" t="s">
        <v>238</v>
      </c>
      <c r="C60" s="622">
        <v>9622697</v>
      </c>
      <c r="D60" s="622">
        <v>9622697</v>
      </c>
      <c r="E60" s="622">
        <v>0</v>
      </c>
      <c r="F60" s="622">
        <v>0</v>
      </c>
      <c r="G60" s="622">
        <v>9622697</v>
      </c>
      <c r="H60" s="622">
        <v>2226189</v>
      </c>
      <c r="I60" s="622">
        <v>352365</v>
      </c>
      <c r="J60" s="622">
        <v>2578554</v>
      </c>
      <c r="K60" s="622">
        <v>6102124.6500000004</v>
      </c>
      <c r="L60" s="622">
        <v>276564</v>
      </c>
      <c r="M60" s="622">
        <v>0</v>
      </c>
      <c r="N60" s="618">
        <f t="shared" si="114"/>
        <v>276564</v>
      </c>
      <c r="O60" s="623">
        <v>654220</v>
      </c>
      <c r="P60" s="623">
        <v>0</v>
      </c>
      <c r="Q60" s="618">
        <f t="shared" si="115"/>
        <v>654220</v>
      </c>
      <c r="R60" s="623">
        <v>915503</v>
      </c>
      <c r="S60" s="623">
        <v>0</v>
      </c>
      <c r="T60" s="618">
        <f t="shared" si="116"/>
        <v>915503</v>
      </c>
      <c r="U60" s="623">
        <v>1237658</v>
      </c>
      <c r="V60" s="623">
        <v>0</v>
      </c>
      <c r="W60" s="618">
        <f t="shared" si="117"/>
        <v>1237658</v>
      </c>
      <c r="X60" s="623">
        <v>1621355</v>
      </c>
      <c r="Y60" s="623">
        <v>0</v>
      </c>
      <c r="Z60" s="618">
        <f t="shared" si="118"/>
        <v>1621355</v>
      </c>
      <c r="AA60" s="623">
        <v>1897852</v>
      </c>
      <c r="AB60" s="623">
        <v>0</v>
      </c>
      <c r="AC60" s="618">
        <f t="shared" si="119"/>
        <v>1897852</v>
      </c>
      <c r="AD60" s="623">
        <v>2101897</v>
      </c>
      <c r="AE60" s="623">
        <v>0</v>
      </c>
      <c r="AF60" s="618">
        <f t="shared" si="120"/>
        <v>2101897</v>
      </c>
      <c r="AG60" s="623">
        <v>2245826</v>
      </c>
      <c r="AH60" s="623">
        <v>0</v>
      </c>
      <c r="AI60" s="618">
        <f t="shared" si="121"/>
        <v>2245826</v>
      </c>
      <c r="AJ60" s="623">
        <v>2395435</v>
      </c>
      <c r="AK60" s="623">
        <v>0</v>
      </c>
      <c r="AL60" s="618">
        <f t="shared" si="122"/>
        <v>2395435</v>
      </c>
      <c r="AM60" s="623">
        <v>2408747</v>
      </c>
      <c r="AN60" s="623">
        <v>0</v>
      </c>
      <c r="AO60" s="618">
        <f t="shared" si="123"/>
        <v>2408747</v>
      </c>
      <c r="AP60" s="623">
        <v>2481128</v>
      </c>
      <c r="AQ60" s="623">
        <v>0</v>
      </c>
      <c r="AR60" s="618">
        <f t="shared" si="124"/>
        <v>2481128</v>
      </c>
      <c r="AS60" s="623">
        <v>2526247</v>
      </c>
      <c r="AT60" s="623">
        <v>0</v>
      </c>
      <c r="AU60" s="618">
        <f t="shared" si="125"/>
        <v>2526247</v>
      </c>
      <c r="AV60" s="623">
        <v>2085</v>
      </c>
      <c r="AW60" s="655" t="s">
        <v>1534</v>
      </c>
      <c r="AX60" s="623">
        <v>988951.35</v>
      </c>
      <c r="AY60" s="623">
        <v>0</v>
      </c>
      <c r="AZ60" s="618">
        <f t="shared" si="126"/>
        <v>988951.35</v>
      </c>
      <c r="BA60" s="623">
        <v>729</v>
      </c>
      <c r="BB60" s="655" t="s">
        <v>1534</v>
      </c>
      <c r="BC60" s="623">
        <v>9954</v>
      </c>
      <c r="BD60" s="623">
        <v>0</v>
      </c>
      <c r="BE60" s="618">
        <f t="shared" si="127"/>
        <v>9954</v>
      </c>
      <c r="BF60" s="623">
        <v>8</v>
      </c>
      <c r="BG60" s="622" t="s">
        <v>1534</v>
      </c>
      <c r="BH60" s="622">
        <f t="shared" si="218"/>
        <v>3525152.35</v>
      </c>
      <c r="BI60" s="622">
        <f t="shared" si="218"/>
        <v>0</v>
      </c>
      <c r="BJ60" s="618">
        <f t="shared" si="128"/>
        <v>3525152.35</v>
      </c>
      <c r="BK60" s="618">
        <f t="shared" si="74"/>
        <v>2822</v>
      </c>
      <c r="BL60" s="600" t="s">
        <v>1546</v>
      </c>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row>
    <row r="61" spans="1:179" s="5" customFormat="1">
      <c r="A61" s="523"/>
      <c r="B61" s="524" t="s">
        <v>239</v>
      </c>
      <c r="C61" s="621">
        <f t="shared" ref="C61:J61" si="219">SUM(C62:C66)</f>
        <v>35793734.451771997</v>
      </c>
      <c r="D61" s="621">
        <f t="shared" si="219"/>
        <v>35793734.451771997</v>
      </c>
      <c r="E61" s="621">
        <f t="shared" si="219"/>
        <v>2500000</v>
      </c>
      <c r="F61" s="621">
        <f t="shared" si="219"/>
        <v>2500000</v>
      </c>
      <c r="G61" s="621">
        <f t="shared" si="219"/>
        <v>38293734.451771997</v>
      </c>
      <c r="H61" s="621">
        <f t="shared" si="219"/>
        <v>6406378</v>
      </c>
      <c r="I61" s="621">
        <f t="shared" si="219"/>
        <v>500000</v>
      </c>
      <c r="J61" s="621">
        <f t="shared" si="219"/>
        <v>6906378</v>
      </c>
      <c r="K61" s="621">
        <f t="shared" ref="K61:BJ61" si="220">SUM(K62:K66)</f>
        <v>21618400.82</v>
      </c>
      <c r="L61" s="621">
        <f t="shared" si="220"/>
        <v>0</v>
      </c>
      <c r="M61" s="621">
        <f t="shared" si="220"/>
        <v>0</v>
      </c>
      <c r="N61" s="621">
        <f t="shared" si="220"/>
        <v>0</v>
      </c>
      <c r="O61" s="621">
        <f t="shared" si="220"/>
        <v>165865.32</v>
      </c>
      <c r="P61" s="621">
        <f t="shared" si="220"/>
        <v>0</v>
      </c>
      <c r="Q61" s="621">
        <f t="shared" ref="Q61" si="221">SUM(Q62:Q66)</f>
        <v>165865.32</v>
      </c>
      <c r="R61" s="621">
        <f t="shared" si="220"/>
        <v>699880.32000000007</v>
      </c>
      <c r="S61" s="621">
        <f t="shared" si="220"/>
        <v>0</v>
      </c>
      <c r="T61" s="621">
        <f t="shared" ref="T61" si="222">SUM(T62:T66)</f>
        <v>699880.32000000007</v>
      </c>
      <c r="U61" s="621">
        <f t="shared" si="220"/>
        <v>1138003.32</v>
      </c>
      <c r="V61" s="621">
        <f t="shared" si="220"/>
        <v>0</v>
      </c>
      <c r="W61" s="621">
        <f t="shared" ref="W61" si="223">SUM(W62:W66)</f>
        <v>1138003.32</v>
      </c>
      <c r="X61" s="621">
        <f t="shared" si="220"/>
        <v>1811436.32</v>
      </c>
      <c r="Y61" s="621">
        <f t="shared" si="220"/>
        <v>0</v>
      </c>
      <c r="Z61" s="621">
        <f t="shared" ref="Z61" si="224">SUM(Z62:Z66)</f>
        <v>1811436.32</v>
      </c>
      <c r="AA61" s="621">
        <f t="shared" si="220"/>
        <v>2338141.3200000003</v>
      </c>
      <c r="AB61" s="621">
        <f t="shared" si="220"/>
        <v>0</v>
      </c>
      <c r="AC61" s="621">
        <f t="shared" ref="AC61" si="225">SUM(AC62:AC66)</f>
        <v>2338141.3200000003</v>
      </c>
      <c r="AD61" s="621">
        <f t="shared" si="220"/>
        <v>2901384.3200000003</v>
      </c>
      <c r="AE61" s="621">
        <f t="shared" si="220"/>
        <v>0</v>
      </c>
      <c r="AF61" s="621">
        <f t="shared" ref="AF61" si="226">SUM(AF62:AF66)</f>
        <v>2901384.3200000003</v>
      </c>
      <c r="AG61" s="621">
        <f t="shared" si="220"/>
        <v>3395306.3200000003</v>
      </c>
      <c r="AH61" s="621">
        <f t="shared" si="220"/>
        <v>0</v>
      </c>
      <c r="AI61" s="621">
        <f t="shared" ref="AI61" si="227">SUM(AI62:AI66)</f>
        <v>3395306.3200000003</v>
      </c>
      <c r="AJ61" s="621">
        <f t="shared" si="220"/>
        <v>3765833.3200000003</v>
      </c>
      <c r="AK61" s="621">
        <f t="shared" si="220"/>
        <v>0</v>
      </c>
      <c r="AL61" s="621">
        <f t="shared" ref="AL61" si="228">SUM(AL62:AL66)</f>
        <v>3765833.3200000003</v>
      </c>
      <c r="AM61" s="621">
        <f t="shared" si="220"/>
        <v>4350159.32</v>
      </c>
      <c r="AN61" s="621">
        <f t="shared" si="220"/>
        <v>0</v>
      </c>
      <c r="AO61" s="621">
        <f t="shared" ref="AO61" si="229">SUM(AO62:AO66)</f>
        <v>4350159.32</v>
      </c>
      <c r="AP61" s="621">
        <f t="shared" si="220"/>
        <v>4795498.32</v>
      </c>
      <c r="AQ61" s="621">
        <f t="shared" si="220"/>
        <v>0</v>
      </c>
      <c r="AR61" s="621">
        <f t="shared" ref="AR61" si="230">SUM(AR62:AR66)</f>
        <v>4795498.32</v>
      </c>
      <c r="AS61" s="621">
        <f t="shared" si="220"/>
        <v>6332704.6529999999</v>
      </c>
      <c r="AT61" s="621">
        <f t="shared" si="220"/>
        <v>0</v>
      </c>
      <c r="AU61" s="621">
        <f t="shared" ref="AU61:AV61" si="231">SUM(AU62:AU66)</f>
        <v>6332704.6529999999</v>
      </c>
      <c r="AV61" s="621">
        <f t="shared" si="231"/>
        <v>73673.346999999994</v>
      </c>
      <c r="AW61" s="653"/>
      <c r="AX61" s="621">
        <f t="shared" si="220"/>
        <v>4649373.1783199999</v>
      </c>
      <c r="AY61" s="621">
        <f t="shared" si="220"/>
        <v>500000</v>
      </c>
      <c r="AZ61" s="621">
        <f t="shared" si="220"/>
        <v>5149373.1783199999</v>
      </c>
      <c r="BA61" s="621">
        <f t="shared" si="220"/>
        <v>36639.141680000001</v>
      </c>
      <c r="BB61" s="653"/>
      <c r="BC61" s="621">
        <f t="shared" si="220"/>
        <v>3041133.6334520504</v>
      </c>
      <c r="BD61" s="621">
        <f t="shared" si="220"/>
        <v>2000000</v>
      </c>
      <c r="BE61" s="621">
        <f t="shared" si="220"/>
        <v>5041133.6334520504</v>
      </c>
      <c r="BF61" s="621">
        <f t="shared" si="220"/>
        <v>36469.108555947998</v>
      </c>
      <c r="BG61" s="621"/>
      <c r="BH61" s="621">
        <f t="shared" si="220"/>
        <v>14023211.464772049</v>
      </c>
      <c r="BI61" s="621">
        <f t="shared" si="220"/>
        <v>2500000</v>
      </c>
      <c r="BJ61" s="621">
        <f t="shared" si="220"/>
        <v>16523211.464772049</v>
      </c>
      <c r="BK61" s="621">
        <f t="shared" si="74"/>
        <v>146781.59723594799</v>
      </c>
      <c r="BL61" s="599"/>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row>
    <row r="62" spans="1:179" s="9" customFormat="1" ht="108" customHeight="1">
      <c r="A62" s="672" t="s">
        <v>33</v>
      </c>
      <c r="B62" s="672" t="s">
        <v>379</v>
      </c>
      <c r="C62" s="673">
        <v>18120843.920952</v>
      </c>
      <c r="D62" s="673">
        <v>18120843.920952</v>
      </c>
      <c r="E62" s="673">
        <v>2500000</v>
      </c>
      <c r="F62" s="673">
        <v>2500000</v>
      </c>
      <c r="G62" s="673">
        <v>20620843.920952</v>
      </c>
      <c r="H62" s="673">
        <v>6406378</v>
      </c>
      <c r="I62" s="673">
        <v>0</v>
      </c>
      <c r="J62" s="673">
        <f t="shared" ref="J62" si="232">H62+I62</f>
        <v>6406378</v>
      </c>
      <c r="K62" s="673">
        <v>7357226.7700000005</v>
      </c>
      <c r="L62" s="673">
        <v>0</v>
      </c>
      <c r="M62" s="673">
        <v>0</v>
      </c>
      <c r="N62" s="673">
        <f>L62+M62</f>
        <v>0</v>
      </c>
      <c r="O62" s="674">
        <f>L62+165865.32</f>
        <v>165865.32</v>
      </c>
      <c r="P62" s="674">
        <f>M62</f>
        <v>0</v>
      </c>
      <c r="Q62" s="674">
        <f>O62+P62</f>
        <v>165865.32</v>
      </c>
      <c r="R62" s="674">
        <f>O62+534015</f>
        <v>699880.32000000007</v>
      </c>
      <c r="S62" s="674">
        <f>P62</f>
        <v>0</v>
      </c>
      <c r="T62" s="674">
        <f>R62+S62</f>
        <v>699880.32000000007</v>
      </c>
      <c r="U62" s="674">
        <f>R62+438123</f>
        <v>1138003.32</v>
      </c>
      <c r="V62" s="674">
        <f>S62</f>
        <v>0</v>
      </c>
      <c r="W62" s="674">
        <f>U62+V62</f>
        <v>1138003.32</v>
      </c>
      <c r="X62" s="674">
        <f>U62+673433</f>
        <v>1811436.32</v>
      </c>
      <c r="Y62" s="674">
        <f>V62</f>
        <v>0</v>
      </c>
      <c r="Z62" s="674">
        <f>X62+Y62</f>
        <v>1811436.32</v>
      </c>
      <c r="AA62" s="674">
        <f>X62+526705</f>
        <v>2338141.3200000003</v>
      </c>
      <c r="AB62" s="674">
        <f>Y62</f>
        <v>0</v>
      </c>
      <c r="AC62" s="674">
        <f>AA62+AB62</f>
        <v>2338141.3200000003</v>
      </c>
      <c r="AD62" s="674">
        <f>AA62+563243</f>
        <v>2901384.3200000003</v>
      </c>
      <c r="AE62" s="674">
        <f>AB62</f>
        <v>0</v>
      </c>
      <c r="AF62" s="674">
        <f>AD62+AE62</f>
        <v>2901384.3200000003</v>
      </c>
      <c r="AG62" s="674">
        <f>AD62+493922</f>
        <v>3395306.3200000003</v>
      </c>
      <c r="AH62" s="674">
        <f>AE62</f>
        <v>0</v>
      </c>
      <c r="AI62" s="674">
        <f>AG62+AH62</f>
        <v>3395306.3200000003</v>
      </c>
      <c r="AJ62" s="674">
        <f>AG62+370527</f>
        <v>3765833.3200000003</v>
      </c>
      <c r="AK62" s="674">
        <f>AH62</f>
        <v>0</v>
      </c>
      <c r="AL62" s="674">
        <f>AJ62+AK62</f>
        <v>3765833.3200000003</v>
      </c>
      <c r="AM62" s="674">
        <f>AJ62+584326</f>
        <v>4350159.32</v>
      </c>
      <c r="AN62" s="674">
        <f>AK62</f>
        <v>0</v>
      </c>
      <c r="AO62" s="674">
        <f>AM62+AN62</f>
        <v>4350159.32</v>
      </c>
      <c r="AP62" s="674">
        <f>AM62+445339</f>
        <v>4795498.32</v>
      </c>
      <c r="AQ62" s="674">
        <f>AN62</f>
        <v>0</v>
      </c>
      <c r="AR62" s="674">
        <f>AP62+AQ62</f>
        <v>4795498.32</v>
      </c>
      <c r="AS62" s="674">
        <f>AP62+497357+731267+382255.68-73673.347</f>
        <v>6332704.6529999999</v>
      </c>
      <c r="AT62" s="674">
        <v>0</v>
      </c>
      <c r="AU62" s="674">
        <f>AS62+AT62</f>
        <v>6332704.6529999999</v>
      </c>
      <c r="AV62" s="674">
        <v>73673.346999999994</v>
      </c>
      <c r="AW62" s="673" t="s">
        <v>1547</v>
      </c>
      <c r="AX62" s="674">
        <f>2588584.44+597427.88-36639.14168</f>
        <v>3149373.1783199999</v>
      </c>
      <c r="AY62" s="674">
        <v>500000</v>
      </c>
      <c r="AZ62" s="674">
        <f>AX62+AY62</f>
        <v>3649373.1783199999</v>
      </c>
      <c r="BA62" s="674">
        <v>36639.141680000001</v>
      </c>
      <c r="BB62" s="673" t="s">
        <v>1547</v>
      </c>
      <c r="BC62" s="675">
        <f>304442.21+866784.620951998-36469.108555948</f>
        <v>1134757.7223960501</v>
      </c>
      <c r="BD62" s="675">
        <v>2000000</v>
      </c>
      <c r="BE62" s="675">
        <f>BC62+BD62</f>
        <v>3134757.7223960501</v>
      </c>
      <c r="BF62" s="673">
        <v>36469.108555947998</v>
      </c>
      <c r="BG62" s="673" t="s">
        <v>1547</v>
      </c>
      <c r="BH62" s="676">
        <f t="shared" ref="BH62" si="233">AS62+AX62+BC62</f>
        <v>10616835.553716049</v>
      </c>
      <c r="BI62" s="676">
        <f>AT62+AY62+BD62</f>
        <v>2500000</v>
      </c>
      <c r="BJ62" s="676">
        <f>BH62+BI62</f>
        <v>13116835.553716049</v>
      </c>
      <c r="BK62" s="676">
        <f>AV62+BA62+BF62</f>
        <v>146781.59723594799</v>
      </c>
      <c r="BL62" s="677"/>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row>
    <row r="63" spans="1:179" s="9" customFormat="1" ht="136.5">
      <c r="A63" s="522" t="s">
        <v>34</v>
      </c>
      <c r="B63" s="522" t="s">
        <v>240</v>
      </c>
      <c r="C63" s="618">
        <v>2398644.7510560001</v>
      </c>
      <c r="D63" s="618">
        <v>2398644.7510560001</v>
      </c>
      <c r="E63" s="618">
        <v>0</v>
      </c>
      <c r="F63" s="618">
        <v>0</v>
      </c>
      <c r="G63" s="618">
        <v>2398644.7510560001</v>
      </c>
      <c r="H63" s="618">
        <v>0</v>
      </c>
      <c r="I63" s="618">
        <v>0</v>
      </c>
      <c r="J63" s="618">
        <f t="shared" ref="J63:J66" si="234">H63+I63</f>
        <v>0</v>
      </c>
      <c r="K63" s="618">
        <v>1992268.8399999999</v>
      </c>
      <c r="L63" s="618">
        <v>0</v>
      </c>
      <c r="M63" s="618">
        <v>0</v>
      </c>
      <c r="N63" s="618">
        <f t="shared" si="114"/>
        <v>0</v>
      </c>
      <c r="O63" s="619">
        <v>0</v>
      </c>
      <c r="P63" s="619">
        <v>0</v>
      </c>
      <c r="Q63" s="618">
        <f t="shared" si="115"/>
        <v>0</v>
      </c>
      <c r="R63" s="619">
        <v>0</v>
      </c>
      <c r="S63" s="619">
        <v>0</v>
      </c>
      <c r="T63" s="618">
        <f t="shared" si="116"/>
        <v>0</v>
      </c>
      <c r="U63" s="619">
        <v>0</v>
      </c>
      <c r="V63" s="619">
        <v>0</v>
      </c>
      <c r="W63" s="618">
        <f t="shared" si="117"/>
        <v>0</v>
      </c>
      <c r="X63" s="619">
        <v>0</v>
      </c>
      <c r="Y63" s="619">
        <v>0</v>
      </c>
      <c r="Z63" s="618">
        <f t="shared" si="118"/>
        <v>0</v>
      </c>
      <c r="AA63" s="619">
        <v>0</v>
      </c>
      <c r="AB63" s="619">
        <v>0</v>
      </c>
      <c r="AC63" s="618">
        <f t="shared" si="119"/>
        <v>0</v>
      </c>
      <c r="AD63" s="619">
        <v>0</v>
      </c>
      <c r="AE63" s="619">
        <v>0</v>
      </c>
      <c r="AF63" s="618">
        <f t="shared" si="120"/>
        <v>0</v>
      </c>
      <c r="AG63" s="619">
        <v>0</v>
      </c>
      <c r="AH63" s="619">
        <v>0</v>
      </c>
      <c r="AI63" s="618">
        <f t="shared" si="121"/>
        <v>0</v>
      </c>
      <c r="AJ63" s="619">
        <v>0</v>
      </c>
      <c r="AK63" s="619">
        <v>0</v>
      </c>
      <c r="AL63" s="618">
        <f t="shared" si="122"/>
        <v>0</v>
      </c>
      <c r="AM63" s="619">
        <v>0</v>
      </c>
      <c r="AN63" s="619">
        <v>0</v>
      </c>
      <c r="AO63" s="618">
        <f t="shared" si="123"/>
        <v>0</v>
      </c>
      <c r="AP63" s="619">
        <v>0</v>
      </c>
      <c r="AQ63" s="619">
        <v>0</v>
      </c>
      <c r="AR63" s="618">
        <f t="shared" si="124"/>
        <v>0</v>
      </c>
      <c r="AS63" s="619">
        <v>0</v>
      </c>
      <c r="AT63" s="619">
        <v>0</v>
      </c>
      <c r="AU63" s="618">
        <f t="shared" si="125"/>
        <v>0</v>
      </c>
      <c r="AV63" s="619">
        <v>0</v>
      </c>
      <c r="AW63" s="654"/>
      <c r="AX63" s="619">
        <v>0</v>
      </c>
      <c r="AY63" s="619">
        <v>0</v>
      </c>
      <c r="AZ63" s="618">
        <f t="shared" si="126"/>
        <v>0</v>
      </c>
      <c r="BA63" s="619">
        <v>0</v>
      </c>
      <c r="BB63" s="654"/>
      <c r="BC63" s="619">
        <v>406375.91105599998</v>
      </c>
      <c r="BD63" s="619">
        <v>0</v>
      </c>
      <c r="BE63" s="618">
        <f t="shared" si="127"/>
        <v>406375.91105599998</v>
      </c>
      <c r="BF63" s="619">
        <v>0</v>
      </c>
      <c r="BG63" s="619"/>
      <c r="BH63" s="618">
        <f t="shared" ref="BH63:BI63" si="235">AS63+AX63+BC63</f>
        <v>406375.91105599998</v>
      </c>
      <c r="BI63" s="618">
        <f t="shared" si="235"/>
        <v>0</v>
      </c>
      <c r="BJ63" s="618">
        <f t="shared" si="128"/>
        <v>406375.91105599998</v>
      </c>
      <c r="BK63" s="618">
        <f t="shared" si="74"/>
        <v>0</v>
      </c>
      <c r="BL63" s="598"/>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row>
    <row r="64" spans="1:179" s="9" customFormat="1" ht="39">
      <c r="A64" s="522" t="s">
        <v>169</v>
      </c>
      <c r="B64" s="522" t="s">
        <v>143</v>
      </c>
      <c r="C64" s="618">
        <v>3000000</v>
      </c>
      <c r="D64" s="618">
        <v>3000000</v>
      </c>
      <c r="E64" s="618">
        <v>0</v>
      </c>
      <c r="F64" s="618">
        <v>0</v>
      </c>
      <c r="G64" s="618">
        <v>3000000</v>
      </c>
      <c r="H64" s="618">
        <v>0</v>
      </c>
      <c r="I64" s="618">
        <v>500000</v>
      </c>
      <c r="J64" s="618">
        <f t="shared" si="234"/>
        <v>500000</v>
      </c>
      <c r="K64" s="618">
        <v>0</v>
      </c>
      <c r="L64" s="618">
        <v>0</v>
      </c>
      <c r="M64" s="618">
        <v>0</v>
      </c>
      <c r="N64" s="618">
        <f t="shared" si="114"/>
        <v>0</v>
      </c>
      <c r="O64" s="619">
        <v>0</v>
      </c>
      <c r="P64" s="619">
        <v>0</v>
      </c>
      <c r="Q64" s="618">
        <f t="shared" si="115"/>
        <v>0</v>
      </c>
      <c r="R64" s="619">
        <v>0</v>
      </c>
      <c r="S64" s="619">
        <v>0</v>
      </c>
      <c r="T64" s="618">
        <f t="shared" si="116"/>
        <v>0</v>
      </c>
      <c r="U64" s="619">
        <v>0</v>
      </c>
      <c r="V64" s="619">
        <v>0</v>
      </c>
      <c r="W64" s="618">
        <f t="shared" si="117"/>
        <v>0</v>
      </c>
      <c r="X64" s="619">
        <v>0</v>
      </c>
      <c r="Y64" s="619">
        <v>0</v>
      </c>
      <c r="Z64" s="618">
        <f t="shared" si="118"/>
        <v>0</v>
      </c>
      <c r="AA64" s="619">
        <v>0</v>
      </c>
      <c r="AB64" s="619">
        <v>0</v>
      </c>
      <c r="AC64" s="618">
        <f t="shared" si="119"/>
        <v>0</v>
      </c>
      <c r="AD64" s="619">
        <v>0</v>
      </c>
      <c r="AE64" s="619">
        <v>0</v>
      </c>
      <c r="AF64" s="618">
        <f t="shared" si="120"/>
        <v>0</v>
      </c>
      <c r="AG64" s="619">
        <v>0</v>
      </c>
      <c r="AH64" s="619">
        <v>0</v>
      </c>
      <c r="AI64" s="618">
        <f t="shared" si="121"/>
        <v>0</v>
      </c>
      <c r="AJ64" s="619">
        <v>0</v>
      </c>
      <c r="AK64" s="619">
        <v>0</v>
      </c>
      <c r="AL64" s="618">
        <f t="shared" si="122"/>
        <v>0</v>
      </c>
      <c r="AM64" s="619">
        <v>0</v>
      </c>
      <c r="AN64" s="619">
        <v>0</v>
      </c>
      <c r="AO64" s="618">
        <f t="shared" si="123"/>
        <v>0</v>
      </c>
      <c r="AP64" s="619">
        <v>0</v>
      </c>
      <c r="AQ64" s="619">
        <v>0</v>
      </c>
      <c r="AR64" s="618">
        <f t="shared" si="124"/>
        <v>0</v>
      </c>
      <c r="AS64" s="619">
        <v>0</v>
      </c>
      <c r="AT64" s="619">
        <v>0</v>
      </c>
      <c r="AU64" s="618">
        <f t="shared" si="125"/>
        <v>0</v>
      </c>
      <c r="AV64" s="619">
        <v>0</v>
      </c>
      <c r="AW64" s="654"/>
      <c r="AX64" s="619">
        <v>1500000</v>
      </c>
      <c r="AY64" s="619">
        <v>0</v>
      </c>
      <c r="AZ64" s="618">
        <f t="shared" si="126"/>
        <v>1500000</v>
      </c>
      <c r="BA64" s="619">
        <v>0</v>
      </c>
      <c r="BB64" s="654"/>
      <c r="BC64" s="619">
        <v>1500000</v>
      </c>
      <c r="BD64" s="619">
        <v>0</v>
      </c>
      <c r="BE64" s="618">
        <f t="shared" si="127"/>
        <v>1500000</v>
      </c>
      <c r="BF64" s="619">
        <v>0</v>
      </c>
      <c r="BG64" s="619"/>
      <c r="BH64" s="618">
        <v>3000000</v>
      </c>
      <c r="BI64" s="618">
        <v>0</v>
      </c>
      <c r="BJ64" s="618">
        <f t="shared" si="128"/>
        <v>3000000</v>
      </c>
      <c r="BK64" s="618">
        <f t="shared" si="74"/>
        <v>0</v>
      </c>
      <c r="BL64" s="598"/>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row>
    <row r="65" spans="1:179" s="9" customFormat="1" ht="78">
      <c r="A65" s="522" t="s">
        <v>35</v>
      </c>
      <c r="B65" s="522" t="s">
        <v>175</v>
      </c>
      <c r="C65" s="618">
        <v>12167953</v>
      </c>
      <c r="D65" s="618">
        <v>12167953</v>
      </c>
      <c r="E65" s="618">
        <v>0</v>
      </c>
      <c r="F65" s="618">
        <v>0</v>
      </c>
      <c r="G65" s="618">
        <v>12167953</v>
      </c>
      <c r="H65" s="618">
        <v>0</v>
      </c>
      <c r="I65" s="618">
        <v>0</v>
      </c>
      <c r="J65" s="618">
        <f t="shared" si="234"/>
        <v>0</v>
      </c>
      <c r="K65" s="618">
        <v>12167953</v>
      </c>
      <c r="L65" s="618">
        <v>0</v>
      </c>
      <c r="M65" s="618">
        <v>0</v>
      </c>
      <c r="N65" s="618">
        <f t="shared" si="114"/>
        <v>0</v>
      </c>
      <c r="O65" s="619">
        <v>0</v>
      </c>
      <c r="P65" s="619">
        <v>0</v>
      </c>
      <c r="Q65" s="618">
        <f t="shared" si="115"/>
        <v>0</v>
      </c>
      <c r="R65" s="619">
        <v>0</v>
      </c>
      <c r="S65" s="619">
        <v>0</v>
      </c>
      <c r="T65" s="618">
        <f t="shared" si="116"/>
        <v>0</v>
      </c>
      <c r="U65" s="619">
        <v>0</v>
      </c>
      <c r="V65" s="619">
        <v>0</v>
      </c>
      <c r="W65" s="618">
        <f t="shared" si="117"/>
        <v>0</v>
      </c>
      <c r="X65" s="619">
        <v>0</v>
      </c>
      <c r="Y65" s="619">
        <v>0</v>
      </c>
      <c r="Z65" s="618">
        <f t="shared" si="118"/>
        <v>0</v>
      </c>
      <c r="AA65" s="619">
        <v>0</v>
      </c>
      <c r="AB65" s="619">
        <v>0</v>
      </c>
      <c r="AC65" s="618">
        <f t="shared" si="119"/>
        <v>0</v>
      </c>
      <c r="AD65" s="619">
        <v>0</v>
      </c>
      <c r="AE65" s="619">
        <v>0</v>
      </c>
      <c r="AF65" s="618">
        <f t="shared" si="120"/>
        <v>0</v>
      </c>
      <c r="AG65" s="619">
        <v>0</v>
      </c>
      <c r="AH65" s="619">
        <v>0</v>
      </c>
      <c r="AI65" s="618">
        <f t="shared" si="121"/>
        <v>0</v>
      </c>
      <c r="AJ65" s="619">
        <v>0</v>
      </c>
      <c r="AK65" s="619">
        <v>0</v>
      </c>
      <c r="AL65" s="618">
        <f t="shared" si="122"/>
        <v>0</v>
      </c>
      <c r="AM65" s="619">
        <v>0</v>
      </c>
      <c r="AN65" s="619">
        <v>0</v>
      </c>
      <c r="AO65" s="618">
        <f t="shared" si="123"/>
        <v>0</v>
      </c>
      <c r="AP65" s="619">
        <v>0</v>
      </c>
      <c r="AQ65" s="619">
        <v>0</v>
      </c>
      <c r="AR65" s="618">
        <f t="shared" si="124"/>
        <v>0</v>
      </c>
      <c r="AS65" s="619">
        <v>0</v>
      </c>
      <c r="AT65" s="619">
        <v>0</v>
      </c>
      <c r="AU65" s="618">
        <f t="shared" si="125"/>
        <v>0</v>
      </c>
      <c r="AV65" s="619">
        <v>0</v>
      </c>
      <c r="AW65" s="654"/>
      <c r="AX65" s="619">
        <v>0</v>
      </c>
      <c r="AY65" s="619">
        <v>0</v>
      </c>
      <c r="AZ65" s="618">
        <f t="shared" si="126"/>
        <v>0</v>
      </c>
      <c r="BA65" s="619">
        <v>0</v>
      </c>
      <c r="BB65" s="654"/>
      <c r="BC65" s="619">
        <v>0</v>
      </c>
      <c r="BD65" s="619">
        <v>0</v>
      </c>
      <c r="BE65" s="618">
        <f t="shared" si="127"/>
        <v>0</v>
      </c>
      <c r="BF65" s="619">
        <v>0</v>
      </c>
      <c r="BG65" s="619"/>
      <c r="BH65" s="618">
        <v>0</v>
      </c>
      <c r="BI65" s="618">
        <v>0</v>
      </c>
      <c r="BJ65" s="618">
        <f t="shared" si="128"/>
        <v>0</v>
      </c>
      <c r="BK65" s="618">
        <f t="shared" si="74"/>
        <v>0</v>
      </c>
      <c r="BL65" s="598"/>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row>
    <row r="66" spans="1:179" s="9" customFormat="1" ht="58.5">
      <c r="A66" s="522" t="s">
        <v>36</v>
      </c>
      <c r="B66" s="522" t="s">
        <v>241</v>
      </c>
      <c r="C66" s="618">
        <v>106292.77976400001</v>
      </c>
      <c r="D66" s="618">
        <v>106292.77976399999</v>
      </c>
      <c r="E66" s="618">
        <v>0</v>
      </c>
      <c r="F66" s="618">
        <v>0</v>
      </c>
      <c r="G66" s="618">
        <v>106292.77976399999</v>
      </c>
      <c r="H66" s="618">
        <v>0</v>
      </c>
      <c r="I66" s="618">
        <v>0</v>
      </c>
      <c r="J66" s="618">
        <f t="shared" si="234"/>
        <v>0</v>
      </c>
      <c r="K66" s="618">
        <v>100952.20999999999</v>
      </c>
      <c r="L66" s="618">
        <v>0</v>
      </c>
      <c r="M66" s="618">
        <v>0</v>
      </c>
      <c r="N66" s="618">
        <f t="shared" si="114"/>
        <v>0</v>
      </c>
      <c r="O66" s="619">
        <v>0</v>
      </c>
      <c r="P66" s="619">
        <v>0</v>
      </c>
      <c r="Q66" s="618">
        <f t="shared" si="115"/>
        <v>0</v>
      </c>
      <c r="R66" s="619">
        <v>0</v>
      </c>
      <c r="S66" s="619">
        <v>0</v>
      </c>
      <c r="T66" s="618">
        <f t="shared" si="116"/>
        <v>0</v>
      </c>
      <c r="U66" s="619">
        <v>0</v>
      </c>
      <c r="V66" s="619">
        <v>0</v>
      </c>
      <c r="W66" s="618">
        <f t="shared" si="117"/>
        <v>0</v>
      </c>
      <c r="X66" s="619">
        <v>0</v>
      </c>
      <c r="Y66" s="619">
        <v>0</v>
      </c>
      <c r="Z66" s="618">
        <f t="shared" si="118"/>
        <v>0</v>
      </c>
      <c r="AA66" s="619">
        <v>0</v>
      </c>
      <c r="AB66" s="619">
        <v>0</v>
      </c>
      <c r="AC66" s="618">
        <f t="shared" si="119"/>
        <v>0</v>
      </c>
      <c r="AD66" s="619">
        <v>0</v>
      </c>
      <c r="AE66" s="619">
        <v>0</v>
      </c>
      <c r="AF66" s="618">
        <f t="shared" si="120"/>
        <v>0</v>
      </c>
      <c r="AG66" s="619">
        <v>0</v>
      </c>
      <c r="AH66" s="619">
        <v>0</v>
      </c>
      <c r="AI66" s="618">
        <f t="shared" si="121"/>
        <v>0</v>
      </c>
      <c r="AJ66" s="619">
        <v>0</v>
      </c>
      <c r="AK66" s="619">
        <v>0</v>
      </c>
      <c r="AL66" s="618">
        <f t="shared" si="122"/>
        <v>0</v>
      </c>
      <c r="AM66" s="619">
        <v>0</v>
      </c>
      <c r="AN66" s="619">
        <v>0</v>
      </c>
      <c r="AO66" s="618">
        <f t="shared" si="123"/>
        <v>0</v>
      </c>
      <c r="AP66" s="619">
        <v>0</v>
      </c>
      <c r="AQ66" s="619">
        <v>0</v>
      </c>
      <c r="AR66" s="618">
        <f t="shared" si="124"/>
        <v>0</v>
      </c>
      <c r="AS66" s="619">
        <v>0</v>
      </c>
      <c r="AT66" s="619">
        <v>0</v>
      </c>
      <c r="AU66" s="618">
        <f t="shared" si="125"/>
        <v>0</v>
      </c>
      <c r="AV66" s="619">
        <v>0</v>
      </c>
      <c r="AW66" s="654"/>
      <c r="AX66" s="619">
        <v>0</v>
      </c>
      <c r="AY66" s="619">
        <v>0</v>
      </c>
      <c r="AZ66" s="618">
        <f t="shared" si="126"/>
        <v>0</v>
      </c>
      <c r="BA66" s="619">
        <v>0</v>
      </c>
      <c r="BB66" s="654"/>
      <c r="BC66" s="619">
        <v>0</v>
      </c>
      <c r="BD66" s="619">
        <v>0</v>
      </c>
      <c r="BE66" s="618">
        <f t="shared" si="127"/>
        <v>0</v>
      </c>
      <c r="BF66" s="619">
        <v>0</v>
      </c>
      <c r="BG66" s="619"/>
      <c r="BH66" s="618">
        <v>0</v>
      </c>
      <c r="BI66" s="618">
        <v>0</v>
      </c>
      <c r="BJ66" s="618">
        <f t="shared" si="128"/>
        <v>0</v>
      </c>
      <c r="BK66" s="618">
        <f t="shared" si="74"/>
        <v>0</v>
      </c>
      <c r="BL66" s="598"/>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row>
    <row r="67" spans="1:179" s="5" customFormat="1">
      <c r="A67" s="523"/>
      <c r="B67" s="524" t="s">
        <v>242</v>
      </c>
      <c r="C67" s="621">
        <f t="shared" ref="C67:J67" si="236">SUM(C68:C75)</f>
        <v>8279706.3609439991</v>
      </c>
      <c r="D67" s="621">
        <f t="shared" si="236"/>
        <v>8279706.3609439991</v>
      </c>
      <c r="E67" s="621">
        <f t="shared" si="236"/>
        <v>0</v>
      </c>
      <c r="F67" s="621">
        <f t="shared" si="236"/>
        <v>0</v>
      </c>
      <c r="G67" s="621">
        <f t="shared" si="236"/>
        <v>8279706.3609439991</v>
      </c>
      <c r="H67" s="621">
        <f t="shared" si="236"/>
        <v>1387157</v>
      </c>
      <c r="I67" s="621">
        <f t="shared" si="236"/>
        <v>720101</v>
      </c>
      <c r="J67" s="621">
        <f t="shared" si="236"/>
        <v>2107258</v>
      </c>
      <c r="K67" s="621">
        <f t="shared" ref="K67:BJ67" si="237">SUM(K68:K75)</f>
        <v>5502817.4700000007</v>
      </c>
      <c r="L67" s="621">
        <f t="shared" si="237"/>
        <v>66616.290000000008</v>
      </c>
      <c r="M67" s="621">
        <f t="shared" si="237"/>
        <v>0</v>
      </c>
      <c r="N67" s="621">
        <f t="shared" si="237"/>
        <v>66616.290000000008</v>
      </c>
      <c r="O67" s="621">
        <f t="shared" si="237"/>
        <v>264623.8235</v>
      </c>
      <c r="P67" s="621">
        <f t="shared" si="237"/>
        <v>0</v>
      </c>
      <c r="Q67" s="621">
        <f t="shared" ref="Q67" si="238">SUM(Q68:Q75)</f>
        <v>264623.8235</v>
      </c>
      <c r="R67" s="621">
        <f t="shared" si="237"/>
        <v>402286.6985</v>
      </c>
      <c r="S67" s="621">
        <f t="shared" si="237"/>
        <v>0</v>
      </c>
      <c r="T67" s="621">
        <f t="shared" ref="T67" si="239">SUM(T68:T75)</f>
        <v>402286.6985</v>
      </c>
      <c r="U67" s="621">
        <f t="shared" si="237"/>
        <v>719511.64800000004</v>
      </c>
      <c r="V67" s="621">
        <f t="shared" si="237"/>
        <v>0</v>
      </c>
      <c r="W67" s="621">
        <f t="shared" ref="W67" si="240">SUM(W68:W75)</f>
        <v>719511.64800000004</v>
      </c>
      <c r="X67" s="621">
        <f t="shared" si="237"/>
        <v>866089.99249999993</v>
      </c>
      <c r="Y67" s="621">
        <f t="shared" si="237"/>
        <v>0</v>
      </c>
      <c r="Z67" s="621">
        <f t="shared" ref="Z67" si="241">SUM(Z68:Z75)</f>
        <v>866089.99249999993</v>
      </c>
      <c r="AA67" s="621">
        <f t="shared" si="237"/>
        <v>1099488.8160000001</v>
      </c>
      <c r="AB67" s="621">
        <f t="shared" si="237"/>
        <v>0</v>
      </c>
      <c r="AC67" s="621">
        <f t="shared" ref="AC67" si="242">SUM(AC68:AC75)</f>
        <v>1099488.8160000001</v>
      </c>
      <c r="AD67" s="621">
        <f t="shared" si="237"/>
        <v>1203795.7365000001</v>
      </c>
      <c r="AE67" s="621">
        <f t="shared" si="237"/>
        <v>0</v>
      </c>
      <c r="AF67" s="621">
        <f t="shared" ref="AF67" si="243">SUM(AF68:AF75)</f>
        <v>1203795.7365000001</v>
      </c>
      <c r="AG67" s="621">
        <f t="shared" si="237"/>
        <v>1396897.4170000001</v>
      </c>
      <c r="AH67" s="621">
        <f t="shared" si="237"/>
        <v>0</v>
      </c>
      <c r="AI67" s="621">
        <f t="shared" ref="AI67" si="244">SUM(AI68:AI75)</f>
        <v>1396897.4170000001</v>
      </c>
      <c r="AJ67" s="621">
        <f t="shared" si="237"/>
        <v>1491376.2975000001</v>
      </c>
      <c r="AK67" s="621">
        <f t="shared" si="237"/>
        <v>0</v>
      </c>
      <c r="AL67" s="621">
        <f t="shared" ref="AL67" si="245">SUM(AL68:AL75)</f>
        <v>1491376.2975000001</v>
      </c>
      <c r="AM67" s="621">
        <f t="shared" si="237"/>
        <v>1654821.2094999999</v>
      </c>
      <c r="AN67" s="621">
        <f t="shared" si="237"/>
        <v>0</v>
      </c>
      <c r="AO67" s="621">
        <f t="shared" ref="AO67" si="246">SUM(AO68:AO75)</f>
        <v>1654821.2094999999</v>
      </c>
      <c r="AP67" s="621">
        <f t="shared" si="237"/>
        <v>1821652.4509999999</v>
      </c>
      <c r="AQ67" s="621">
        <f t="shared" si="237"/>
        <v>0</v>
      </c>
      <c r="AR67" s="621">
        <f t="shared" ref="AR67" si="247">SUM(AR68:AR75)</f>
        <v>1821652.4509999999</v>
      </c>
      <c r="AS67" s="621">
        <f t="shared" si="237"/>
        <v>1952665.6159999999</v>
      </c>
      <c r="AT67" s="621">
        <f t="shared" si="237"/>
        <v>0</v>
      </c>
      <c r="AU67" s="621">
        <f t="shared" ref="AU67:AV67" si="248">SUM(AU68:AU75)</f>
        <v>1952665.6159999999</v>
      </c>
      <c r="AV67" s="621">
        <f t="shared" si="248"/>
        <v>0</v>
      </c>
      <c r="AW67" s="653"/>
      <c r="AX67" s="621">
        <f t="shared" si="237"/>
        <v>519733.32999999996</v>
      </c>
      <c r="AY67" s="621">
        <f t="shared" si="237"/>
        <v>0</v>
      </c>
      <c r="AZ67" s="621">
        <f t="shared" si="237"/>
        <v>519733.32999999996</v>
      </c>
      <c r="BA67" s="621">
        <f t="shared" si="237"/>
        <v>0</v>
      </c>
      <c r="BB67" s="653"/>
      <c r="BC67" s="621">
        <f t="shared" si="237"/>
        <v>152578</v>
      </c>
      <c r="BD67" s="621">
        <f t="shared" si="237"/>
        <v>0</v>
      </c>
      <c r="BE67" s="621">
        <f t="shared" si="237"/>
        <v>152578</v>
      </c>
      <c r="BF67" s="621">
        <f t="shared" si="237"/>
        <v>0</v>
      </c>
      <c r="BG67" s="621"/>
      <c r="BH67" s="621">
        <f t="shared" si="237"/>
        <v>2624976.946</v>
      </c>
      <c r="BI67" s="621">
        <f t="shared" si="237"/>
        <v>0</v>
      </c>
      <c r="BJ67" s="621">
        <f t="shared" si="237"/>
        <v>2624976.946</v>
      </c>
      <c r="BK67" s="621">
        <f t="shared" si="74"/>
        <v>0</v>
      </c>
      <c r="BL67" s="599"/>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row>
    <row r="68" spans="1:179" s="9" customFormat="1" ht="64.5" hidden="1" customHeight="1" outlineLevel="1">
      <c r="A68" s="522" t="s">
        <v>38</v>
      </c>
      <c r="B68" s="522" t="s">
        <v>243</v>
      </c>
      <c r="C68" s="618">
        <v>0</v>
      </c>
      <c r="D68" s="618">
        <v>0</v>
      </c>
      <c r="E68" s="618">
        <v>0</v>
      </c>
      <c r="F68" s="618">
        <v>0</v>
      </c>
      <c r="G68" s="618">
        <v>0</v>
      </c>
      <c r="H68" s="618">
        <v>0</v>
      </c>
      <c r="I68" s="618">
        <v>0</v>
      </c>
      <c r="J68" s="618">
        <f t="shared" si="129"/>
        <v>0</v>
      </c>
      <c r="K68" s="618">
        <v>0</v>
      </c>
      <c r="L68" s="618"/>
      <c r="M68" s="618"/>
      <c r="N68" s="618">
        <f t="shared" si="114"/>
        <v>0</v>
      </c>
      <c r="O68" s="619"/>
      <c r="P68" s="619"/>
      <c r="Q68" s="618">
        <f t="shared" si="115"/>
        <v>0</v>
      </c>
      <c r="R68" s="619"/>
      <c r="S68" s="619"/>
      <c r="T68" s="618">
        <f t="shared" si="116"/>
        <v>0</v>
      </c>
      <c r="U68" s="619"/>
      <c r="V68" s="619"/>
      <c r="W68" s="618">
        <f t="shared" si="117"/>
        <v>0</v>
      </c>
      <c r="X68" s="619"/>
      <c r="Y68" s="619"/>
      <c r="Z68" s="618">
        <f t="shared" si="118"/>
        <v>0</v>
      </c>
      <c r="AA68" s="619"/>
      <c r="AB68" s="619"/>
      <c r="AC68" s="618">
        <f t="shared" si="119"/>
        <v>0</v>
      </c>
      <c r="AD68" s="619"/>
      <c r="AE68" s="619"/>
      <c r="AF68" s="618">
        <f t="shared" si="120"/>
        <v>0</v>
      </c>
      <c r="AG68" s="619"/>
      <c r="AH68" s="619"/>
      <c r="AI68" s="618">
        <f t="shared" si="121"/>
        <v>0</v>
      </c>
      <c r="AJ68" s="619"/>
      <c r="AK68" s="619"/>
      <c r="AL68" s="618">
        <f t="shared" si="122"/>
        <v>0</v>
      </c>
      <c r="AM68" s="619"/>
      <c r="AN68" s="619"/>
      <c r="AO68" s="618">
        <f t="shared" si="123"/>
        <v>0</v>
      </c>
      <c r="AP68" s="619"/>
      <c r="AQ68" s="619"/>
      <c r="AR68" s="618">
        <f t="shared" si="124"/>
        <v>0</v>
      </c>
      <c r="AS68" s="619"/>
      <c r="AT68" s="619"/>
      <c r="AU68" s="618">
        <f t="shared" si="125"/>
        <v>0</v>
      </c>
      <c r="AV68" s="619"/>
      <c r="AW68" s="654"/>
      <c r="AX68" s="619"/>
      <c r="AY68" s="619"/>
      <c r="AZ68" s="618">
        <f t="shared" si="126"/>
        <v>0</v>
      </c>
      <c r="BA68" s="619"/>
      <c r="BB68" s="654"/>
      <c r="BC68" s="619"/>
      <c r="BD68" s="619"/>
      <c r="BE68" s="618">
        <f t="shared" si="127"/>
        <v>0</v>
      </c>
      <c r="BF68" s="619"/>
      <c r="BG68" s="619"/>
      <c r="BH68" s="618"/>
      <c r="BI68" s="618"/>
      <c r="BJ68" s="618">
        <f t="shared" si="128"/>
        <v>0</v>
      </c>
      <c r="BK68" s="618">
        <f t="shared" si="74"/>
        <v>0</v>
      </c>
      <c r="BL68" s="59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row>
    <row r="69" spans="1:179" s="9" customFormat="1" ht="101.25" collapsed="1">
      <c r="A69" s="522" t="s">
        <v>39</v>
      </c>
      <c r="B69" s="522" t="s">
        <v>244</v>
      </c>
      <c r="C69" s="618">
        <v>1723395</v>
      </c>
      <c r="D69" s="618">
        <v>1723395</v>
      </c>
      <c r="E69" s="618">
        <v>0</v>
      </c>
      <c r="F69" s="618">
        <v>0</v>
      </c>
      <c r="G69" s="618">
        <v>1723395</v>
      </c>
      <c r="H69" s="618">
        <v>411522</v>
      </c>
      <c r="I69" s="618">
        <v>345748</v>
      </c>
      <c r="J69" s="618">
        <f t="shared" si="129"/>
        <v>757270</v>
      </c>
      <c r="K69" s="618">
        <v>885711.99</v>
      </c>
      <c r="L69" s="624">
        <v>2382.1165000000015</v>
      </c>
      <c r="M69" s="624"/>
      <c r="N69" s="624">
        <v>2382.1165000000015</v>
      </c>
      <c r="O69" s="625">
        <v>23175.93</v>
      </c>
      <c r="P69" s="625"/>
      <c r="Q69" s="625">
        <v>23175.93</v>
      </c>
      <c r="R69" s="625">
        <v>73216.024999999994</v>
      </c>
      <c r="S69" s="625"/>
      <c r="T69" s="625">
        <v>73216.024999999994</v>
      </c>
      <c r="U69" s="625">
        <v>148162.9645</v>
      </c>
      <c r="V69" s="625"/>
      <c r="W69" s="625">
        <v>148162.9645</v>
      </c>
      <c r="X69" s="625">
        <v>156038.52900000001</v>
      </c>
      <c r="Y69" s="625"/>
      <c r="Z69" s="625">
        <v>156038.52900000001</v>
      </c>
      <c r="AA69" s="625">
        <v>278069.21250000002</v>
      </c>
      <c r="AB69" s="625"/>
      <c r="AC69" s="625">
        <v>278069.21250000002</v>
      </c>
      <c r="AD69" s="625">
        <v>287855.20300000004</v>
      </c>
      <c r="AE69" s="625"/>
      <c r="AF69" s="625">
        <v>287855.20300000004</v>
      </c>
      <c r="AG69" s="625">
        <v>319764.14350000006</v>
      </c>
      <c r="AH69" s="625"/>
      <c r="AI69" s="625">
        <v>319764.14350000006</v>
      </c>
      <c r="AJ69" s="625">
        <v>368695.18400000007</v>
      </c>
      <c r="AK69" s="625"/>
      <c r="AL69" s="625">
        <v>368695.18400000007</v>
      </c>
      <c r="AM69" s="625">
        <v>490932.76600000006</v>
      </c>
      <c r="AN69" s="625"/>
      <c r="AO69" s="625">
        <v>490932.76600000006</v>
      </c>
      <c r="AP69" s="625">
        <v>563001.19750000001</v>
      </c>
      <c r="AQ69" s="625"/>
      <c r="AR69" s="625">
        <v>563001.19750000001</v>
      </c>
      <c r="AS69" s="625">
        <v>643678.86250000005</v>
      </c>
      <c r="AT69" s="625"/>
      <c r="AU69" s="625">
        <v>643678.86250000005</v>
      </c>
      <c r="AV69" s="625"/>
      <c r="AW69" s="656"/>
      <c r="AX69" s="625">
        <v>193995</v>
      </c>
      <c r="AY69" s="625"/>
      <c r="AZ69" s="625">
        <v>193995</v>
      </c>
      <c r="BA69" s="625"/>
      <c r="BB69" s="656"/>
      <c r="BC69" s="625">
        <v>0</v>
      </c>
      <c r="BD69" s="625"/>
      <c r="BE69" s="625">
        <v>0</v>
      </c>
      <c r="BF69" s="625"/>
      <c r="BG69" s="625"/>
      <c r="BH69" s="625">
        <f>AU69+AZ69</f>
        <v>837673.86250000005</v>
      </c>
      <c r="BI69" s="625"/>
      <c r="BJ69" s="625">
        <f>BH69</f>
        <v>837673.86250000005</v>
      </c>
      <c r="BK69" s="625">
        <f t="shared" si="74"/>
        <v>0</v>
      </c>
      <c r="BL69" s="601" t="s">
        <v>1567</v>
      </c>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row>
    <row r="70" spans="1:179" s="9" customFormat="1" ht="78">
      <c r="A70" s="522" t="s">
        <v>40</v>
      </c>
      <c r="B70" s="522" t="s">
        <v>245</v>
      </c>
      <c r="C70" s="618">
        <v>341103</v>
      </c>
      <c r="D70" s="618">
        <v>341103</v>
      </c>
      <c r="E70" s="618">
        <v>0</v>
      </c>
      <c r="F70" s="618">
        <v>0</v>
      </c>
      <c r="G70" s="618">
        <v>341103</v>
      </c>
      <c r="H70" s="618">
        <v>0</v>
      </c>
      <c r="I70" s="618">
        <v>0</v>
      </c>
      <c r="J70" s="618">
        <f t="shared" si="129"/>
        <v>0</v>
      </c>
      <c r="K70" s="618">
        <v>341518.06</v>
      </c>
      <c r="L70" s="626">
        <v>0</v>
      </c>
      <c r="M70" s="626">
        <v>0</v>
      </c>
      <c r="N70" s="626">
        <v>0</v>
      </c>
      <c r="O70" s="626">
        <v>0</v>
      </c>
      <c r="P70" s="626">
        <v>0</v>
      </c>
      <c r="Q70" s="626">
        <v>0</v>
      </c>
      <c r="R70" s="626">
        <v>0</v>
      </c>
      <c r="S70" s="626">
        <v>0</v>
      </c>
      <c r="T70" s="626">
        <v>0</v>
      </c>
      <c r="U70" s="626">
        <v>0</v>
      </c>
      <c r="V70" s="626">
        <v>0</v>
      </c>
      <c r="W70" s="626">
        <v>0</v>
      </c>
      <c r="X70" s="626">
        <v>0</v>
      </c>
      <c r="Y70" s="626">
        <v>0</v>
      </c>
      <c r="Z70" s="626">
        <v>0</v>
      </c>
      <c r="AA70" s="626">
        <v>0</v>
      </c>
      <c r="AB70" s="626">
        <v>0</v>
      </c>
      <c r="AC70" s="626">
        <v>0</v>
      </c>
      <c r="AD70" s="626">
        <v>0</v>
      </c>
      <c r="AE70" s="626">
        <v>0</v>
      </c>
      <c r="AF70" s="626">
        <v>0</v>
      </c>
      <c r="AG70" s="626">
        <v>0</v>
      </c>
      <c r="AH70" s="626">
        <v>0</v>
      </c>
      <c r="AI70" s="626">
        <v>0</v>
      </c>
      <c r="AJ70" s="626">
        <v>0</v>
      </c>
      <c r="AK70" s="626">
        <v>0</v>
      </c>
      <c r="AL70" s="626">
        <v>0</v>
      </c>
      <c r="AM70" s="626">
        <v>0</v>
      </c>
      <c r="AN70" s="626">
        <v>0</v>
      </c>
      <c r="AO70" s="626">
        <v>0</v>
      </c>
      <c r="AP70" s="626">
        <v>0</v>
      </c>
      <c r="AQ70" s="626">
        <v>0</v>
      </c>
      <c r="AR70" s="626">
        <v>0</v>
      </c>
      <c r="AS70" s="626">
        <v>0</v>
      </c>
      <c r="AT70" s="626">
        <v>0</v>
      </c>
      <c r="AU70" s="626">
        <v>0</v>
      </c>
      <c r="AV70" s="627"/>
      <c r="AW70" s="657"/>
      <c r="AX70" s="627">
        <v>0</v>
      </c>
      <c r="AY70" s="627">
        <v>0</v>
      </c>
      <c r="AZ70" s="627">
        <v>0</v>
      </c>
      <c r="BA70" s="627"/>
      <c r="BB70" s="657"/>
      <c r="BC70" s="627">
        <v>0</v>
      </c>
      <c r="BD70" s="627">
        <v>0</v>
      </c>
      <c r="BE70" s="627">
        <v>0</v>
      </c>
      <c r="BF70" s="627"/>
      <c r="BG70" s="627"/>
      <c r="BH70" s="627">
        <v>0</v>
      </c>
      <c r="BI70" s="627">
        <v>0</v>
      </c>
      <c r="BJ70" s="627">
        <v>0</v>
      </c>
      <c r="BK70" s="627">
        <f t="shared" si="74"/>
        <v>0</v>
      </c>
      <c r="BL70" s="602"/>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row>
    <row r="71" spans="1:179" s="9" customFormat="1" ht="122.25" customHeight="1">
      <c r="A71" s="522" t="s">
        <v>41</v>
      </c>
      <c r="B71" s="522" t="s">
        <v>246</v>
      </c>
      <c r="C71" s="618">
        <v>453506.06792399997</v>
      </c>
      <c r="D71" s="618">
        <v>453506.06792399997</v>
      </c>
      <c r="E71" s="618">
        <v>0</v>
      </c>
      <c r="F71" s="618">
        <v>0</v>
      </c>
      <c r="G71" s="618">
        <v>453506.06792399997</v>
      </c>
      <c r="H71" s="618">
        <v>0</v>
      </c>
      <c r="I71" s="618">
        <v>24940</v>
      </c>
      <c r="J71" s="618">
        <f t="shared" si="129"/>
        <v>24940</v>
      </c>
      <c r="K71" s="618">
        <v>397442.08999999997</v>
      </c>
      <c r="L71" s="628">
        <v>1770.8</v>
      </c>
      <c r="M71" s="628"/>
      <c r="N71" s="628">
        <v>1770.8</v>
      </c>
      <c r="O71" s="629">
        <v>3541.6</v>
      </c>
      <c r="P71" s="629"/>
      <c r="Q71" s="629">
        <v>3541.6</v>
      </c>
      <c r="R71" s="629">
        <v>5312.4</v>
      </c>
      <c r="S71" s="629"/>
      <c r="T71" s="629">
        <v>5312.4</v>
      </c>
      <c r="U71" s="629">
        <v>12987.07</v>
      </c>
      <c r="V71" s="629"/>
      <c r="W71" s="629">
        <v>12987.07</v>
      </c>
      <c r="X71" s="629">
        <v>20661.739999999998</v>
      </c>
      <c r="Y71" s="629"/>
      <c r="Z71" s="629">
        <v>20661.739999999998</v>
      </c>
      <c r="AA71" s="629">
        <v>28336.409999999996</v>
      </c>
      <c r="AB71" s="629"/>
      <c r="AC71" s="629">
        <v>28336.409999999996</v>
      </c>
      <c r="AD71" s="629">
        <v>36011.079999999994</v>
      </c>
      <c r="AE71" s="629"/>
      <c r="AF71" s="629">
        <v>36011.079999999994</v>
      </c>
      <c r="AG71" s="629">
        <v>43685.749999999993</v>
      </c>
      <c r="AH71" s="629"/>
      <c r="AI71" s="629">
        <v>43685.749999999993</v>
      </c>
      <c r="AJ71" s="629">
        <v>51360.419999999991</v>
      </c>
      <c r="AK71" s="629"/>
      <c r="AL71" s="629">
        <v>51360.419999999991</v>
      </c>
      <c r="AM71" s="629">
        <v>56064</v>
      </c>
      <c r="AN71" s="629"/>
      <c r="AO71" s="629">
        <v>56064</v>
      </c>
      <c r="AP71" s="629">
        <v>56064</v>
      </c>
      <c r="AQ71" s="629"/>
      <c r="AR71" s="629">
        <v>56064</v>
      </c>
      <c r="AS71" s="629">
        <v>56064</v>
      </c>
      <c r="AT71" s="629"/>
      <c r="AU71" s="629">
        <v>56064</v>
      </c>
      <c r="AV71" s="629"/>
      <c r="AW71" s="658"/>
      <c r="AX71" s="629">
        <v>0</v>
      </c>
      <c r="AY71" s="629"/>
      <c r="AZ71" s="629">
        <v>0</v>
      </c>
      <c r="BA71" s="629"/>
      <c r="BB71" s="658"/>
      <c r="BC71" s="629"/>
      <c r="BD71" s="629"/>
      <c r="BE71" s="629"/>
      <c r="BF71" s="629"/>
      <c r="BG71" s="629"/>
      <c r="BH71" s="629">
        <f>AS71</f>
        <v>56064</v>
      </c>
      <c r="BI71" s="629"/>
      <c r="BJ71" s="629">
        <v>56064</v>
      </c>
      <c r="BK71" s="629">
        <f t="shared" si="74"/>
        <v>0</v>
      </c>
      <c r="BL71" s="602"/>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row>
    <row r="72" spans="1:179" s="9" customFormat="1" ht="78">
      <c r="A72" s="522" t="s">
        <v>42</v>
      </c>
      <c r="B72" s="522" t="s">
        <v>247</v>
      </c>
      <c r="C72" s="618">
        <v>55106</v>
      </c>
      <c r="D72" s="618">
        <v>55106</v>
      </c>
      <c r="E72" s="618">
        <v>0</v>
      </c>
      <c r="F72" s="618">
        <v>0</v>
      </c>
      <c r="G72" s="618">
        <v>55106</v>
      </c>
      <c r="H72" s="618">
        <v>0</v>
      </c>
      <c r="I72" s="618">
        <v>0</v>
      </c>
      <c r="J72" s="618">
        <f t="shared" si="129"/>
        <v>0</v>
      </c>
      <c r="K72" s="618">
        <v>55105.87</v>
      </c>
      <c r="L72" s="630">
        <v>0</v>
      </c>
      <c r="M72" s="630">
        <v>0</v>
      </c>
      <c r="N72" s="630">
        <v>0</v>
      </c>
      <c r="O72" s="630">
        <v>0</v>
      </c>
      <c r="P72" s="630">
        <v>0</v>
      </c>
      <c r="Q72" s="630">
        <v>0</v>
      </c>
      <c r="R72" s="630">
        <v>0</v>
      </c>
      <c r="S72" s="630">
        <v>0</v>
      </c>
      <c r="T72" s="630">
        <v>0</v>
      </c>
      <c r="U72" s="630">
        <v>0</v>
      </c>
      <c r="V72" s="630">
        <v>0</v>
      </c>
      <c r="W72" s="630">
        <v>0</v>
      </c>
      <c r="X72" s="630">
        <v>0</v>
      </c>
      <c r="Y72" s="630">
        <v>0</v>
      </c>
      <c r="Z72" s="630">
        <v>0</v>
      </c>
      <c r="AA72" s="630">
        <v>0</v>
      </c>
      <c r="AB72" s="630">
        <v>0</v>
      </c>
      <c r="AC72" s="630">
        <v>0</v>
      </c>
      <c r="AD72" s="630">
        <v>0</v>
      </c>
      <c r="AE72" s="630">
        <v>0</v>
      </c>
      <c r="AF72" s="630">
        <v>0</v>
      </c>
      <c r="AG72" s="630">
        <v>0</v>
      </c>
      <c r="AH72" s="630">
        <v>0</v>
      </c>
      <c r="AI72" s="630">
        <v>0</v>
      </c>
      <c r="AJ72" s="630">
        <v>0</v>
      </c>
      <c r="AK72" s="630">
        <v>0</v>
      </c>
      <c r="AL72" s="630">
        <v>0</v>
      </c>
      <c r="AM72" s="630">
        <v>0</v>
      </c>
      <c r="AN72" s="630">
        <v>0</v>
      </c>
      <c r="AO72" s="630">
        <v>0</v>
      </c>
      <c r="AP72" s="630">
        <v>0</v>
      </c>
      <c r="AQ72" s="630">
        <v>0</v>
      </c>
      <c r="AR72" s="630">
        <v>0</v>
      </c>
      <c r="AS72" s="630">
        <v>0</v>
      </c>
      <c r="AT72" s="630">
        <v>0</v>
      </c>
      <c r="AU72" s="630">
        <v>0</v>
      </c>
      <c r="AV72" s="631"/>
      <c r="AW72" s="659"/>
      <c r="AX72" s="631">
        <v>0</v>
      </c>
      <c r="AY72" s="631">
        <v>0</v>
      </c>
      <c r="AZ72" s="631">
        <v>0</v>
      </c>
      <c r="BA72" s="631"/>
      <c r="BB72" s="659"/>
      <c r="BC72" s="631">
        <v>0</v>
      </c>
      <c r="BD72" s="631">
        <v>0</v>
      </c>
      <c r="BE72" s="631">
        <v>0</v>
      </c>
      <c r="BF72" s="631"/>
      <c r="BG72" s="631"/>
      <c r="BH72" s="631">
        <v>0</v>
      </c>
      <c r="BI72" s="631">
        <v>0</v>
      </c>
      <c r="BJ72" s="631">
        <v>0</v>
      </c>
      <c r="BK72" s="631">
        <f t="shared" si="74"/>
        <v>0</v>
      </c>
      <c r="BL72" s="60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row>
    <row r="73" spans="1:179" s="9" customFormat="1" ht="64.5" customHeight="1">
      <c r="A73" s="522" t="s">
        <v>43</v>
      </c>
      <c r="B73" s="522" t="s">
        <v>248</v>
      </c>
      <c r="C73" s="618">
        <v>1901912.020308</v>
      </c>
      <c r="D73" s="618">
        <v>1901912.020308</v>
      </c>
      <c r="E73" s="618">
        <v>0</v>
      </c>
      <c r="F73" s="618">
        <v>0</v>
      </c>
      <c r="G73" s="618">
        <v>1901912.020308</v>
      </c>
      <c r="H73" s="618">
        <v>363793</v>
      </c>
      <c r="I73" s="618">
        <v>0</v>
      </c>
      <c r="J73" s="618">
        <f t="shared" si="129"/>
        <v>363793</v>
      </c>
      <c r="K73" s="618">
        <v>1228386.47</v>
      </c>
      <c r="L73" s="632">
        <v>12053.093500000001</v>
      </c>
      <c r="M73" s="632"/>
      <c r="N73" s="632">
        <v>12053.093500000001</v>
      </c>
      <c r="O73" s="633">
        <v>53551.053500000002</v>
      </c>
      <c r="P73" s="633"/>
      <c r="Q73" s="633">
        <v>53551.053500000002</v>
      </c>
      <c r="R73" s="633">
        <v>78973.413499999995</v>
      </c>
      <c r="S73" s="633"/>
      <c r="T73" s="633">
        <v>78973.413499999995</v>
      </c>
      <c r="U73" s="633">
        <v>102774.9035</v>
      </c>
      <c r="V73" s="633"/>
      <c r="W73" s="633">
        <v>102774.9035</v>
      </c>
      <c r="X73" s="633">
        <v>132901.12349999999</v>
      </c>
      <c r="Y73" s="633"/>
      <c r="Z73" s="633">
        <v>132901.12349999999</v>
      </c>
      <c r="AA73" s="633">
        <v>163308.8235</v>
      </c>
      <c r="AB73" s="633"/>
      <c r="AC73" s="633">
        <v>163308.8235</v>
      </c>
      <c r="AD73" s="633">
        <v>190259.12349999999</v>
      </c>
      <c r="AE73" s="633"/>
      <c r="AF73" s="633">
        <v>190259.12349999999</v>
      </c>
      <c r="AG73" s="633">
        <v>212210.56349999999</v>
      </c>
      <c r="AH73" s="633"/>
      <c r="AI73" s="633">
        <v>212210.56349999999</v>
      </c>
      <c r="AJ73" s="633">
        <v>227633.86349999998</v>
      </c>
      <c r="AK73" s="633"/>
      <c r="AL73" s="633">
        <v>227633.86349999998</v>
      </c>
      <c r="AM73" s="633">
        <v>247563.95349999997</v>
      </c>
      <c r="AN73" s="633"/>
      <c r="AO73" s="633">
        <v>247563.95349999997</v>
      </c>
      <c r="AP73" s="633">
        <v>281442.55349999998</v>
      </c>
      <c r="AQ73" s="633"/>
      <c r="AR73" s="633">
        <v>281442.55349999998</v>
      </c>
      <c r="AS73" s="633">
        <v>313557.22349999996</v>
      </c>
      <c r="AT73" s="633"/>
      <c r="AU73" s="633">
        <v>313557.22349999996</v>
      </c>
      <c r="AV73" s="633"/>
      <c r="AW73" s="660"/>
      <c r="AX73" s="633">
        <v>207390.55</v>
      </c>
      <c r="AY73" s="633"/>
      <c r="AZ73" s="633">
        <v>207390.55</v>
      </c>
      <c r="BA73" s="633"/>
      <c r="BB73" s="660"/>
      <c r="BC73" s="633">
        <v>152578</v>
      </c>
      <c r="BD73" s="633"/>
      <c r="BE73" s="633">
        <v>152578</v>
      </c>
      <c r="BF73" s="633"/>
      <c r="BG73" s="633"/>
      <c r="BH73" s="633">
        <v>673525.77349999989</v>
      </c>
      <c r="BI73" s="633"/>
      <c r="BJ73" s="633">
        <v>673525.77349999989</v>
      </c>
      <c r="BK73" s="633">
        <f t="shared" si="74"/>
        <v>0</v>
      </c>
      <c r="BL73" s="602">
        <v>-0.22319199988851324</v>
      </c>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row>
    <row r="74" spans="1:179" s="9" customFormat="1" ht="64.5" customHeight="1">
      <c r="A74" s="522" t="s">
        <v>44</v>
      </c>
      <c r="B74" s="522" t="s">
        <v>249</v>
      </c>
      <c r="C74" s="618">
        <v>2259767.1666359999</v>
      </c>
      <c r="D74" s="618">
        <v>2259767.1666359999</v>
      </c>
      <c r="E74" s="618">
        <v>0</v>
      </c>
      <c r="F74" s="618">
        <v>0</v>
      </c>
      <c r="G74" s="618">
        <v>2259767.1666359999</v>
      </c>
      <c r="H74" s="618">
        <v>550148</v>
      </c>
      <c r="I74" s="618">
        <v>60000</v>
      </c>
      <c r="J74" s="618">
        <f t="shared" si="129"/>
        <v>610148</v>
      </c>
      <c r="K74" s="618">
        <v>1450671.67</v>
      </c>
      <c r="L74" s="634">
        <v>23775.61</v>
      </c>
      <c r="M74" s="634"/>
      <c r="N74" s="634">
        <v>23775.61</v>
      </c>
      <c r="O74" s="635">
        <v>132771.22</v>
      </c>
      <c r="P74" s="635"/>
      <c r="Q74" s="635">
        <v>132771.22</v>
      </c>
      <c r="R74" s="635">
        <v>176917.66</v>
      </c>
      <c r="S74" s="635"/>
      <c r="T74" s="635">
        <v>176917.66</v>
      </c>
      <c r="U74" s="635">
        <v>285504.77</v>
      </c>
      <c r="V74" s="635"/>
      <c r="W74" s="635">
        <v>285504.77</v>
      </c>
      <c r="X74" s="635">
        <v>382752.66000000003</v>
      </c>
      <c r="Y74" s="635"/>
      <c r="Z74" s="635">
        <v>382752.66000000003</v>
      </c>
      <c r="AA74" s="635">
        <v>426107.43000000005</v>
      </c>
      <c r="AB74" s="635"/>
      <c r="AC74" s="635">
        <v>426107.43000000005</v>
      </c>
      <c r="AD74" s="635">
        <v>470824.23000000004</v>
      </c>
      <c r="AE74" s="635"/>
      <c r="AF74" s="635">
        <v>470824.23000000004</v>
      </c>
      <c r="AG74" s="635">
        <v>590667.10000000009</v>
      </c>
      <c r="AH74" s="635"/>
      <c r="AI74" s="635">
        <v>590667.10000000009</v>
      </c>
      <c r="AJ74" s="635">
        <v>602087.07000000007</v>
      </c>
      <c r="AK74" s="635"/>
      <c r="AL74" s="635">
        <v>602087.07000000007</v>
      </c>
      <c r="AM74" s="635">
        <v>614583.59000000008</v>
      </c>
      <c r="AN74" s="635"/>
      <c r="AO74" s="635">
        <v>614583.59000000008</v>
      </c>
      <c r="AP74" s="635">
        <v>673467.8</v>
      </c>
      <c r="AQ74" s="635"/>
      <c r="AR74" s="635">
        <v>673467.8</v>
      </c>
      <c r="AS74" s="635">
        <v>677335.78</v>
      </c>
      <c r="AT74" s="635"/>
      <c r="AU74" s="635">
        <v>677335.78</v>
      </c>
      <c r="AV74" s="635"/>
      <c r="AW74" s="661"/>
      <c r="AX74" s="635">
        <v>111625.31</v>
      </c>
      <c r="AY74" s="635"/>
      <c r="AZ74" s="635">
        <v>111625.31</v>
      </c>
      <c r="BA74" s="635"/>
      <c r="BB74" s="661"/>
      <c r="BC74" s="635"/>
      <c r="BD74" s="635"/>
      <c r="BE74" s="635"/>
      <c r="BF74" s="635"/>
      <c r="BG74" s="635"/>
      <c r="BH74" s="635">
        <v>788961.09000000008</v>
      </c>
      <c r="BI74" s="635"/>
      <c r="BJ74" s="635">
        <v>788961.09000000008</v>
      </c>
      <c r="BK74" s="635">
        <f t="shared" si="74"/>
        <v>0</v>
      </c>
      <c r="BL74" s="601" t="s">
        <v>1568</v>
      </c>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row>
    <row r="75" spans="1:179" s="9" customFormat="1" ht="175.5">
      <c r="A75" s="522" t="s">
        <v>45</v>
      </c>
      <c r="B75" s="522" t="s">
        <v>382</v>
      </c>
      <c r="C75" s="618">
        <v>1544917.106076</v>
      </c>
      <c r="D75" s="618">
        <v>1544917.106076</v>
      </c>
      <c r="E75" s="618">
        <v>0</v>
      </c>
      <c r="F75" s="618">
        <v>0</v>
      </c>
      <c r="G75" s="618">
        <v>1544917.106076</v>
      </c>
      <c r="H75" s="618">
        <v>61694</v>
      </c>
      <c r="I75" s="618">
        <v>289413</v>
      </c>
      <c r="J75" s="618">
        <f t="shared" si="129"/>
        <v>351107</v>
      </c>
      <c r="K75" s="618">
        <v>1143981.32</v>
      </c>
      <c r="L75" s="636">
        <v>26634.670000000002</v>
      </c>
      <c r="M75" s="636"/>
      <c r="N75" s="636">
        <v>26634.670000000002</v>
      </c>
      <c r="O75" s="637">
        <v>51584.020000000004</v>
      </c>
      <c r="P75" s="637"/>
      <c r="Q75" s="637">
        <v>51584.020000000004</v>
      </c>
      <c r="R75" s="637">
        <v>67867.200000000012</v>
      </c>
      <c r="S75" s="637"/>
      <c r="T75" s="637">
        <v>67867.200000000012</v>
      </c>
      <c r="U75" s="637">
        <v>170081.94</v>
      </c>
      <c r="V75" s="637"/>
      <c r="W75" s="637">
        <v>170081.94</v>
      </c>
      <c r="X75" s="637">
        <v>173735.94</v>
      </c>
      <c r="Y75" s="637"/>
      <c r="Z75" s="637">
        <v>173735.94</v>
      </c>
      <c r="AA75" s="637">
        <v>203666.94</v>
      </c>
      <c r="AB75" s="637"/>
      <c r="AC75" s="637">
        <v>203666.94</v>
      </c>
      <c r="AD75" s="637">
        <v>218846.1</v>
      </c>
      <c r="AE75" s="637"/>
      <c r="AF75" s="637">
        <v>218846.1</v>
      </c>
      <c r="AG75" s="637">
        <v>230569.86000000002</v>
      </c>
      <c r="AH75" s="637"/>
      <c r="AI75" s="637">
        <v>230569.86000000002</v>
      </c>
      <c r="AJ75" s="637">
        <v>241599.76</v>
      </c>
      <c r="AK75" s="637"/>
      <c r="AL75" s="637">
        <v>241599.76</v>
      </c>
      <c r="AM75" s="637">
        <v>245676.90000000002</v>
      </c>
      <c r="AN75" s="637"/>
      <c r="AO75" s="637">
        <v>245676.90000000002</v>
      </c>
      <c r="AP75" s="637">
        <v>247676.90000000002</v>
      </c>
      <c r="AQ75" s="637"/>
      <c r="AR75" s="637">
        <v>247676.90000000002</v>
      </c>
      <c r="AS75" s="637">
        <v>262029.75000000003</v>
      </c>
      <c r="AT75" s="637"/>
      <c r="AU75" s="637">
        <v>262029.75000000003</v>
      </c>
      <c r="AV75" s="637"/>
      <c r="AW75" s="662"/>
      <c r="AX75" s="637">
        <v>6722.47</v>
      </c>
      <c r="AY75" s="637"/>
      <c r="AZ75" s="637">
        <v>6722.47</v>
      </c>
      <c r="BA75" s="637"/>
      <c r="BB75" s="662"/>
      <c r="BC75" s="637"/>
      <c r="BD75" s="637"/>
      <c r="BE75" s="637"/>
      <c r="BF75" s="637"/>
      <c r="BG75" s="637"/>
      <c r="BH75" s="637">
        <v>268752.22000000003</v>
      </c>
      <c r="BI75" s="637"/>
      <c r="BJ75" s="637">
        <v>268752.22000000003</v>
      </c>
      <c r="BK75" s="637">
        <f t="shared" si="74"/>
        <v>0</v>
      </c>
      <c r="BL75" s="601" t="s">
        <v>1569</v>
      </c>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row>
    <row r="76" spans="1:179" s="5" customFormat="1">
      <c r="A76" s="523"/>
      <c r="B76" s="524" t="s">
        <v>250</v>
      </c>
      <c r="C76" s="621">
        <f t="shared" ref="C76:J76" si="249">SUM(C77:C79)</f>
        <v>8720346</v>
      </c>
      <c r="D76" s="621">
        <f t="shared" si="249"/>
        <v>8720346</v>
      </c>
      <c r="E76" s="621">
        <f t="shared" si="249"/>
        <v>1200000</v>
      </c>
      <c r="F76" s="621">
        <f t="shared" si="249"/>
        <v>1036200</v>
      </c>
      <c r="G76" s="621">
        <f t="shared" si="249"/>
        <v>9756546</v>
      </c>
      <c r="H76" s="621">
        <f t="shared" si="249"/>
        <v>1336384</v>
      </c>
      <c r="I76" s="621">
        <f t="shared" si="249"/>
        <v>0</v>
      </c>
      <c r="J76" s="621">
        <f t="shared" si="249"/>
        <v>1336384</v>
      </c>
      <c r="K76" s="621">
        <f t="shared" ref="K76:BJ76" si="250">SUM(K77:K79)</f>
        <v>6549643.6299999999</v>
      </c>
      <c r="L76" s="621">
        <f t="shared" si="250"/>
        <v>195074.34</v>
      </c>
      <c r="M76" s="621">
        <f t="shared" si="250"/>
        <v>0</v>
      </c>
      <c r="N76" s="621">
        <f t="shared" si="250"/>
        <v>195074.34</v>
      </c>
      <c r="O76" s="621">
        <f t="shared" si="250"/>
        <v>946225.19</v>
      </c>
      <c r="P76" s="621">
        <f t="shared" si="250"/>
        <v>0</v>
      </c>
      <c r="Q76" s="621">
        <f t="shared" ref="Q76" si="251">SUM(Q77:Q79)</f>
        <v>946225.19</v>
      </c>
      <c r="R76" s="621">
        <f t="shared" si="250"/>
        <v>946225.19</v>
      </c>
      <c r="S76" s="621">
        <f t="shared" si="250"/>
        <v>0</v>
      </c>
      <c r="T76" s="621">
        <f t="shared" ref="T76" si="252">SUM(T77:T79)</f>
        <v>946225.19</v>
      </c>
      <c r="U76" s="621">
        <f t="shared" si="250"/>
        <v>946225.19</v>
      </c>
      <c r="V76" s="621">
        <f t="shared" si="250"/>
        <v>0</v>
      </c>
      <c r="W76" s="621">
        <f t="shared" ref="W76" si="253">SUM(W77:W79)</f>
        <v>946225.19</v>
      </c>
      <c r="X76" s="621">
        <f t="shared" si="250"/>
        <v>1001525.9199999999</v>
      </c>
      <c r="Y76" s="621">
        <f t="shared" si="250"/>
        <v>0</v>
      </c>
      <c r="Z76" s="621">
        <f t="shared" ref="Z76" si="254">SUM(Z77:Z79)</f>
        <v>1001525.9199999999</v>
      </c>
      <c r="AA76" s="621">
        <f t="shared" si="250"/>
        <v>1001525.9199999999</v>
      </c>
      <c r="AB76" s="621">
        <f t="shared" si="250"/>
        <v>0</v>
      </c>
      <c r="AC76" s="621">
        <f t="shared" ref="AC76" si="255">SUM(AC77:AC79)</f>
        <v>1001525.9199999999</v>
      </c>
      <c r="AD76" s="621">
        <f t="shared" si="250"/>
        <v>1001525.9199999999</v>
      </c>
      <c r="AE76" s="621">
        <f t="shared" si="250"/>
        <v>0</v>
      </c>
      <c r="AF76" s="621">
        <f t="shared" ref="AF76" si="256">SUM(AF77:AF79)</f>
        <v>1001525.9199999999</v>
      </c>
      <c r="AG76" s="621">
        <f t="shared" si="250"/>
        <v>1309146.1399999999</v>
      </c>
      <c r="AH76" s="621">
        <f t="shared" si="250"/>
        <v>0</v>
      </c>
      <c r="AI76" s="621">
        <f t="shared" ref="AI76" si="257">SUM(AI77:AI79)</f>
        <v>1309146.1399999999</v>
      </c>
      <c r="AJ76" s="621">
        <f t="shared" si="250"/>
        <v>1309146.1399999999</v>
      </c>
      <c r="AK76" s="621">
        <f t="shared" si="250"/>
        <v>0</v>
      </c>
      <c r="AL76" s="621">
        <f t="shared" ref="AL76" si="258">SUM(AL77:AL79)</f>
        <v>1309146.1399999999</v>
      </c>
      <c r="AM76" s="621">
        <f t="shared" si="250"/>
        <v>1309146.1399999999</v>
      </c>
      <c r="AN76" s="621">
        <f t="shared" si="250"/>
        <v>0</v>
      </c>
      <c r="AO76" s="621">
        <f t="shared" ref="AO76" si="259">SUM(AO77:AO79)</f>
        <v>1309146.1399999999</v>
      </c>
      <c r="AP76" s="621">
        <f t="shared" si="250"/>
        <v>1488837.7699999998</v>
      </c>
      <c r="AQ76" s="621">
        <f t="shared" si="250"/>
        <v>0</v>
      </c>
      <c r="AR76" s="621">
        <f t="shared" ref="AR76" si="260">SUM(AR77:AR79)</f>
        <v>1488837.7699999998</v>
      </c>
      <c r="AS76" s="621">
        <f t="shared" si="250"/>
        <v>1488837.7699999998</v>
      </c>
      <c r="AT76" s="621">
        <f t="shared" si="250"/>
        <v>0</v>
      </c>
      <c r="AU76" s="621">
        <f t="shared" ref="AU76:AV76" si="261">SUM(AU77:AU79)</f>
        <v>1488837.7699999998</v>
      </c>
      <c r="AV76" s="621">
        <f t="shared" si="261"/>
        <v>61639.69</v>
      </c>
      <c r="AW76" s="653"/>
      <c r="AX76" s="621">
        <f t="shared" si="250"/>
        <v>563100.91999999993</v>
      </c>
      <c r="AY76" s="621">
        <f t="shared" si="250"/>
        <v>0</v>
      </c>
      <c r="AZ76" s="621">
        <f t="shared" si="250"/>
        <v>563100.91999999993</v>
      </c>
      <c r="BA76" s="621">
        <f t="shared" si="250"/>
        <v>12020.03</v>
      </c>
      <c r="BB76" s="653"/>
      <c r="BC76" s="621">
        <f t="shared" si="250"/>
        <v>31058.14</v>
      </c>
      <c r="BD76" s="621">
        <f t="shared" si="250"/>
        <v>1014543.42</v>
      </c>
      <c r="BE76" s="621">
        <f t="shared" si="250"/>
        <v>1045601.56</v>
      </c>
      <c r="BF76" s="621">
        <f t="shared" si="250"/>
        <v>22319.55</v>
      </c>
      <c r="BG76" s="621"/>
      <c r="BH76" s="621">
        <f t="shared" si="250"/>
        <v>2082996.8299999996</v>
      </c>
      <c r="BI76" s="621">
        <f t="shared" si="250"/>
        <v>1014543.42</v>
      </c>
      <c r="BJ76" s="621">
        <f t="shared" si="250"/>
        <v>3097540.2499999995</v>
      </c>
      <c r="BK76" s="621">
        <f t="shared" si="74"/>
        <v>95979.27</v>
      </c>
      <c r="BL76" s="599"/>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row>
    <row r="77" spans="1:179" s="9" customFormat="1" ht="78" hidden="1" outlineLevel="1">
      <c r="A77" s="522" t="s">
        <v>67</v>
      </c>
      <c r="B77" s="522" t="s">
        <v>251</v>
      </c>
      <c r="C77" s="618">
        <v>0</v>
      </c>
      <c r="D77" s="618">
        <v>0</v>
      </c>
      <c r="E77" s="618">
        <v>0</v>
      </c>
      <c r="F77" s="618">
        <v>0</v>
      </c>
      <c r="G77" s="618">
        <v>0</v>
      </c>
      <c r="H77" s="618">
        <v>0</v>
      </c>
      <c r="I77" s="618">
        <v>0</v>
      </c>
      <c r="J77" s="618">
        <f t="shared" si="129"/>
        <v>0</v>
      </c>
      <c r="K77" s="618">
        <v>0</v>
      </c>
      <c r="L77" s="618"/>
      <c r="M77" s="618"/>
      <c r="N77" s="618">
        <f t="shared" si="114"/>
        <v>0</v>
      </c>
      <c r="O77" s="619"/>
      <c r="P77" s="619"/>
      <c r="Q77" s="618">
        <f t="shared" si="115"/>
        <v>0</v>
      </c>
      <c r="R77" s="619"/>
      <c r="S77" s="619"/>
      <c r="T77" s="618">
        <f t="shared" si="116"/>
        <v>0</v>
      </c>
      <c r="U77" s="619"/>
      <c r="V77" s="619"/>
      <c r="W77" s="618">
        <f t="shared" si="117"/>
        <v>0</v>
      </c>
      <c r="X77" s="619"/>
      <c r="Y77" s="619"/>
      <c r="Z77" s="618">
        <f t="shared" si="118"/>
        <v>0</v>
      </c>
      <c r="AA77" s="619"/>
      <c r="AB77" s="619"/>
      <c r="AC77" s="618">
        <f t="shared" si="119"/>
        <v>0</v>
      </c>
      <c r="AD77" s="619"/>
      <c r="AE77" s="619"/>
      <c r="AF77" s="618">
        <f t="shared" si="120"/>
        <v>0</v>
      </c>
      <c r="AG77" s="619"/>
      <c r="AH77" s="619"/>
      <c r="AI77" s="618">
        <f t="shared" si="121"/>
        <v>0</v>
      </c>
      <c r="AJ77" s="619"/>
      <c r="AK77" s="619"/>
      <c r="AL77" s="618">
        <f t="shared" si="122"/>
        <v>0</v>
      </c>
      <c r="AM77" s="619"/>
      <c r="AN77" s="619"/>
      <c r="AO77" s="618">
        <f t="shared" si="123"/>
        <v>0</v>
      </c>
      <c r="AP77" s="619"/>
      <c r="AQ77" s="619"/>
      <c r="AR77" s="618">
        <f t="shared" si="124"/>
        <v>0</v>
      </c>
      <c r="AS77" s="619"/>
      <c r="AT77" s="619"/>
      <c r="AU77" s="618">
        <f t="shared" si="125"/>
        <v>0</v>
      </c>
      <c r="AV77" s="619"/>
      <c r="AW77" s="654"/>
      <c r="AX77" s="619"/>
      <c r="AY77" s="619"/>
      <c r="AZ77" s="618">
        <f t="shared" si="126"/>
        <v>0</v>
      </c>
      <c r="BA77" s="619"/>
      <c r="BB77" s="654"/>
      <c r="BC77" s="619"/>
      <c r="BD77" s="619"/>
      <c r="BE77" s="618">
        <f t="shared" si="127"/>
        <v>0</v>
      </c>
      <c r="BF77" s="619"/>
      <c r="BG77" s="619"/>
      <c r="BH77" s="619"/>
      <c r="BI77" s="619"/>
      <c r="BJ77" s="618">
        <f t="shared" si="128"/>
        <v>0</v>
      </c>
      <c r="BK77" s="618">
        <f t="shared" si="74"/>
        <v>0</v>
      </c>
      <c r="BL77" s="59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row>
    <row r="78" spans="1:179" s="9" customFormat="1" ht="64.5" hidden="1" customHeight="1" outlineLevel="1">
      <c r="A78" s="522" t="s">
        <v>68</v>
      </c>
      <c r="B78" s="522" t="s">
        <v>252</v>
      </c>
      <c r="C78" s="618">
        <v>0</v>
      </c>
      <c r="D78" s="618">
        <v>0</v>
      </c>
      <c r="E78" s="618">
        <v>0</v>
      </c>
      <c r="F78" s="618">
        <v>0</v>
      </c>
      <c r="G78" s="618">
        <v>0</v>
      </c>
      <c r="H78" s="618">
        <v>0</v>
      </c>
      <c r="I78" s="618">
        <v>0</v>
      </c>
      <c r="J78" s="618">
        <f t="shared" si="129"/>
        <v>0</v>
      </c>
      <c r="K78" s="618">
        <v>0</v>
      </c>
      <c r="L78" s="618"/>
      <c r="M78" s="618"/>
      <c r="N78" s="618">
        <f t="shared" si="114"/>
        <v>0</v>
      </c>
      <c r="O78" s="619"/>
      <c r="P78" s="619"/>
      <c r="Q78" s="618">
        <f t="shared" si="115"/>
        <v>0</v>
      </c>
      <c r="R78" s="619"/>
      <c r="S78" s="619"/>
      <c r="T78" s="618">
        <f t="shared" si="116"/>
        <v>0</v>
      </c>
      <c r="U78" s="619"/>
      <c r="V78" s="619"/>
      <c r="W78" s="618">
        <f t="shared" si="117"/>
        <v>0</v>
      </c>
      <c r="X78" s="619"/>
      <c r="Y78" s="619"/>
      <c r="Z78" s="618">
        <f t="shared" si="118"/>
        <v>0</v>
      </c>
      <c r="AA78" s="619"/>
      <c r="AB78" s="619"/>
      <c r="AC78" s="618">
        <f t="shared" si="119"/>
        <v>0</v>
      </c>
      <c r="AD78" s="619"/>
      <c r="AE78" s="619"/>
      <c r="AF78" s="618">
        <f t="shared" si="120"/>
        <v>0</v>
      </c>
      <c r="AG78" s="619"/>
      <c r="AH78" s="619"/>
      <c r="AI78" s="618">
        <f t="shared" si="121"/>
        <v>0</v>
      </c>
      <c r="AJ78" s="619"/>
      <c r="AK78" s="619"/>
      <c r="AL78" s="618">
        <f t="shared" si="122"/>
        <v>0</v>
      </c>
      <c r="AM78" s="619"/>
      <c r="AN78" s="619"/>
      <c r="AO78" s="618">
        <f t="shared" si="123"/>
        <v>0</v>
      </c>
      <c r="AP78" s="619"/>
      <c r="AQ78" s="619"/>
      <c r="AR78" s="618">
        <f t="shared" si="124"/>
        <v>0</v>
      </c>
      <c r="AS78" s="619"/>
      <c r="AT78" s="619"/>
      <c r="AU78" s="618">
        <f t="shared" si="125"/>
        <v>0</v>
      </c>
      <c r="AV78" s="619"/>
      <c r="AW78" s="654"/>
      <c r="AX78" s="619"/>
      <c r="AY78" s="619"/>
      <c r="AZ78" s="618">
        <f t="shared" si="126"/>
        <v>0</v>
      </c>
      <c r="BA78" s="619"/>
      <c r="BB78" s="654"/>
      <c r="BC78" s="619"/>
      <c r="BD78" s="619"/>
      <c r="BE78" s="618">
        <f t="shared" si="127"/>
        <v>0</v>
      </c>
      <c r="BF78" s="619"/>
      <c r="BG78" s="619"/>
      <c r="BH78" s="619"/>
      <c r="BI78" s="619"/>
      <c r="BJ78" s="618">
        <f t="shared" si="128"/>
        <v>0</v>
      </c>
      <c r="BK78" s="618">
        <f t="shared" si="74"/>
        <v>0</v>
      </c>
      <c r="BL78" s="597"/>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row>
    <row r="79" spans="1:179" s="9" customFormat="1" ht="147" customHeight="1" collapsed="1">
      <c r="A79" s="522" t="s">
        <v>69</v>
      </c>
      <c r="B79" s="522" t="s">
        <v>253</v>
      </c>
      <c r="C79" s="618">
        <v>8720346</v>
      </c>
      <c r="D79" s="618">
        <v>8720346</v>
      </c>
      <c r="E79" s="618">
        <v>1200000</v>
      </c>
      <c r="F79" s="618">
        <v>1036200</v>
      </c>
      <c r="G79" s="618">
        <v>9756546</v>
      </c>
      <c r="H79" s="618">
        <v>1336384</v>
      </c>
      <c r="I79" s="618">
        <v>0</v>
      </c>
      <c r="J79" s="618">
        <f t="shared" si="129"/>
        <v>1336384</v>
      </c>
      <c r="K79" s="618">
        <v>6549643.6299999999</v>
      </c>
      <c r="L79" s="618">
        <v>195074.34</v>
      </c>
      <c r="M79" s="618"/>
      <c r="N79" s="618">
        <f t="shared" si="114"/>
        <v>195074.34</v>
      </c>
      <c r="O79" s="619">
        <v>946225.19</v>
      </c>
      <c r="P79" s="619"/>
      <c r="Q79" s="618">
        <f t="shared" si="115"/>
        <v>946225.19</v>
      </c>
      <c r="R79" s="619">
        <v>946225.19</v>
      </c>
      <c r="S79" s="619"/>
      <c r="T79" s="618">
        <f t="shared" si="116"/>
        <v>946225.19</v>
      </c>
      <c r="U79" s="619">
        <v>946225.19</v>
      </c>
      <c r="V79" s="619"/>
      <c r="W79" s="618">
        <f t="shared" si="117"/>
        <v>946225.19</v>
      </c>
      <c r="X79" s="619">
        <v>1001525.9199999999</v>
      </c>
      <c r="Y79" s="619"/>
      <c r="Z79" s="618">
        <f t="shared" si="118"/>
        <v>1001525.9199999999</v>
      </c>
      <c r="AA79" s="619">
        <v>1001525.9199999999</v>
      </c>
      <c r="AB79" s="619"/>
      <c r="AC79" s="618">
        <f t="shared" si="119"/>
        <v>1001525.9199999999</v>
      </c>
      <c r="AD79" s="619">
        <v>1001525.9199999999</v>
      </c>
      <c r="AE79" s="619"/>
      <c r="AF79" s="618">
        <f t="shared" si="120"/>
        <v>1001525.9199999999</v>
      </c>
      <c r="AG79" s="619">
        <v>1309146.1399999999</v>
      </c>
      <c r="AH79" s="619"/>
      <c r="AI79" s="618">
        <f t="shared" si="121"/>
        <v>1309146.1399999999</v>
      </c>
      <c r="AJ79" s="619">
        <v>1309146.1399999999</v>
      </c>
      <c r="AK79" s="619"/>
      <c r="AL79" s="618">
        <f t="shared" si="122"/>
        <v>1309146.1399999999</v>
      </c>
      <c r="AM79" s="619">
        <v>1309146.1399999999</v>
      </c>
      <c r="AN79" s="619"/>
      <c r="AO79" s="618">
        <f t="shared" si="123"/>
        <v>1309146.1399999999</v>
      </c>
      <c r="AP79" s="619">
        <v>1488837.7699999998</v>
      </c>
      <c r="AQ79" s="619"/>
      <c r="AR79" s="618">
        <f t="shared" si="124"/>
        <v>1488837.7699999998</v>
      </c>
      <c r="AS79" s="619">
        <v>1488837.7699999998</v>
      </c>
      <c r="AT79" s="619"/>
      <c r="AU79" s="618">
        <f t="shared" si="125"/>
        <v>1488837.7699999998</v>
      </c>
      <c r="AV79" s="619">
        <v>61639.69</v>
      </c>
      <c r="AW79" s="654" t="s">
        <v>1511</v>
      </c>
      <c r="AX79" s="619">
        <v>563100.91999999993</v>
      </c>
      <c r="AY79" s="619"/>
      <c r="AZ79" s="618">
        <f t="shared" si="126"/>
        <v>563100.91999999993</v>
      </c>
      <c r="BA79" s="619">
        <v>12020.03</v>
      </c>
      <c r="BB79" s="654" t="s">
        <v>1512</v>
      </c>
      <c r="BC79" s="619">
        <v>31058.14</v>
      </c>
      <c r="BD79" s="619">
        <v>1014543.42</v>
      </c>
      <c r="BE79" s="618">
        <f t="shared" si="127"/>
        <v>1045601.56</v>
      </c>
      <c r="BF79" s="619">
        <v>22319.55</v>
      </c>
      <c r="BG79" s="619" t="s">
        <v>1513</v>
      </c>
      <c r="BH79" s="619">
        <v>2082996.8299999996</v>
      </c>
      <c r="BI79" s="619">
        <v>1014543.42</v>
      </c>
      <c r="BJ79" s="618">
        <f t="shared" si="128"/>
        <v>3097540.2499999995</v>
      </c>
      <c r="BK79" s="618">
        <f t="shared" ref="BK79:BK142" si="262">AV79+BA79+BF79</f>
        <v>95979.27</v>
      </c>
      <c r="BL79" s="551" t="s">
        <v>1490</v>
      </c>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row>
    <row r="80" spans="1:179" s="5" customFormat="1">
      <c r="A80" s="523"/>
      <c r="B80" s="524" t="s">
        <v>254</v>
      </c>
      <c r="C80" s="621">
        <f t="shared" ref="C80:J80" si="263">SUM(C81:C82)</f>
        <v>15629235</v>
      </c>
      <c r="D80" s="621">
        <f t="shared" si="263"/>
        <v>15629235.037524</v>
      </c>
      <c r="E80" s="621">
        <f t="shared" si="263"/>
        <v>0</v>
      </c>
      <c r="F80" s="621">
        <f t="shared" si="263"/>
        <v>0</v>
      </c>
      <c r="G80" s="621">
        <f t="shared" si="263"/>
        <v>15629235.037524</v>
      </c>
      <c r="H80" s="621">
        <f t="shared" si="263"/>
        <v>2906806.0765662314</v>
      </c>
      <c r="I80" s="621">
        <f t="shared" si="263"/>
        <v>711001.85239138477</v>
      </c>
      <c r="J80" s="621">
        <f t="shared" si="263"/>
        <v>3617807.9289576164</v>
      </c>
      <c r="K80" s="621">
        <f t="shared" ref="K80:BI80" si="264">SUM(K81:K82)</f>
        <v>9567598.8599999994</v>
      </c>
      <c r="L80" s="621">
        <f t="shared" si="264"/>
        <v>43.06</v>
      </c>
      <c r="M80" s="621">
        <f t="shared" si="264"/>
        <v>0</v>
      </c>
      <c r="N80" s="621">
        <f t="shared" si="264"/>
        <v>43.06</v>
      </c>
      <c r="O80" s="621">
        <f t="shared" si="264"/>
        <v>346237.69</v>
      </c>
      <c r="P80" s="621">
        <f t="shared" si="264"/>
        <v>0</v>
      </c>
      <c r="Q80" s="621">
        <f t="shared" ref="Q80" si="265">SUM(Q81:Q82)</f>
        <v>346237.69</v>
      </c>
      <c r="R80" s="621">
        <f t="shared" si="264"/>
        <v>521461.18</v>
      </c>
      <c r="S80" s="621">
        <f t="shared" si="264"/>
        <v>0</v>
      </c>
      <c r="T80" s="621">
        <f t="shared" ref="T80" si="266">SUM(T81:T82)</f>
        <v>521461.18</v>
      </c>
      <c r="U80" s="621">
        <f t="shared" si="264"/>
        <v>522157.7</v>
      </c>
      <c r="V80" s="621">
        <f t="shared" si="264"/>
        <v>0</v>
      </c>
      <c r="W80" s="621">
        <f t="shared" ref="W80" si="267">SUM(W81:W82)</f>
        <v>522157.7</v>
      </c>
      <c r="X80" s="621">
        <f t="shared" si="264"/>
        <v>969092.92999999993</v>
      </c>
      <c r="Y80" s="621">
        <f t="shared" si="264"/>
        <v>0</v>
      </c>
      <c r="Z80" s="621">
        <f t="shared" ref="Z80" si="268">SUM(Z81:Z82)</f>
        <v>969092.92999999993</v>
      </c>
      <c r="AA80" s="621">
        <f t="shared" si="264"/>
        <v>1166186.18</v>
      </c>
      <c r="AB80" s="621">
        <f t="shared" si="264"/>
        <v>0</v>
      </c>
      <c r="AC80" s="621">
        <f t="shared" ref="AC80" si="269">SUM(AC81:AC82)</f>
        <v>1166186.18</v>
      </c>
      <c r="AD80" s="621">
        <f t="shared" si="264"/>
        <v>1166186.18</v>
      </c>
      <c r="AE80" s="621">
        <f t="shared" si="264"/>
        <v>0</v>
      </c>
      <c r="AF80" s="621">
        <f t="shared" ref="AF80" si="270">SUM(AF81:AF82)</f>
        <v>1166186.18</v>
      </c>
      <c r="AG80" s="621">
        <f t="shared" si="264"/>
        <v>1696201.5999999999</v>
      </c>
      <c r="AH80" s="621">
        <f t="shared" si="264"/>
        <v>0</v>
      </c>
      <c r="AI80" s="621">
        <f t="shared" ref="AI80" si="271">SUM(AI81:AI82)</f>
        <v>1696201.5999999999</v>
      </c>
      <c r="AJ80" s="621">
        <f t="shared" si="264"/>
        <v>1897588.1199999999</v>
      </c>
      <c r="AK80" s="621">
        <f t="shared" si="264"/>
        <v>0</v>
      </c>
      <c r="AL80" s="621">
        <f t="shared" ref="AL80" si="272">SUM(AL81:AL82)</f>
        <v>1897588.1199999999</v>
      </c>
      <c r="AM80" s="621">
        <f t="shared" si="264"/>
        <v>1898140.24</v>
      </c>
      <c r="AN80" s="621">
        <f t="shared" si="264"/>
        <v>0</v>
      </c>
      <c r="AO80" s="621">
        <f t="shared" ref="AO80" si="273">SUM(AO81:AO82)</f>
        <v>1898140.24</v>
      </c>
      <c r="AP80" s="621">
        <f t="shared" si="264"/>
        <v>2477339.83</v>
      </c>
      <c r="AQ80" s="621">
        <f t="shared" si="264"/>
        <v>0</v>
      </c>
      <c r="AR80" s="621">
        <f t="shared" ref="AR80" si="274">SUM(AR81:AR82)</f>
        <v>2477339.83</v>
      </c>
      <c r="AS80" s="621">
        <f t="shared" si="264"/>
        <v>2677447.8499999996</v>
      </c>
      <c r="AT80" s="621">
        <f t="shared" si="264"/>
        <v>0</v>
      </c>
      <c r="AU80" s="621">
        <f t="shared" ref="AU80:AV80" si="275">SUM(AU81:AU82)</f>
        <v>2677447.8499999996</v>
      </c>
      <c r="AV80" s="621">
        <f t="shared" si="275"/>
        <v>5358.5202600000002</v>
      </c>
      <c r="AW80" s="653"/>
      <c r="AX80" s="621">
        <f t="shared" si="264"/>
        <v>1992867.78</v>
      </c>
      <c r="AY80" s="621">
        <f t="shared" si="264"/>
        <v>0</v>
      </c>
      <c r="AZ80" s="621">
        <f t="shared" si="264"/>
        <v>1992867.78</v>
      </c>
      <c r="BA80" s="621">
        <f t="shared" si="264"/>
        <v>4395.2617200000004</v>
      </c>
      <c r="BB80" s="653"/>
      <c r="BC80" s="621">
        <f t="shared" si="264"/>
        <v>1180891.73</v>
      </c>
      <c r="BD80" s="621">
        <f t="shared" si="264"/>
        <v>0</v>
      </c>
      <c r="BE80" s="621">
        <f t="shared" si="264"/>
        <v>1180891.73</v>
      </c>
      <c r="BF80" s="621">
        <f t="shared" si="264"/>
        <v>3582.6846</v>
      </c>
      <c r="BG80" s="621"/>
      <c r="BH80" s="621">
        <f t="shared" si="264"/>
        <v>5851207.3600000003</v>
      </c>
      <c r="BI80" s="621">
        <f t="shared" si="264"/>
        <v>0</v>
      </c>
      <c r="BJ80" s="621">
        <f>SUM(BJ81:BJ82)</f>
        <v>5851207.3600000003</v>
      </c>
      <c r="BK80" s="621">
        <f t="shared" si="262"/>
        <v>13336.46658</v>
      </c>
      <c r="BL80" s="599"/>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row>
    <row r="81" spans="1:179" s="9" customFormat="1" ht="101.25" customHeight="1">
      <c r="A81" s="522" t="s">
        <v>37</v>
      </c>
      <c r="B81" s="522" t="s">
        <v>255</v>
      </c>
      <c r="C81" s="618">
        <v>2781474</v>
      </c>
      <c r="D81" s="618">
        <v>2781474.0375239998</v>
      </c>
      <c r="E81" s="618">
        <v>0</v>
      </c>
      <c r="F81" s="618">
        <v>0</v>
      </c>
      <c r="G81" s="618">
        <v>2781474.0375239998</v>
      </c>
      <c r="H81" s="618">
        <v>754087</v>
      </c>
      <c r="I81" s="618">
        <v>516782</v>
      </c>
      <c r="J81" s="618">
        <f t="shared" si="129"/>
        <v>1270869</v>
      </c>
      <c r="K81" s="618">
        <v>1362419.03</v>
      </c>
      <c r="L81" s="618">
        <v>0</v>
      </c>
      <c r="M81" s="618">
        <v>0</v>
      </c>
      <c r="N81" s="618">
        <v>0</v>
      </c>
      <c r="O81" s="619">
        <v>86417.67</v>
      </c>
      <c r="P81" s="619">
        <v>0</v>
      </c>
      <c r="Q81" s="619">
        <v>86417.67</v>
      </c>
      <c r="R81" s="619">
        <v>86417.67</v>
      </c>
      <c r="S81" s="619">
        <v>0</v>
      </c>
      <c r="T81" s="619">
        <v>86417.67</v>
      </c>
      <c r="U81" s="619">
        <v>86417.67</v>
      </c>
      <c r="V81" s="619">
        <v>0</v>
      </c>
      <c r="W81" s="619">
        <v>86417.67</v>
      </c>
      <c r="X81" s="619">
        <v>293459.42</v>
      </c>
      <c r="Y81" s="619">
        <v>0</v>
      </c>
      <c r="Z81" s="619">
        <v>293459.42</v>
      </c>
      <c r="AA81" s="619">
        <v>293459.42</v>
      </c>
      <c r="AB81" s="619">
        <v>0</v>
      </c>
      <c r="AC81" s="619">
        <v>293459.42</v>
      </c>
      <c r="AD81" s="619">
        <v>293459.42</v>
      </c>
      <c r="AE81" s="619">
        <v>0</v>
      </c>
      <c r="AF81" s="619">
        <v>293459.42</v>
      </c>
      <c r="AG81" s="619">
        <v>574979.94999999995</v>
      </c>
      <c r="AH81" s="619">
        <v>0</v>
      </c>
      <c r="AI81" s="619">
        <v>574979.94999999995</v>
      </c>
      <c r="AJ81" s="619">
        <v>574979.94999999995</v>
      </c>
      <c r="AK81" s="619">
        <v>0</v>
      </c>
      <c r="AL81" s="619">
        <v>574979.94999999995</v>
      </c>
      <c r="AM81" s="619">
        <v>574979.94999999995</v>
      </c>
      <c r="AN81" s="619">
        <v>0</v>
      </c>
      <c r="AO81" s="619">
        <v>574979.94999999995</v>
      </c>
      <c r="AP81" s="619">
        <v>891274.42999999993</v>
      </c>
      <c r="AQ81" s="619">
        <v>0</v>
      </c>
      <c r="AR81" s="619">
        <v>891274.42999999993</v>
      </c>
      <c r="AS81" s="619">
        <v>891274.42999999993</v>
      </c>
      <c r="AT81" s="619">
        <v>0</v>
      </c>
      <c r="AU81" s="619">
        <v>891274.42999999993</v>
      </c>
      <c r="AV81" s="619">
        <v>0</v>
      </c>
      <c r="AW81" s="654" t="s">
        <v>1563</v>
      </c>
      <c r="AX81" s="619">
        <v>527780.54</v>
      </c>
      <c r="AY81" s="619">
        <v>0</v>
      </c>
      <c r="AZ81" s="619">
        <v>527780.54</v>
      </c>
      <c r="BA81" s="619">
        <v>0</v>
      </c>
      <c r="BB81" s="654" t="s">
        <v>1564</v>
      </c>
      <c r="BC81" s="619">
        <v>0</v>
      </c>
      <c r="BD81" s="619">
        <v>0</v>
      </c>
      <c r="BE81" s="619">
        <v>0</v>
      </c>
      <c r="BF81" s="619">
        <v>0</v>
      </c>
      <c r="BG81" s="619" t="s">
        <v>1565</v>
      </c>
      <c r="BH81" s="619">
        <v>1419054.97</v>
      </c>
      <c r="BI81" s="619">
        <v>0</v>
      </c>
      <c r="BJ81" s="619">
        <v>1419054.97</v>
      </c>
      <c r="BK81" s="619">
        <f t="shared" si="262"/>
        <v>0</v>
      </c>
      <c r="BL81" s="551" t="s">
        <v>1566</v>
      </c>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row>
    <row r="82" spans="1:179" s="9" customFormat="1" ht="90.75" customHeight="1">
      <c r="A82" s="522" t="s">
        <v>72</v>
      </c>
      <c r="B82" s="522" t="s">
        <v>256</v>
      </c>
      <c r="C82" s="618">
        <v>12847761</v>
      </c>
      <c r="D82" s="618">
        <v>12847761</v>
      </c>
      <c r="E82" s="618">
        <v>0</v>
      </c>
      <c r="F82" s="618">
        <v>0</v>
      </c>
      <c r="G82" s="618">
        <v>12847761</v>
      </c>
      <c r="H82" s="526">
        <f>13080178*0.164578729476482</f>
        <v>2152719.0765662314</v>
      </c>
      <c r="I82" s="526">
        <f>1180103*0.164578729476482</f>
        <v>194219.85239138483</v>
      </c>
      <c r="J82" s="618">
        <f t="shared" si="129"/>
        <v>2346938.9289576164</v>
      </c>
      <c r="K82" s="618">
        <v>8205179.8300000001</v>
      </c>
      <c r="L82" s="618">
        <v>43.06</v>
      </c>
      <c r="M82" s="618">
        <v>0</v>
      </c>
      <c r="N82" s="618">
        <v>43.06</v>
      </c>
      <c r="O82" s="619">
        <v>259820.02</v>
      </c>
      <c r="P82" s="619">
        <v>0</v>
      </c>
      <c r="Q82" s="619">
        <v>259820.02</v>
      </c>
      <c r="R82" s="619">
        <v>435043.51</v>
      </c>
      <c r="S82" s="619">
        <v>0</v>
      </c>
      <c r="T82" s="619">
        <v>435043.51</v>
      </c>
      <c r="U82" s="619">
        <v>435740.03</v>
      </c>
      <c r="V82" s="619">
        <v>0</v>
      </c>
      <c r="W82" s="619">
        <v>435740.03</v>
      </c>
      <c r="X82" s="619">
        <v>675633.51</v>
      </c>
      <c r="Y82" s="619">
        <v>0</v>
      </c>
      <c r="Z82" s="619">
        <v>675633.51</v>
      </c>
      <c r="AA82" s="619">
        <v>872726.76</v>
      </c>
      <c r="AB82" s="619">
        <v>0</v>
      </c>
      <c r="AC82" s="619">
        <v>872726.76</v>
      </c>
      <c r="AD82" s="619">
        <v>872726.76</v>
      </c>
      <c r="AE82" s="619">
        <v>0</v>
      </c>
      <c r="AF82" s="619">
        <v>872726.76</v>
      </c>
      <c r="AG82" s="619">
        <v>1121221.6499999999</v>
      </c>
      <c r="AH82" s="619">
        <v>0</v>
      </c>
      <c r="AI82" s="619">
        <v>1121221.6499999999</v>
      </c>
      <c r="AJ82" s="619">
        <v>1322608.17</v>
      </c>
      <c r="AK82" s="619">
        <v>0</v>
      </c>
      <c r="AL82" s="619">
        <v>1322608.17</v>
      </c>
      <c r="AM82" s="619">
        <v>1323160.29</v>
      </c>
      <c r="AN82" s="619">
        <v>0</v>
      </c>
      <c r="AO82" s="619">
        <v>1323160.29</v>
      </c>
      <c r="AP82" s="619">
        <v>1586065.4</v>
      </c>
      <c r="AQ82" s="619">
        <v>0</v>
      </c>
      <c r="AR82" s="619">
        <v>1586065.4</v>
      </c>
      <c r="AS82" s="619">
        <v>1786173.42</v>
      </c>
      <c r="AT82" s="619">
        <v>0</v>
      </c>
      <c r="AU82" s="619">
        <v>1786173.42</v>
      </c>
      <c r="AV82" s="619">
        <v>5358.5202600000002</v>
      </c>
      <c r="AW82" s="654" t="s">
        <v>1490</v>
      </c>
      <c r="AX82" s="619">
        <v>1465087.24</v>
      </c>
      <c r="AY82" s="619">
        <v>0</v>
      </c>
      <c r="AZ82" s="619">
        <v>1465087.24</v>
      </c>
      <c r="BA82" s="619">
        <v>4395.2617200000004</v>
      </c>
      <c r="BB82" s="654" t="s">
        <v>1562</v>
      </c>
      <c r="BC82" s="619">
        <v>1180891.73</v>
      </c>
      <c r="BD82" s="619">
        <v>0</v>
      </c>
      <c r="BE82" s="619">
        <v>1180891.73</v>
      </c>
      <c r="BF82" s="619">
        <v>3582.6846</v>
      </c>
      <c r="BG82" s="618" t="s">
        <v>1562</v>
      </c>
      <c r="BH82" s="619">
        <v>4432152.3900000006</v>
      </c>
      <c r="BI82" s="619">
        <v>0</v>
      </c>
      <c r="BJ82" s="619">
        <v>4432152.3900000006</v>
      </c>
      <c r="BK82" s="619">
        <f t="shared" si="262"/>
        <v>13336.46658</v>
      </c>
      <c r="BL82" s="551" t="s">
        <v>1582</v>
      </c>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row>
    <row r="83" spans="1:179" s="5" customFormat="1" ht="60.75">
      <c r="A83" s="523"/>
      <c r="B83" s="521" t="s">
        <v>257</v>
      </c>
      <c r="C83" s="621">
        <f t="shared" ref="C83:J83" si="276">SUM(C84:C85)</f>
        <v>5026716</v>
      </c>
      <c r="D83" s="621">
        <f t="shared" si="276"/>
        <v>5026716</v>
      </c>
      <c r="E83" s="621">
        <f t="shared" si="276"/>
        <v>0</v>
      </c>
      <c r="F83" s="621">
        <f t="shared" si="276"/>
        <v>0</v>
      </c>
      <c r="G83" s="621">
        <f t="shared" si="276"/>
        <v>5026716</v>
      </c>
      <c r="H83" s="621">
        <f t="shared" si="276"/>
        <v>401701</v>
      </c>
      <c r="I83" s="621">
        <f t="shared" si="276"/>
        <v>271737</v>
      </c>
      <c r="J83" s="621">
        <f t="shared" si="276"/>
        <v>673438</v>
      </c>
      <c r="K83" s="621">
        <f t="shared" ref="K83:BJ83" si="277">SUM(K84:K85)</f>
        <v>4108704.98</v>
      </c>
      <c r="L83" s="621">
        <f t="shared" si="277"/>
        <v>68205.87</v>
      </c>
      <c r="M83" s="621">
        <f t="shared" si="277"/>
        <v>0</v>
      </c>
      <c r="N83" s="621">
        <f t="shared" si="277"/>
        <v>68205.87</v>
      </c>
      <c r="O83" s="621">
        <f t="shared" si="277"/>
        <v>193858.71</v>
      </c>
      <c r="P83" s="621">
        <f t="shared" si="277"/>
        <v>0</v>
      </c>
      <c r="Q83" s="621">
        <f t="shared" ref="Q83" si="278">SUM(Q84:Q85)</f>
        <v>193858.71</v>
      </c>
      <c r="R83" s="621">
        <f t="shared" si="277"/>
        <v>315180.92000000004</v>
      </c>
      <c r="S83" s="621">
        <f t="shared" si="277"/>
        <v>0</v>
      </c>
      <c r="T83" s="621">
        <f t="shared" ref="T83" si="279">SUM(T84:T85)</f>
        <v>315180.92000000004</v>
      </c>
      <c r="U83" s="621">
        <f t="shared" si="277"/>
        <v>348409.64</v>
      </c>
      <c r="V83" s="621">
        <f t="shared" si="277"/>
        <v>0</v>
      </c>
      <c r="W83" s="621">
        <f t="shared" ref="W83" si="280">SUM(W84:W85)</f>
        <v>348409.64</v>
      </c>
      <c r="X83" s="621">
        <f t="shared" si="277"/>
        <v>447804.3</v>
      </c>
      <c r="Y83" s="621">
        <f t="shared" si="277"/>
        <v>0</v>
      </c>
      <c r="Z83" s="621">
        <f t="shared" ref="Z83" si="281">SUM(Z84:Z85)</f>
        <v>447804.3</v>
      </c>
      <c r="AA83" s="621">
        <f t="shared" si="277"/>
        <v>495532.47</v>
      </c>
      <c r="AB83" s="621">
        <f t="shared" si="277"/>
        <v>0</v>
      </c>
      <c r="AC83" s="621">
        <f t="shared" ref="AC83" si="282">SUM(AC84:AC85)</f>
        <v>495532.47</v>
      </c>
      <c r="AD83" s="621">
        <f t="shared" si="277"/>
        <v>512206.43999999994</v>
      </c>
      <c r="AE83" s="621">
        <f t="shared" si="277"/>
        <v>0</v>
      </c>
      <c r="AF83" s="621">
        <f t="shared" ref="AF83" si="283">SUM(AF84:AF85)</f>
        <v>512206.43999999994</v>
      </c>
      <c r="AG83" s="621">
        <f t="shared" si="277"/>
        <v>564335.99</v>
      </c>
      <c r="AH83" s="621">
        <f t="shared" si="277"/>
        <v>0</v>
      </c>
      <c r="AI83" s="621">
        <f t="shared" ref="AI83" si="284">SUM(AI84:AI85)</f>
        <v>564335.99</v>
      </c>
      <c r="AJ83" s="621">
        <f t="shared" si="277"/>
        <v>638621.44999999995</v>
      </c>
      <c r="AK83" s="621">
        <f t="shared" si="277"/>
        <v>0</v>
      </c>
      <c r="AL83" s="621">
        <f t="shared" ref="AL83" si="285">SUM(AL84:AL85)</f>
        <v>638621.44999999995</v>
      </c>
      <c r="AM83" s="621">
        <f t="shared" si="277"/>
        <v>646856.35999999987</v>
      </c>
      <c r="AN83" s="621">
        <f t="shared" si="277"/>
        <v>0</v>
      </c>
      <c r="AO83" s="621">
        <f t="shared" ref="AO83" si="286">SUM(AO84:AO85)</f>
        <v>646856.35999999987</v>
      </c>
      <c r="AP83" s="621">
        <f t="shared" si="277"/>
        <v>669121.35999999987</v>
      </c>
      <c r="AQ83" s="621">
        <f t="shared" si="277"/>
        <v>0</v>
      </c>
      <c r="AR83" s="621">
        <f t="shared" ref="AR83" si="287">SUM(AR84:AR85)</f>
        <v>669121.35999999987</v>
      </c>
      <c r="AS83" s="621">
        <f t="shared" si="277"/>
        <v>687224.55999999994</v>
      </c>
      <c r="AT83" s="621">
        <f t="shared" si="277"/>
        <v>0</v>
      </c>
      <c r="AU83" s="621">
        <f t="shared" ref="AU83:AV83" si="288">SUM(AU84:AU85)</f>
        <v>687224.55999999994</v>
      </c>
      <c r="AV83" s="621">
        <f t="shared" si="288"/>
        <v>20500</v>
      </c>
      <c r="AW83" s="653"/>
      <c r="AX83" s="621">
        <f t="shared" si="277"/>
        <v>55184.57</v>
      </c>
      <c r="AY83" s="621">
        <f t="shared" si="277"/>
        <v>0</v>
      </c>
      <c r="AZ83" s="621">
        <f t="shared" si="277"/>
        <v>55184.57</v>
      </c>
      <c r="BA83" s="621">
        <f t="shared" si="277"/>
        <v>0</v>
      </c>
      <c r="BB83" s="653"/>
      <c r="BC83" s="621">
        <f t="shared" si="277"/>
        <v>0</v>
      </c>
      <c r="BD83" s="621">
        <f t="shared" si="277"/>
        <v>0</v>
      </c>
      <c r="BE83" s="621">
        <f t="shared" si="277"/>
        <v>0</v>
      </c>
      <c r="BF83" s="621">
        <f t="shared" si="277"/>
        <v>0</v>
      </c>
      <c r="BG83" s="621"/>
      <c r="BH83" s="621">
        <f t="shared" si="277"/>
        <v>742409.13</v>
      </c>
      <c r="BI83" s="621">
        <f t="shared" si="277"/>
        <v>0</v>
      </c>
      <c r="BJ83" s="621">
        <f t="shared" si="277"/>
        <v>742409.13</v>
      </c>
      <c r="BK83" s="621">
        <f t="shared" si="262"/>
        <v>20500</v>
      </c>
      <c r="BL83" s="599"/>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row>
    <row r="84" spans="1:179" s="9" customFormat="1" ht="102" customHeight="1">
      <c r="A84" s="522" t="s">
        <v>70</v>
      </c>
      <c r="B84" s="522" t="s">
        <v>258</v>
      </c>
      <c r="C84" s="618">
        <v>2543142</v>
      </c>
      <c r="D84" s="618">
        <v>2543142</v>
      </c>
      <c r="E84" s="618">
        <v>0</v>
      </c>
      <c r="F84" s="618">
        <v>0</v>
      </c>
      <c r="G84" s="618">
        <v>2543142</v>
      </c>
      <c r="H84" s="618">
        <v>154187</v>
      </c>
      <c r="I84" s="618">
        <v>26247</v>
      </c>
      <c r="J84" s="618">
        <f t="shared" si="129"/>
        <v>180434</v>
      </c>
      <c r="K84" s="618">
        <v>2298835.63</v>
      </c>
      <c r="L84" s="618">
        <v>19879.150000000001</v>
      </c>
      <c r="M84" s="618">
        <v>0</v>
      </c>
      <c r="N84" s="618">
        <f t="shared" si="114"/>
        <v>19879.150000000001</v>
      </c>
      <c r="O84" s="619">
        <v>58480.590000000004</v>
      </c>
      <c r="P84" s="619">
        <v>0</v>
      </c>
      <c r="Q84" s="618">
        <f t="shared" si="115"/>
        <v>58480.590000000004</v>
      </c>
      <c r="R84" s="619">
        <v>105835.91</v>
      </c>
      <c r="S84" s="619">
        <v>0</v>
      </c>
      <c r="T84" s="618">
        <f t="shared" si="116"/>
        <v>105835.91</v>
      </c>
      <c r="U84" s="619">
        <v>129482.87</v>
      </c>
      <c r="V84" s="619">
        <v>0</v>
      </c>
      <c r="W84" s="618">
        <f t="shared" si="117"/>
        <v>129482.87</v>
      </c>
      <c r="X84" s="619">
        <v>139364.10999999999</v>
      </c>
      <c r="Y84" s="619">
        <v>0</v>
      </c>
      <c r="Z84" s="618">
        <f t="shared" si="118"/>
        <v>139364.10999999999</v>
      </c>
      <c r="AA84" s="619">
        <v>149603.19999999998</v>
      </c>
      <c r="AB84" s="619">
        <v>0</v>
      </c>
      <c r="AC84" s="618">
        <f t="shared" si="119"/>
        <v>149603.19999999998</v>
      </c>
      <c r="AD84" s="619">
        <v>158477.75999999998</v>
      </c>
      <c r="AE84" s="619">
        <v>0</v>
      </c>
      <c r="AF84" s="618">
        <f t="shared" si="120"/>
        <v>158477.75999999998</v>
      </c>
      <c r="AG84" s="619">
        <v>164059.52999999997</v>
      </c>
      <c r="AH84" s="619">
        <v>0</v>
      </c>
      <c r="AI84" s="618">
        <f t="shared" si="121"/>
        <v>164059.52999999997</v>
      </c>
      <c r="AJ84" s="619">
        <v>185121.86999999997</v>
      </c>
      <c r="AK84" s="619">
        <v>0</v>
      </c>
      <c r="AL84" s="618">
        <f t="shared" si="122"/>
        <v>185121.86999999997</v>
      </c>
      <c r="AM84" s="619">
        <v>193356.77999999997</v>
      </c>
      <c r="AN84" s="619">
        <v>0</v>
      </c>
      <c r="AO84" s="618">
        <f t="shared" si="123"/>
        <v>193356.77999999997</v>
      </c>
      <c r="AP84" s="619">
        <v>193356.77999999997</v>
      </c>
      <c r="AQ84" s="619">
        <v>0</v>
      </c>
      <c r="AR84" s="618">
        <f t="shared" si="124"/>
        <v>193356.77999999997</v>
      </c>
      <c r="AS84" s="619">
        <v>194657.47999999998</v>
      </c>
      <c r="AT84" s="619">
        <v>0</v>
      </c>
      <c r="AU84" s="618">
        <f t="shared" si="125"/>
        <v>194657.47999999998</v>
      </c>
      <c r="AV84" s="619">
        <v>500</v>
      </c>
      <c r="AW84" s="654" t="s">
        <v>1452</v>
      </c>
      <c r="AX84" s="619">
        <v>11559.89</v>
      </c>
      <c r="AY84" s="619">
        <v>0</v>
      </c>
      <c r="AZ84" s="618">
        <f t="shared" si="126"/>
        <v>11559.89</v>
      </c>
      <c r="BA84" s="619">
        <v>0</v>
      </c>
      <c r="BB84" s="654" t="s">
        <v>1452</v>
      </c>
      <c r="BC84" s="619">
        <v>0</v>
      </c>
      <c r="BD84" s="619">
        <v>0</v>
      </c>
      <c r="BE84" s="618">
        <f t="shared" si="127"/>
        <v>0</v>
      </c>
      <c r="BF84" s="619">
        <v>0</v>
      </c>
      <c r="BG84" s="619" t="s">
        <v>1453</v>
      </c>
      <c r="BH84" s="618">
        <v>206217.37</v>
      </c>
      <c r="BI84" s="618">
        <v>0</v>
      </c>
      <c r="BJ84" s="618">
        <f t="shared" si="128"/>
        <v>206217.37</v>
      </c>
      <c r="BK84" s="618">
        <f t="shared" si="262"/>
        <v>500</v>
      </c>
      <c r="BL84" s="598" t="s">
        <v>1454</v>
      </c>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row>
    <row r="85" spans="1:179" s="9" customFormat="1" ht="99.75" customHeight="1">
      <c r="A85" s="522" t="s">
        <v>71</v>
      </c>
      <c r="B85" s="522" t="s">
        <v>259</v>
      </c>
      <c r="C85" s="618">
        <v>2483574</v>
      </c>
      <c r="D85" s="618">
        <v>2483574</v>
      </c>
      <c r="E85" s="618">
        <v>0</v>
      </c>
      <c r="F85" s="618">
        <v>0</v>
      </c>
      <c r="G85" s="618">
        <v>2483574</v>
      </c>
      <c r="H85" s="618">
        <v>247514</v>
      </c>
      <c r="I85" s="618">
        <v>245490</v>
      </c>
      <c r="J85" s="618">
        <f t="shared" si="129"/>
        <v>493004</v>
      </c>
      <c r="K85" s="618">
        <v>1809869.35</v>
      </c>
      <c r="L85" s="618">
        <v>48326.720000000001</v>
      </c>
      <c r="M85" s="618">
        <v>0</v>
      </c>
      <c r="N85" s="618">
        <f t="shared" si="114"/>
        <v>48326.720000000001</v>
      </c>
      <c r="O85" s="619">
        <v>135378.12</v>
      </c>
      <c r="P85" s="619">
        <v>0</v>
      </c>
      <c r="Q85" s="618">
        <f t="shared" si="115"/>
        <v>135378.12</v>
      </c>
      <c r="R85" s="619">
        <v>209345.01</v>
      </c>
      <c r="S85" s="619">
        <v>0</v>
      </c>
      <c r="T85" s="618">
        <f t="shared" si="116"/>
        <v>209345.01</v>
      </c>
      <c r="U85" s="619">
        <v>218926.77000000002</v>
      </c>
      <c r="V85" s="619">
        <v>0</v>
      </c>
      <c r="W85" s="618">
        <f t="shared" si="117"/>
        <v>218926.77000000002</v>
      </c>
      <c r="X85" s="619">
        <v>308440.19</v>
      </c>
      <c r="Y85" s="619">
        <v>0</v>
      </c>
      <c r="Z85" s="618">
        <f t="shared" si="118"/>
        <v>308440.19</v>
      </c>
      <c r="AA85" s="619">
        <v>345929.27</v>
      </c>
      <c r="AB85" s="619">
        <v>0</v>
      </c>
      <c r="AC85" s="618">
        <f t="shared" si="119"/>
        <v>345929.27</v>
      </c>
      <c r="AD85" s="619">
        <v>353728.68</v>
      </c>
      <c r="AE85" s="619">
        <v>0</v>
      </c>
      <c r="AF85" s="618">
        <f t="shared" si="120"/>
        <v>353728.68</v>
      </c>
      <c r="AG85" s="619">
        <v>400276.45999999996</v>
      </c>
      <c r="AH85" s="619">
        <v>0</v>
      </c>
      <c r="AI85" s="618">
        <f t="shared" si="121"/>
        <v>400276.45999999996</v>
      </c>
      <c r="AJ85" s="619">
        <v>453499.57999999996</v>
      </c>
      <c r="AK85" s="619">
        <v>0</v>
      </c>
      <c r="AL85" s="618">
        <f t="shared" si="122"/>
        <v>453499.57999999996</v>
      </c>
      <c r="AM85" s="619">
        <v>453499.57999999996</v>
      </c>
      <c r="AN85" s="619">
        <v>0</v>
      </c>
      <c r="AO85" s="618">
        <f t="shared" si="123"/>
        <v>453499.57999999996</v>
      </c>
      <c r="AP85" s="619">
        <v>475764.57999999996</v>
      </c>
      <c r="AQ85" s="619">
        <v>0</v>
      </c>
      <c r="AR85" s="618">
        <f t="shared" si="124"/>
        <v>475764.57999999996</v>
      </c>
      <c r="AS85" s="619">
        <v>492567.07999999996</v>
      </c>
      <c r="AT85" s="619">
        <v>0</v>
      </c>
      <c r="AU85" s="618">
        <f t="shared" si="125"/>
        <v>492567.07999999996</v>
      </c>
      <c r="AV85" s="619">
        <v>20000</v>
      </c>
      <c r="AW85" s="654" t="s">
        <v>1452</v>
      </c>
      <c r="AX85" s="619">
        <v>43624.68</v>
      </c>
      <c r="AY85" s="619">
        <v>0</v>
      </c>
      <c r="AZ85" s="618">
        <f t="shared" si="126"/>
        <v>43624.68</v>
      </c>
      <c r="BA85" s="619">
        <v>0</v>
      </c>
      <c r="BB85" s="654" t="s">
        <v>1452</v>
      </c>
      <c r="BC85" s="619">
        <v>0</v>
      </c>
      <c r="BD85" s="619">
        <v>0</v>
      </c>
      <c r="BE85" s="618">
        <f t="shared" si="127"/>
        <v>0</v>
      </c>
      <c r="BF85" s="619">
        <v>0</v>
      </c>
      <c r="BG85" s="619" t="s">
        <v>1453</v>
      </c>
      <c r="BH85" s="618">
        <v>536191.76</v>
      </c>
      <c r="BI85" s="618">
        <v>0</v>
      </c>
      <c r="BJ85" s="618">
        <f t="shared" si="128"/>
        <v>536191.76</v>
      </c>
      <c r="BK85" s="618">
        <f t="shared" si="262"/>
        <v>20000</v>
      </c>
      <c r="BL85" s="598" t="s">
        <v>1455</v>
      </c>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row>
    <row r="86" spans="1:179" s="4" customFormat="1">
      <c r="A86" s="527"/>
      <c r="B86" s="519" t="s">
        <v>260</v>
      </c>
      <c r="C86" s="616">
        <f t="shared" ref="C86:AF86" si="289">C87+C118+C134+C139+C149+C162+C168+C172</f>
        <v>1692047971.722172</v>
      </c>
      <c r="D86" s="616">
        <f t="shared" si="289"/>
        <v>1692047973.4436359</v>
      </c>
      <c r="E86" s="616">
        <f t="shared" si="289"/>
        <v>210967038.78999999</v>
      </c>
      <c r="F86" s="616">
        <f t="shared" si="289"/>
        <v>199592824.78999999</v>
      </c>
      <c r="G86" s="616">
        <f t="shared" si="289"/>
        <v>1871640798.2336361</v>
      </c>
      <c r="H86" s="616">
        <f t="shared" si="289"/>
        <v>241906493.00418666</v>
      </c>
      <c r="I86" s="616">
        <f t="shared" si="289"/>
        <v>87473483.143744007</v>
      </c>
      <c r="J86" s="616">
        <f t="shared" si="289"/>
        <v>329379976.14793068</v>
      </c>
      <c r="K86" s="616">
        <f t="shared" si="289"/>
        <v>934022454.41000009</v>
      </c>
      <c r="L86" s="616">
        <f t="shared" si="289"/>
        <v>8775144.8499999996</v>
      </c>
      <c r="M86" s="616">
        <f t="shared" si="289"/>
        <v>0</v>
      </c>
      <c r="N86" s="616">
        <f t="shared" ref="N86" si="290">N87+N118+N134+N139+N149+N162+N168+N172</f>
        <v>8775144.8499999996</v>
      </c>
      <c r="O86" s="616">
        <f t="shared" si="289"/>
        <v>28124665.984000005</v>
      </c>
      <c r="P86" s="616">
        <f t="shared" si="289"/>
        <v>0</v>
      </c>
      <c r="Q86" s="616">
        <f t="shared" si="289"/>
        <v>28124665.984000005</v>
      </c>
      <c r="R86" s="616">
        <f t="shared" si="289"/>
        <v>53881209.298000008</v>
      </c>
      <c r="S86" s="616">
        <f t="shared" si="289"/>
        <v>0</v>
      </c>
      <c r="T86" s="616">
        <f t="shared" si="289"/>
        <v>53881209.298000008</v>
      </c>
      <c r="U86" s="616">
        <f t="shared" si="289"/>
        <v>64829050.258000009</v>
      </c>
      <c r="V86" s="616">
        <f t="shared" si="289"/>
        <v>1599811.81</v>
      </c>
      <c r="W86" s="616">
        <f t="shared" si="289"/>
        <v>66428862.068000004</v>
      </c>
      <c r="X86" s="616">
        <f t="shared" si="289"/>
        <v>90069238.85800001</v>
      </c>
      <c r="Y86" s="616">
        <f t="shared" si="289"/>
        <v>1599811.81</v>
      </c>
      <c r="Z86" s="616">
        <f t="shared" si="289"/>
        <v>91669050.668000013</v>
      </c>
      <c r="AA86" s="616">
        <f t="shared" si="289"/>
        <v>109295270.50400001</v>
      </c>
      <c r="AB86" s="616">
        <f t="shared" si="289"/>
        <v>1599811.81</v>
      </c>
      <c r="AC86" s="616">
        <f t="shared" si="289"/>
        <v>110895082.31400001</v>
      </c>
      <c r="AD86" s="616">
        <f t="shared" si="289"/>
        <v>128642803.58399999</v>
      </c>
      <c r="AE86" s="616">
        <f t="shared" si="289"/>
        <v>3253538.81</v>
      </c>
      <c r="AF86" s="616">
        <f t="shared" si="289"/>
        <v>131896342.39399999</v>
      </c>
      <c r="AG86" s="616">
        <f t="shared" ref="AG86:AH86" si="291">AG87+AG118+AG134+AG139+AG149+AG162+AG168+AG172</f>
        <v>145260902.81399998</v>
      </c>
      <c r="AH86" s="616">
        <f t="shared" si="291"/>
        <v>4230872.8100000005</v>
      </c>
      <c r="AI86" s="616">
        <f t="shared" ref="AI86:BI86" si="292">AI87+AI118+AI134+AI139+AI149+AI162+AI168+AI172</f>
        <v>149491775.62399998</v>
      </c>
      <c r="AJ86" s="616">
        <f t="shared" si="292"/>
        <v>163749521.414</v>
      </c>
      <c r="AK86" s="616">
        <f t="shared" si="292"/>
        <v>4230872.8100000005</v>
      </c>
      <c r="AL86" s="616">
        <f t="shared" si="292"/>
        <v>167980394.22400001</v>
      </c>
      <c r="AM86" s="616">
        <f t="shared" si="292"/>
        <v>175418522.68800002</v>
      </c>
      <c r="AN86" s="616">
        <f t="shared" si="292"/>
        <v>14404035.6</v>
      </c>
      <c r="AO86" s="616">
        <f t="shared" si="292"/>
        <v>189822558.28800002</v>
      </c>
      <c r="AP86" s="616">
        <f t="shared" si="292"/>
        <v>202474452.208</v>
      </c>
      <c r="AQ86" s="616">
        <f t="shared" si="292"/>
        <v>17750267.849999998</v>
      </c>
      <c r="AR86" s="616">
        <f t="shared" si="292"/>
        <v>220224720.05800003</v>
      </c>
      <c r="AS86" s="616">
        <f t="shared" si="292"/>
        <v>231385746.1503</v>
      </c>
      <c r="AT86" s="616">
        <f t="shared" si="292"/>
        <v>21248858.289999999</v>
      </c>
      <c r="AU86" s="616">
        <f t="shared" si="292"/>
        <v>252634604.44030002</v>
      </c>
      <c r="AV86" s="616">
        <f t="shared" ref="AV86" si="293">AV87+AV118+AV134+AV139+AV149+AV162+AV168+AV172</f>
        <v>9867640.871983001</v>
      </c>
      <c r="AW86" s="652"/>
      <c r="AX86" s="616">
        <f t="shared" si="292"/>
        <v>277970237.66271299</v>
      </c>
      <c r="AY86" s="616">
        <f t="shared" si="292"/>
        <v>72300580.00999999</v>
      </c>
      <c r="AZ86" s="616">
        <f t="shared" ref="AZ86:BA86" si="294">AZ87+AZ118+AZ134+AZ139+AZ149+AZ162+AZ168+AZ172</f>
        <v>350270817.67271298</v>
      </c>
      <c r="BA86" s="616">
        <f t="shared" si="294"/>
        <v>8408206.4470601995</v>
      </c>
      <c r="BB86" s="652"/>
      <c r="BC86" s="616">
        <f t="shared" si="292"/>
        <v>212300415.33356613</v>
      </c>
      <c r="BD86" s="616">
        <f t="shared" si="292"/>
        <v>110887431.83000001</v>
      </c>
      <c r="BE86" s="616">
        <f t="shared" ref="BE86:BF86" si="295">BE87+BE118+BE134+BE139+BE149+BE162+BE168+BE172</f>
        <v>323187847.16356611</v>
      </c>
      <c r="BF86" s="616">
        <f t="shared" si="295"/>
        <v>1879489.5873118851</v>
      </c>
      <c r="BG86" s="616"/>
      <c r="BH86" s="616">
        <f t="shared" si="292"/>
        <v>721656399.14657903</v>
      </c>
      <c r="BI86" s="616">
        <f t="shared" si="292"/>
        <v>204436870.13</v>
      </c>
      <c r="BJ86" s="616">
        <f t="shared" ref="BJ86" si="296">BJ87+BJ118+BJ134+BJ139+BJ149+BJ162+BJ168+BJ172</f>
        <v>926093269.27657902</v>
      </c>
      <c r="BK86" s="616">
        <f t="shared" si="262"/>
        <v>20155336.906355087</v>
      </c>
      <c r="BL86" s="595"/>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row>
    <row r="87" spans="1:179" s="5" customFormat="1" ht="40.5">
      <c r="A87" s="523"/>
      <c r="B87" s="521" t="s">
        <v>261</v>
      </c>
      <c r="C87" s="617">
        <f t="shared" ref="C87:I87" si="297">C88+C111</f>
        <v>397232003.19890004</v>
      </c>
      <c r="D87" s="617">
        <f t="shared" si="297"/>
        <v>412371614.31117195</v>
      </c>
      <c r="E87" s="617">
        <f t="shared" si="297"/>
        <v>41070677.789999999</v>
      </c>
      <c r="F87" s="617">
        <f t="shared" si="297"/>
        <v>38070677.789999999</v>
      </c>
      <c r="G87" s="617">
        <f t="shared" si="297"/>
        <v>430442292.10117203</v>
      </c>
      <c r="H87" s="617">
        <f t="shared" si="297"/>
        <v>48572611</v>
      </c>
      <c r="I87" s="617">
        <f t="shared" si="297"/>
        <v>6264249</v>
      </c>
      <c r="J87" s="617">
        <f t="shared" ref="J87" si="298">J88+J111</f>
        <v>54836860</v>
      </c>
      <c r="K87" s="617">
        <f t="shared" ref="K87:M87" si="299">K88+K111</f>
        <v>238692627.69</v>
      </c>
      <c r="L87" s="617">
        <f t="shared" si="299"/>
        <v>3302439.48</v>
      </c>
      <c r="M87" s="617">
        <f t="shared" si="299"/>
        <v>0</v>
      </c>
      <c r="N87" s="617">
        <f t="shared" ref="N87" si="300">N88+N111</f>
        <v>3302439.48</v>
      </c>
      <c r="O87" s="617">
        <f t="shared" ref="O87:T87" si="301">O88+O111</f>
        <v>6918053.1500000004</v>
      </c>
      <c r="P87" s="617">
        <f t="shared" si="301"/>
        <v>0</v>
      </c>
      <c r="Q87" s="617">
        <f t="shared" si="301"/>
        <v>6918053.1500000004</v>
      </c>
      <c r="R87" s="617">
        <f t="shared" si="301"/>
        <v>8722077.5600000005</v>
      </c>
      <c r="S87" s="617">
        <f t="shared" si="301"/>
        <v>0</v>
      </c>
      <c r="T87" s="617">
        <f t="shared" si="301"/>
        <v>8722077.5600000005</v>
      </c>
      <c r="U87" s="617">
        <f t="shared" ref="U87:BI87" si="302">U88+U111</f>
        <v>12997180.140000001</v>
      </c>
      <c r="V87" s="617">
        <f t="shared" si="302"/>
        <v>0</v>
      </c>
      <c r="W87" s="617">
        <f t="shared" si="302"/>
        <v>12997180.140000001</v>
      </c>
      <c r="X87" s="617">
        <f t="shared" si="302"/>
        <v>17606113.439999998</v>
      </c>
      <c r="Y87" s="617">
        <f t="shared" si="302"/>
        <v>0</v>
      </c>
      <c r="Z87" s="617">
        <f t="shared" si="302"/>
        <v>17606113.439999998</v>
      </c>
      <c r="AA87" s="617">
        <f t="shared" si="302"/>
        <v>22031550.170000002</v>
      </c>
      <c r="AB87" s="617">
        <f t="shared" si="302"/>
        <v>0</v>
      </c>
      <c r="AC87" s="617">
        <f t="shared" si="302"/>
        <v>22031550.170000002</v>
      </c>
      <c r="AD87" s="617">
        <f t="shared" si="302"/>
        <v>25537959.870000001</v>
      </c>
      <c r="AE87" s="617">
        <f t="shared" si="302"/>
        <v>0</v>
      </c>
      <c r="AF87" s="617">
        <f t="shared" si="302"/>
        <v>25537959.870000001</v>
      </c>
      <c r="AG87" s="617">
        <f t="shared" ref="AG87:AH87" si="303">AG88+AG111</f>
        <v>28288559.27</v>
      </c>
      <c r="AH87" s="617">
        <f t="shared" si="303"/>
        <v>0</v>
      </c>
      <c r="AI87" s="617">
        <f t="shared" si="302"/>
        <v>28288559.27</v>
      </c>
      <c r="AJ87" s="617">
        <f t="shared" si="302"/>
        <v>30969984.710000001</v>
      </c>
      <c r="AK87" s="617">
        <f t="shared" si="302"/>
        <v>0</v>
      </c>
      <c r="AL87" s="617">
        <f t="shared" si="302"/>
        <v>30969984.710000001</v>
      </c>
      <c r="AM87" s="617">
        <f t="shared" si="302"/>
        <v>36097286.710000001</v>
      </c>
      <c r="AN87" s="617">
        <f t="shared" si="302"/>
        <v>0</v>
      </c>
      <c r="AO87" s="617">
        <f t="shared" si="302"/>
        <v>36097286.710000001</v>
      </c>
      <c r="AP87" s="617">
        <f t="shared" si="302"/>
        <v>39883779.109999999</v>
      </c>
      <c r="AQ87" s="617">
        <f t="shared" si="302"/>
        <v>0</v>
      </c>
      <c r="AR87" s="617">
        <f t="shared" si="302"/>
        <v>39883779.109999999</v>
      </c>
      <c r="AS87" s="617">
        <f t="shared" ref="AS87:AT87" si="304">AS88+AS111</f>
        <v>41103211.300300002</v>
      </c>
      <c r="AT87" s="617">
        <f t="shared" si="304"/>
        <v>0</v>
      </c>
      <c r="AU87" s="617">
        <f t="shared" si="302"/>
        <v>41103211.300300002</v>
      </c>
      <c r="AV87" s="617">
        <f t="shared" ref="AV87" si="305">AV88+AV111</f>
        <v>6184350.2797000008</v>
      </c>
      <c r="AW87" s="653"/>
      <c r="AX87" s="617">
        <f t="shared" si="302"/>
        <v>59303088.128641009</v>
      </c>
      <c r="AY87" s="617">
        <f t="shared" si="302"/>
        <v>3419681.8899999997</v>
      </c>
      <c r="AZ87" s="617">
        <f t="shared" ref="AZ87:BA87" si="306">AZ88+AZ111</f>
        <v>62722770.01864101</v>
      </c>
      <c r="BA87" s="617">
        <f t="shared" si="306"/>
        <v>7213835.7199370004</v>
      </c>
      <c r="BB87" s="653"/>
      <c r="BC87" s="617">
        <f t="shared" si="302"/>
        <v>47709819.885566108</v>
      </c>
      <c r="BD87" s="617">
        <f t="shared" si="302"/>
        <v>37650995.899999999</v>
      </c>
      <c r="BE87" s="617">
        <f t="shared" ref="BE87:BF87" si="307">BE88+BE111</f>
        <v>85360815.785566092</v>
      </c>
      <c r="BF87" s="617">
        <f t="shared" si="307"/>
        <v>957035.47022388491</v>
      </c>
      <c r="BG87" s="617"/>
      <c r="BH87" s="617">
        <f t="shared" si="302"/>
        <v>148116119.31450713</v>
      </c>
      <c r="BI87" s="617">
        <f t="shared" si="302"/>
        <v>41070677.789999999</v>
      </c>
      <c r="BJ87" s="617">
        <f t="shared" ref="BJ87" si="308">BJ88+BJ111</f>
        <v>189186797.10450712</v>
      </c>
      <c r="BK87" s="617">
        <f t="shared" si="262"/>
        <v>14355221.469860885</v>
      </c>
      <c r="BL87" s="596"/>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row>
    <row r="88" spans="1:179" s="7" customFormat="1">
      <c r="A88" s="528"/>
      <c r="B88" s="529" t="s">
        <v>262</v>
      </c>
      <c r="C88" s="638">
        <f>SUM(C89:C110)</f>
        <v>332510628.22202003</v>
      </c>
      <c r="D88" s="638">
        <f t="shared" ref="D88:I88" si="309">SUM(D89:D110)</f>
        <v>347650239.33429193</v>
      </c>
      <c r="E88" s="638">
        <f t="shared" si="309"/>
        <v>26070677.789999999</v>
      </c>
      <c r="F88" s="638">
        <f t="shared" si="309"/>
        <v>23070677.789999999</v>
      </c>
      <c r="G88" s="638">
        <f t="shared" si="309"/>
        <v>350720917.12429202</v>
      </c>
      <c r="H88" s="638">
        <f t="shared" si="309"/>
        <v>37521013</v>
      </c>
      <c r="I88" s="638">
        <f t="shared" si="309"/>
        <v>1422528</v>
      </c>
      <c r="J88" s="638">
        <f t="shared" ref="J88" si="310">SUM(J89:J110)</f>
        <v>38943541</v>
      </c>
      <c r="K88" s="638">
        <f t="shared" ref="K88:M88" si="311">SUM(K89:K110)</f>
        <v>221707551.06</v>
      </c>
      <c r="L88" s="638">
        <f t="shared" si="311"/>
        <v>2401793.34</v>
      </c>
      <c r="M88" s="638">
        <f t="shared" si="311"/>
        <v>0</v>
      </c>
      <c r="N88" s="638">
        <f t="shared" ref="N88" si="312">SUM(N89:N110)</f>
        <v>2401793.34</v>
      </c>
      <c r="O88" s="638">
        <f t="shared" ref="O88:T88" si="313">SUM(O89:O110)</f>
        <v>5180923.8100000005</v>
      </c>
      <c r="P88" s="638">
        <f t="shared" si="313"/>
        <v>0</v>
      </c>
      <c r="Q88" s="638">
        <f t="shared" si="313"/>
        <v>5180923.8100000005</v>
      </c>
      <c r="R88" s="638">
        <f t="shared" si="313"/>
        <v>6344270.5300000003</v>
      </c>
      <c r="S88" s="638">
        <f t="shared" si="313"/>
        <v>0</v>
      </c>
      <c r="T88" s="638">
        <f t="shared" si="313"/>
        <v>6344270.5300000003</v>
      </c>
      <c r="U88" s="638">
        <f t="shared" ref="U88:BI88" si="314">SUM(U89:U110)</f>
        <v>9777322.3300000001</v>
      </c>
      <c r="V88" s="638">
        <f t="shared" si="314"/>
        <v>0</v>
      </c>
      <c r="W88" s="638">
        <f t="shared" si="314"/>
        <v>9777322.3300000001</v>
      </c>
      <c r="X88" s="638">
        <f t="shared" si="314"/>
        <v>13402968.33</v>
      </c>
      <c r="Y88" s="638">
        <f t="shared" si="314"/>
        <v>0</v>
      </c>
      <c r="Z88" s="638">
        <f t="shared" si="314"/>
        <v>13402968.33</v>
      </c>
      <c r="AA88" s="638">
        <f t="shared" si="314"/>
        <v>17164409.93</v>
      </c>
      <c r="AB88" s="638">
        <f t="shared" si="314"/>
        <v>0</v>
      </c>
      <c r="AC88" s="638">
        <f t="shared" si="314"/>
        <v>17164409.93</v>
      </c>
      <c r="AD88" s="638">
        <f t="shared" si="314"/>
        <v>20053830.73</v>
      </c>
      <c r="AE88" s="638">
        <f t="shared" si="314"/>
        <v>0</v>
      </c>
      <c r="AF88" s="638">
        <f t="shared" si="314"/>
        <v>20053830.73</v>
      </c>
      <c r="AG88" s="638">
        <f t="shared" ref="AG88:AH88" si="315">SUM(AG89:AG110)</f>
        <v>21998040.129999999</v>
      </c>
      <c r="AH88" s="638">
        <f t="shared" si="315"/>
        <v>0</v>
      </c>
      <c r="AI88" s="638">
        <f t="shared" si="314"/>
        <v>21998040.129999999</v>
      </c>
      <c r="AJ88" s="638">
        <f t="shared" si="314"/>
        <v>24075449.129999999</v>
      </c>
      <c r="AK88" s="638">
        <f t="shared" si="314"/>
        <v>0</v>
      </c>
      <c r="AL88" s="638">
        <f t="shared" si="314"/>
        <v>24075449.129999999</v>
      </c>
      <c r="AM88" s="638">
        <f t="shared" si="314"/>
        <v>27580093.129999999</v>
      </c>
      <c r="AN88" s="638">
        <f t="shared" si="314"/>
        <v>0</v>
      </c>
      <c r="AO88" s="638">
        <f t="shared" si="314"/>
        <v>27580093.129999999</v>
      </c>
      <c r="AP88" s="638">
        <f t="shared" si="314"/>
        <v>30065769.530000001</v>
      </c>
      <c r="AQ88" s="638">
        <f t="shared" si="314"/>
        <v>0</v>
      </c>
      <c r="AR88" s="638">
        <f t="shared" si="314"/>
        <v>30065769.530000001</v>
      </c>
      <c r="AS88" s="638">
        <f t="shared" ref="AS88:AT88" si="316">SUM(AS89:AS110)</f>
        <v>30663139.384</v>
      </c>
      <c r="AT88" s="638">
        <f t="shared" si="316"/>
        <v>0</v>
      </c>
      <c r="AU88" s="638">
        <f t="shared" si="314"/>
        <v>30663139.384</v>
      </c>
      <c r="AV88" s="638">
        <f t="shared" ref="AV88" si="317">SUM(AV89:AV110)</f>
        <v>5662941.6160000004</v>
      </c>
      <c r="AW88" s="663"/>
      <c r="AX88" s="638">
        <f t="shared" si="314"/>
        <v>42216922.591138005</v>
      </c>
      <c r="AY88" s="638">
        <f t="shared" si="314"/>
        <v>3419681.8899999997</v>
      </c>
      <c r="AZ88" s="638">
        <f t="shared" ref="AZ88:BA88" si="318">SUM(AZ89:AZ110)</f>
        <v>45636604.481138006</v>
      </c>
      <c r="BA88" s="638">
        <f t="shared" si="318"/>
        <v>6234636.20744</v>
      </c>
      <c r="BB88" s="663"/>
      <c r="BC88" s="638">
        <f t="shared" si="314"/>
        <v>29957402.638910003</v>
      </c>
      <c r="BD88" s="638">
        <f t="shared" si="314"/>
        <v>22650995.899999999</v>
      </c>
      <c r="BE88" s="638">
        <f t="shared" ref="BE88:BF88" si="319">SUM(BE89:BE110)</f>
        <v>52608398.538909994</v>
      </c>
      <c r="BF88" s="638">
        <f t="shared" si="319"/>
        <v>0</v>
      </c>
      <c r="BG88" s="638"/>
      <c r="BH88" s="638">
        <f t="shared" si="314"/>
        <v>102837464.614048</v>
      </c>
      <c r="BI88" s="638">
        <f t="shared" si="314"/>
        <v>26070677.789999999</v>
      </c>
      <c r="BJ88" s="638">
        <f t="shared" ref="BJ88" si="320">SUM(BJ89:BJ110)</f>
        <v>128908142.40404801</v>
      </c>
      <c r="BK88" s="638">
        <f t="shared" si="262"/>
        <v>11897577.82344</v>
      </c>
      <c r="BL88" s="603"/>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row>
    <row r="89" spans="1:179" s="12" customFormat="1" ht="48.75" customHeight="1">
      <c r="A89" s="530" t="s">
        <v>4</v>
      </c>
      <c r="B89" s="530" t="s">
        <v>263</v>
      </c>
      <c r="C89" s="618">
        <v>36320910.719999999</v>
      </c>
      <c r="D89" s="618">
        <v>37373845</v>
      </c>
      <c r="E89" s="618">
        <v>0</v>
      </c>
      <c r="F89" s="618">
        <v>0</v>
      </c>
      <c r="G89" s="618">
        <v>37373845</v>
      </c>
      <c r="H89" s="618">
        <v>8024256</v>
      </c>
      <c r="I89" s="618">
        <v>0</v>
      </c>
      <c r="J89" s="618">
        <f t="shared" ref="J89:J110" si="321">H89+I89</f>
        <v>8024256</v>
      </c>
      <c r="K89" s="618">
        <v>11559893.129999999</v>
      </c>
      <c r="L89" s="618">
        <v>49427.82</v>
      </c>
      <c r="M89" s="618">
        <v>0</v>
      </c>
      <c r="N89" s="618">
        <v>49427.82</v>
      </c>
      <c r="O89" s="619">
        <v>49427.82</v>
      </c>
      <c r="P89" s="619">
        <v>0</v>
      </c>
      <c r="Q89" s="618">
        <v>49427.82</v>
      </c>
      <c r="R89" s="619">
        <v>183431</v>
      </c>
      <c r="S89" s="619">
        <v>0</v>
      </c>
      <c r="T89" s="618">
        <v>183431</v>
      </c>
      <c r="U89" s="619">
        <v>505650</v>
      </c>
      <c r="V89" s="619">
        <v>0</v>
      </c>
      <c r="W89" s="618">
        <v>505650</v>
      </c>
      <c r="X89" s="619">
        <v>1241793</v>
      </c>
      <c r="Y89" s="619">
        <v>0</v>
      </c>
      <c r="Z89" s="618">
        <v>1241793</v>
      </c>
      <c r="AA89" s="619">
        <v>2123294</v>
      </c>
      <c r="AB89" s="619">
        <v>0</v>
      </c>
      <c r="AC89" s="618">
        <v>2123294</v>
      </c>
      <c r="AD89" s="619">
        <v>2746208</v>
      </c>
      <c r="AE89" s="619">
        <v>0</v>
      </c>
      <c r="AF89" s="618">
        <v>2746208</v>
      </c>
      <c r="AG89" s="619">
        <v>3508542</v>
      </c>
      <c r="AH89" s="619">
        <v>0</v>
      </c>
      <c r="AI89" s="618">
        <v>3508542</v>
      </c>
      <c r="AJ89" s="619">
        <v>4346323</v>
      </c>
      <c r="AK89" s="619">
        <v>0</v>
      </c>
      <c r="AL89" s="618">
        <v>4346323</v>
      </c>
      <c r="AM89" s="619">
        <v>5221063</v>
      </c>
      <c r="AN89" s="619">
        <v>0</v>
      </c>
      <c r="AO89" s="618">
        <v>5221063</v>
      </c>
      <c r="AP89" s="619">
        <v>5730383</v>
      </c>
      <c r="AQ89" s="619">
        <v>0</v>
      </c>
      <c r="AR89" s="618">
        <v>5730383</v>
      </c>
      <c r="AS89" s="619">
        <v>8004256</v>
      </c>
      <c r="AT89" s="619">
        <v>0</v>
      </c>
      <c r="AU89" s="618">
        <v>8004256</v>
      </c>
      <c r="AV89" s="619"/>
      <c r="AW89" s="654"/>
      <c r="AX89" s="619">
        <v>9285719.5</v>
      </c>
      <c r="AY89" s="619"/>
      <c r="AZ89" s="618">
        <v>9285719.5</v>
      </c>
      <c r="BA89" s="619"/>
      <c r="BB89" s="654"/>
      <c r="BC89" s="619">
        <v>8523976.3699999992</v>
      </c>
      <c r="BD89" s="619">
        <v>0</v>
      </c>
      <c r="BE89" s="618">
        <v>8523976.3699999992</v>
      </c>
      <c r="BF89" s="619"/>
      <c r="BG89" s="619"/>
      <c r="BH89" s="619">
        <v>25813951.869999997</v>
      </c>
      <c r="BI89" s="619">
        <v>0</v>
      </c>
      <c r="BJ89" s="618">
        <v>25813951.869999997</v>
      </c>
      <c r="BK89" s="618">
        <v>0</v>
      </c>
      <c r="BL89" s="604"/>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row>
    <row r="90" spans="1:179" s="12" customFormat="1" ht="64.5" customHeight="1">
      <c r="A90" s="530" t="s">
        <v>5</v>
      </c>
      <c r="B90" s="530" t="s">
        <v>264</v>
      </c>
      <c r="C90" s="618">
        <v>2122468.08</v>
      </c>
      <c r="D90" s="618">
        <v>1906323</v>
      </c>
      <c r="E90" s="618">
        <v>0</v>
      </c>
      <c r="F90" s="618">
        <v>0</v>
      </c>
      <c r="G90" s="618">
        <v>1906323</v>
      </c>
      <c r="H90" s="618">
        <v>348528</v>
      </c>
      <c r="I90" s="618">
        <v>0</v>
      </c>
      <c r="J90" s="618">
        <f t="shared" si="321"/>
        <v>348528</v>
      </c>
      <c r="K90" s="618">
        <v>980571.92999999993</v>
      </c>
      <c r="L90" s="618">
        <v>8339.77</v>
      </c>
      <c r="M90" s="618">
        <v>0</v>
      </c>
      <c r="N90" s="618">
        <v>8339.77</v>
      </c>
      <c r="O90" s="619">
        <v>37760.770000000004</v>
      </c>
      <c r="P90" s="619">
        <v>0</v>
      </c>
      <c r="Q90" s="618">
        <v>37760.770000000004</v>
      </c>
      <c r="R90" s="619">
        <v>61518.770000000004</v>
      </c>
      <c r="S90" s="619">
        <v>0</v>
      </c>
      <c r="T90" s="618">
        <v>61518.770000000004</v>
      </c>
      <c r="U90" s="619">
        <v>98268.77</v>
      </c>
      <c r="V90" s="619">
        <v>0</v>
      </c>
      <c r="W90" s="618">
        <v>98268.77</v>
      </c>
      <c r="X90" s="619">
        <v>129414.77</v>
      </c>
      <c r="Y90" s="619">
        <v>0</v>
      </c>
      <c r="Z90" s="618">
        <v>129414.77</v>
      </c>
      <c r="AA90" s="619">
        <v>156913.77000000002</v>
      </c>
      <c r="AB90" s="619">
        <v>0</v>
      </c>
      <c r="AC90" s="618">
        <v>156913.77000000002</v>
      </c>
      <c r="AD90" s="619">
        <v>186752.77000000002</v>
      </c>
      <c r="AE90" s="619">
        <v>0</v>
      </c>
      <c r="AF90" s="618">
        <v>186752.77000000002</v>
      </c>
      <c r="AG90" s="619">
        <v>199251.77000000002</v>
      </c>
      <c r="AH90" s="619">
        <v>0</v>
      </c>
      <c r="AI90" s="618">
        <v>199251.77000000002</v>
      </c>
      <c r="AJ90" s="619">
        <v>220559.77000000002</v>
      </c>
      <c r="AK90" s="619">
        <v>0</v>
      </c>
      <c r="AL90" s="618">
        <v>220559.77000000002</v>
      </c>
      <c r="AM90" s="619">
        <v>262898.77</v>
      </c>
      <c r="AN90" s="619">
        <v>0</v>
      </c>
      <c r="AO90" s="618">
        <v>262898.77</v>
      </c>
      <c r="AP90" s="619">
        <v>326370.77</v>
      </c>
      <c r="AQ90" s="619">
        <v>0</v>
      </c>
      <c r="AR90" s="618">
        <v>326370.77</v>
      </c>
      <c r="AS90" s="619">
        <v>348528</v>
      </c>
      <c r="AT90" s="619">
        <v>0</v>
      </c>
      <c r="AU90" s="618">
        <v>348528</v>
      </c>
      <c r="AV90" s="619"/>
      <c r="AW90" s="654"/>
      <c r="AX90" s="619">
        <v>569396.55000000005</v>
      </c>
      <c r="AY90" s="619">
        <v>0</v>
      </c>
      <c r="AZ90" s="618">
        <v>569396.55000000005</v>
      </c>
      <c r="BA90" s="619"/>
      <c r="BB90" s="654"/>
      <c r="BC90" s="619">
        <v>7826.5200000000104</v>
      </c>
      <c r="BD90" s="619">
        <v>0</v>
      </c>
      <c r="BE90" s="618">
        <v>7826.5200000000104</v>
      </c>
      <c r="BF90" s="619"/>
      <c r="BG90" s="619"/>
      <c r="BH90" s="619">
        <v>925751.07000000007</v>
      </c>
      <c r="BI90" s="619">
        <v>0</v>
      </c>
      <c r="BJ90" s="618">
        <v>925751.07000000007</v>
      </c>
      <c r="BK90" s="618">
        <v>0</v>
      </c>
      <c r="BL90" s="604"/>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row>
    <row r="91" spans="1:179" s="12" customFormat="1" ht="64.5" customHeight="1">
      <c r="A91" s="530" t="s">
        <v>6</v>
      </c>
      <c r="B91" s="530" t="s">
        <v>265</v>
      </c>
      <c r="C91" s="618">
        <v>0</v>
      </c>
      <c r="D91" s="618">
        <v>0</v>
      </c>
      <c r="E91" s="618">
        <v>0</v>
      </c>
      <c r="F91" s="618">
        <v>0</v>
      </c>
      <c r="G91" s="618">
        <v>0</v>
      </c>
      <c r="H91" s="618">
        <v>0</v>
      </c>
      <c r="I91" s="618">
        <v>0</v>
      </c>
      <c r="J91" s="618">
        <f t="shared" si="321"/>
        <v>0</v>
      </c>
      <c r="K91" s="618">
        <v>0</v>
      </c>
      <c r="L91" s="618"/>
      <c r="M91" s="618"/>
      <c r="N91" s="618"/>
      <c r="O91" s="619"/>
      <c r="P91" s="619"/>
      <c r="Q91" s="618"/>
      <c r="R91" s="619"/>
      <c r="S91" s="619"/>
      <c r="T91" s="618"/>
      <c r="U91" s="619"/>
      <c r="V91" s="619"/>
      <c r="W91" s="618"/>
      <c r="X91" s="619"/>
      <c r="Y91" s="619"/>
      <c r="Z91" s="618"/>
      <c r="AA91" s="619"/>
      <c r="AB91" s="619"/>
      <c r="AC91" s="618"/>
      <c r="AD91" s="619"/>
      <c r="AE91" s="619"/>
      <c r="AF91" s="618"/>
      <c r="AG91" s="619"/>
      <c r="AH91" s="619"/>
      <c r="AI91" s="618"/>
      <c r="AJ91" s="619"/>
      <c r="AK91" s="619"/>
      <c r="AL91" s="618"/>
      <c r="AM91" s="619"/>
      <c r="AN91" s="619"/>
      <c r="AO91" s="618"/>
      <c r="AP91" s="619"/>
      <c r="AQ91" s="619"/>
      <c r="AR91" s="618"/>
      <c r="AS91" s="619"/>
      <c r="AT91" s="619"/>
      <c r="AU91" s="618"/>
      <c r="AV91" s="619"/>
      <c r="AW91" s="654"/>
      <c r="AX91" s="619"/>
      <c r="AY91" s="619"/>
      <c r="AZ91" s="618"/>
      <c r="BA91" s="619"/>
      <c r="BB91" s="654"/>
      <c r="BC91" s="619"/>
      <c r="BD91" s="619"/>
      <c r="BE91" s="618"/>
      <c r="BF91" s="619"/>
      <c r="BG91" s="619"/>
      <c r="BH91" s="619"/>
      <c r="BI91" s="619"/>
      <c r="BJ91" s="618"/>
      <c r="BK91" s="618"/>
      <c r="BL91" s="604"/>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row>
    <row r="92" spans="1:179" s="12" customFormat="1" ht="64.5" customHeight="1">
      <c r="A92" s="530" t="s">
        <v>7</v>
      </c>
      <c r="B92" s="530" t="s">
        <v>266</v>
      </c>
      <c r="C92" s="618">
        <v>43386001.799999997</v>
      </c>
      <c r="D92" s="618">
        <v>7295504</v>
      </c>
      <c r="E92" s="618">
        <v>0</v>
      </c>
      <c r="F92" s="618">
        <v>0</v>
      </c>
      <c r="G92" s="618">
        <v>7295504</v>
      </c>
      <c r="H92" s="618">
        <v>0</v>
      </c>
      <c r="I92" s="618">
        <v>0</v>
      </c>
      <c r="J92" s="618">
        <f t="shared" si="321"/>
        <v>0</v>
      </c>
      <c r="K92" s="618">
        <v>4989332.51</v>
      </c>
      <c r="L92" s="618">
        <v>0</v>
      </c>
      <c r="M92" s="618">
        <v>0</v>
      </c>
      <c r="N92" s="618">
        <v>0</v>
      </c>
      <c r="O92" s="619">
        <v>15886</v>
      </c>
      <c r="P92" s="619">
        <v>0</v>
      </c>
      <c r="Q92" s="618">
        <v>15886</v>
      </c>
      <c r="R92" s="619">
        <v>15886</v>
      </c>
      <c r="S92" s="619">
        <v>0</v>
      </c>
      <c r="T92" s="618">
        <v>15886</v>
      </c>
      <c r="U92" s="619">
        <v>15886</v>
      </c>
      <c r="V92" s="619">
        <v>0</v>
      </c>
      <c r="W92" s="618">
        <v>15886</v>
      </c>
      <c r="X92" s="619">
        <v>15886</v>
      </c>
      <c r="Y92" s="619">
        <v>0</v>
      </c>
      <c r="Z92" s="618">
        <v>15886</v>
      </c>
      <c r="AA92" s="619">
        <v>15886</v>
      </c>
      <c r="AB92" s="619">
        <v>0</v>
      </c>
      <c r="AC92" s="618">
        <v>15886</v>
      </c>
      <c r="AD92" s="619">
        <v>15886</v>
      </c>
      <c r="AE92" s="619">
        <v>0</v>
      </c>
      <c r="AF92" s="618">
        <v>15886</v>
      </c>
      <c r="AG92" s="619">
        <v>15886</v>
      </c>
      <c r="AH92" s="619">
        <v>0</v>
      </c>
      <c r="AI92" s="618">
        <v>15886</v>
      </c>
      <c r="AJ92" s="619">
        <v>15886</v>
      </c>
      <c r="AK92" s="619">
        <v>0</v>
      </c>
      <c r="AL92" s="618">
        <v>15886</v>
      </c>
      <c r="AM92" s="619">
        <v>15886</v>
      </c>
      <c r="AN92" s="619">
        <v>0</v>
      </c>
      <c r="AO92" s="618">
        <v>15886</v>
      </c>
      <c r="AP92" s="619">
        <v>15886</v>
      </c>
      <c r="AQ92" s="619">
        <v>0</v>
      </c>
      <c r="AR92" s="618">
        <v>15886</v>
      </c>
      <c r="AS92" s="619">
        <v>15886</v>
      </c>
      <c r="AT92" s="619">
        <v>0</v>
      </c>
      <c r="AU92" s="618">
        <v>15886</v>
      </c>
      <c r="AV92" s="619"/>
      <c r="AW92" s="654"/>
      <c r="AX92" s="619">
        <v>0</v>
      </c>
      <c r="AY92" s="619">
        <v>0</v>
      </c>
      <c r="AZ92" s="618">
        <v>0</v>
      </c>
      <c r="BA92" s="619"/>
      <c r="BB92" s="654"/>
      <c r="BC92" s="619">
        <v>0</v>
      </c>
      <c r="BD92" s="619">
        <v>0</v>
      </c>
      <c r="BE92" s="618">
        <v>0</v>
      </c>
      <c r="BF92" s="619"/>
      <c r="BG92" s="619"/>
      <c r="BH92" s="619">
        <v>15886</v>
      </c>
      <c r="BI92" s="619">
        <v>0</v>
      </c>
      <c r="BJ92" s="618">
        <v>15886</v>
      </c>
      <c r="BK92" s="618">
        <v>0</v>
      </c>
      <c r="BL92" s="605" t="s">
        <v>1501</v>
      </c>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row>
    <row r="93" spans="1:179" s="12" customFormat="1" ht="97.5">
      <c r="A93" s="530" t="s">
        <v>8</v>
      </c>
      <c r="B93" s="530" t="s">
        <v>267</v>
      </c>
      <c r="C93" s="618">
        <v>43748030.899999999</v>
      </c>
      <c r="D93" s="618">
        <v>39299304.113087997</v>
      </c>
      <c r="E93" s="618">
        <v>0</v>
      </c>
      <c r="F93" s="618">
        <v>0</v>
      </c>
      <c r="G93" s="618">
        <v>39299304.113087997</v>
      </c>
      <c r="H93" s="618">
        <v>10752240</v>
      </c>
      <c r="I93" s="618">
        <v>0</v>
      </c>
      <c r="J93" s="618">
        <f t="shared" si="321"/>
        <v>10752240</v>
      </c>
      <c r="K93" s="618">
        <v>16617552.189999998</v>
      </c>
      <c r="L93" s="618">
        <v>104999.86</v>
      </c>
      <c r="M93" s="618">
        <v>0</v>
      </c>
      <c r="N93" s="618">
        <v>104999.86</v>
      </c>
      <c r="O93" s="619">
        <v>687232.86</v>
      </c>
      <c r="P93" s="619">
        <v>0</v>
      </c>
      <c r="Q93" s="618">
        <v>687232.86</v>
      </c>
      <c r="R93" s="619">
        <v>1406739</v>
      </c>
      <c r="S93" s="619">
        <v>0</v>
      </c>
      <c r="T93" s="618">
        <v>1406739</v>
      </c>
      <c r="U93" s="619">
        <v>2973653</v>
      </c>
      <c r="V93" s="619">
        <v>0</v>
      </c>
      <c r="W93" s="618">
        <v>2973653</v>
      </c>
      <c r="X93" s="619">
        <v>4446456</v>
      </c>
      <c r="Y93" s="619">
        <v>0</v>
      </c>
      <c r="Z93" s="618">
        <v>4446456</v>
      </c>
      <c r="AA93" s="619">
        <v>5413998</v>
      </c>
      <c r="AB93" s="619">
        <v>0</v>
      </c>
      <c r="AC93" s="618">
        <v>5413998</v>
      </c>
      <c r="AD93" s="619">
        <v>6408196</v>
      </c>
      <c r="AE93" s="619">
        <v>0</v>
      </c>
      <c r="AF93" s="618">
        <v>6408196</v>
      </c>
      <c r="AG93" s="619">
        <v>7038553</v>
      </c>
      <c r="AH93" s="619">
        <v>0</v>
      </c>
      <c r="AI93" s="618">
        <v>7038553</v>
      </c>
      <c r="AJ93" s="619">
        <v>7872384</v>
      </c>
      <c r="AK93" s="619">
        <v>0</v>
      </c>
      <c r="AL93" s="618">
        <v>7872384</v>
      </c>
      <c r="AM93" s="619">
        <v>8480007</v>
      </c>
      <c r="AN93" s="619">
        <v>0</v>
      </c>
      <c r="AO93" s="618">
        <v>8480007</v>
      </c>
      <c r="AP93" s="619">
        <v>9170007</v>
      </c>
      <c r="AQ93" s="619">
        <v>0</v>
      </c>
      <c r="AR93" s="618">
        <v>9170007</v>
      </c>
      <c r="AS93" s="619">
        <v>7758816.3839999996</v>
      </c>
      <c r="AT93" s="619">
        <v>0</v>
      </c>
      <c r="AU93" s="618">
        <v>7758816.3839999996</v>
      </c>
      <c r="AV93" s="619">
        <v>2993423.6159999999</v>
      </c>
      <c r="AW93" s="654" t="s">
        <v>1502</v>
      </c>
      <c r="AX93" s="619">
        <v>3360115.6432799995</v>
      </c>
      <c r="AY93" s="619">
        <v>0</v>
      </c>
      <c r="AZ93" s="618">
        <v>3360115.6432799995</v>
      </c>
      <c r="BA93" s="619">
        <v>1296363.9067200001</v>
      </c>
      <c r="BB93" s="654" t="s">
        <v>1502</v>
      </c>
      <c r="BC93" s="619">
        <v>7273032.3730880003</v>
      </c>
      <c r="BD93" s="619">
        <v>0</v>
      </c>
      <c r="BE93" s="618">
        <v>7273032.3730880003</v>
      </c>
      <c r="BF93" s="619"/>
      <c r="BG93" s="619"/>
      <c r="BH93" s="619">
        <v>18391964.400367998</v>
      </c>
      <c r="BI93" s="619">
        <v>0</v>
      </c>
      <c r="BJ93" s="618">
        <v>18391964.400367998</v>
      </c>
      <c r="BK93" s="618">
        <v>4289787.5227199998</v>
      </c>
      <c r="BL93" s="604"/>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row>
    <row r="94" spans="1:179" s="12" customFormat="1" ht="97.5">
      <c r="A94" s="530" t="s">
        <v>9</v>
      </c>
      <c r="B94" s="530" t="s">
        <v>268</v>
      </c>
      <c r="C94" s="618">
        <v>849999.97256399994</v>
      </c>
      <c r="D94" s="618">
        <v>174764.16226799999</v>
      </c>
      <c r="E94" s="618">
        <v>0</v>
      </c>
      <c r="F94" s="618">
        <v>0</v>
      </c>
      <c r="G94" s="618">
        <v>174764.16226799999</v>
      </c>
      <c r="H94" s="618">
        <v>35832</v>
      </c>
      <c r="I94" s="618">
        <v>0</v>
      </c>
      <c r="J94" s="618">
        <f t="shared" si="321"/>
        <v>35832</v>
      </c>
      <c r="K94" s="618">
        <v>10637.7</v>
      </c>
      <c r="L94" s="618">
        <v>0</v>
      </c>
      <c r="M94" s="618">
        <v>0</v>
      </c>
      <c r="N94" s="618">
        <v>0</v>
      </c>
      <c r="O94" s="619">
        <v>0</v>
      </c>
      <c r="P94" s="619">
        <v>0</v>
      </c>
      <c r="Q94" s="618">
        <v>0</v>
      </c>
      <c r="R94" s="619">
        <v>0</v>
      </c>
      <c r="S94" s="619">
        <v>0</v>
      </c>
      <c r="T94" s="618">
        <v>0</v>
      </c>
      <c r="U94" s="619">
        <v>2159</v>
      </c>
      <c r="V94" s="619">
        <v>0</v>
      </c>
      <c r="W94" s="618">
        <v>2159</v>
      </c>
      <c r="X94" s="619">
        <v>2159</v>
      </c>
      <c r="Y94" s="619">
        <v>0</v>
      </c>
      <c r="Z94" s="618">
        <v>2159</v>
      </c>
      <c r="AA94" s="619">
        <v>10668</v>
      </c>
      <c r="AB94" s="619">
        <v>0</v>
      </c>
      <c r="AC94" s="618">
        <v>10668</v>
      </c>
      <c r="AD94" s="619">
        <v>30027</v>
      </c>
      <c r="AE94" s="619">
        <v>0</v>
      </c>
      <c r="AF94" s="618">
        <v>30027</v>
      </c>
      <c r="AG94" s="619">
        <v>35832</v>
      </c>
      <c r="AH94" s="619">
        <v>0</v>
      </c>
      <c r="AI94" s="618">
        <v>35832</v>
      </c>
      <c r="AJ94" s="619">
        <v>35832</v>
      </c>
      <c r="AK94" s="619">
        <v>0</v>
      </c>
      <c r="AL94" s="618">
        <v>35832</v>
      </c>
      <c r="AM94" s="619">
        <v>35832</v>
      </c>
      <c r="AN94" s="619">
        <v>0</v>
      </c>
      <c r="AO94" s="618">
        <v>35832</v>
      </c>
      <c r="AP94" s="619">
        <v>35832</v>
      </c>
      <c r="AQ94" s="619">
        <v>0</v>
      </c>
      <c r="AR94" s="618">
        <v>35832</v>
      </c>
      <c r="AS94" s="619">
        <v>35832</v>
      </c>
      <c r="AT94" s="619">
        <v>0</v>
      </c>
      <c r="AU94" s="618">
        <v>35832</v>
      </c>
      <c r="AV94" s="619"/>
      <c r="AW94" s="654"/>
      <c r="AX94" s="619">
        <v>0</v>
      </c>
      <c r="AY94" s="619">
        <v>0</v>
      </c>
      <c r="AZ94" s="618">
        <v>0</v>
      </c>
      <c r="BA94" s="619"/>
      <c r="BB94" s="654"/>
      <c r="BC94" s="619">
        <v>0</v>
      </c>
      <c r="BD94" s="619">
        <v>0</v>
      </c>
      <c r="BE94" s="618">
        <v>0</v>
      </c>
      <c r="BF94" s="619"/>
      <c r="BG94" s="619"/>
      <c r="BH94" s="619">
        <v>35832</v>
      </c>
      <c r="BI94" s="619">
        <v>0</v>
      </c>
      <c r="BJ94" s="618">
        <v>35832</v>
      </c>
      <c r="BK94" s="618">
        <v>0</v>
      </c>
      <c r="BL94" s="605" t="s">
        <v>1501</v>
      </c>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row>
    <row r="95" spans="1:179" s="12" customFormat="1" ht="78">
      <c r="A95" s="530" t="s">
        <v>144</v>
      </c>
      <c r="B95" s="530" t="s">
        <v>145</v>
      </c>
      <c r="C95" s="618"/>
      <c r="D95" s="618">
        <v>2000000.266176</v>
      </c>
      <c r="E95" s="618">
        <v>0</v>
      </c>
      <c r="F95" s="618"/>
      <c r="G95" s="618">
        <v>2000000.266176</v>
      </c>
      <c r="H95" s="618">
        <v>0</v>
      </c>
      <c r="I95" s="618">
        <v>0</v>
      </c>
      <c r="J95" s="618">
        <f t="shared" si="321"/>
        <v>0</v>
      </c>
      <c r="K95" s="618">
        <v>0</v>
      </c>
      <c r="L95" s="618"/>
      <c r="M95" s="618"/>
      <c r="N95" s="618"/>
      <c r="O95" s="619"/>
      <c r="P95" s="619"/>
      <c r="Q95" s="618"/>
      <c r="R95" s="619"/>
      <c r="S95" s="619"/>
      <c r="T95" s="618"/>
      <c r="U95" s="619"/>
      <c r="V95" s="619"/>
      <c r="W95" s="618"/>
      <c r="X95" s="619"/>
      <c r="Y95" s="619"/>
      <c r="Z95" s="618"/>
      <c r="AA95" s="619"/>
      <c r="AB95" s="619"/>
      <c r="AC95" s="618"/>
      <c r="AD95" s="619"/>
      <c r="AE95" s="619"/>
      <c r="AF95" s="618"/>
      <c r="AG95" s="619"/>
      <c r="AH95" s="619"/>
      <c r="AI95" s="618"/>
      <c r="AJ95" s="619"/>
      <c r="AK95" s="619"/>
      <c r="AL95" s="618"/>
      <c r="AM95" s="619"/>
      <c r="AN95" s="619"/>
      <c r="AO95" s="618"/>
      <c r="AP95" s="619"/>
      <c r="AQ95" s="619"/>
      <c r="AR95" s="618"/>
      <c r="AS95" s="619"/>
      <c r="AT95" s="619"/>
      <c r="AU95" s="618"/>
      <c r="AV95" s="619"/>
      <c r="AW95" s="654"/>
      <c r="AX95" s="619">
        <v>1000000</v>
      </c>
      <c r="AY95" s="619"/>
      <c r="AZ95" s="618">
        <v>1000000</v>
      </c>
      <c r="BA95" s="619"/>
      <c r="BB95" s="654"/>
      <c r="BC95" s="619">
        <v>1000000</v>
      </c>
      <c r="BD95" s="619"/>
      <c r="BE95" s="618">
        <v>1000000</v>
      </c>
      <c r="BF95" s="619"/>
      <c r="BG95" s="619"/>
      <c r="BH95" s="619">
        <v>2000000</v>
      </c>
      <c r="BI95" s="619">
        <v>0</v>
      </c>
      <c r="BJ95" s="618">
        <v>2000000</v>
      </c>
      <c r="BK95" s="618">
        <v>0</v>
      </c>
      <c r="BL95" s="605" t="s">
        <v>1503</v>
      </c>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row>
    <row r="96" spans="1:179" s="12" customFormat="1" ht="64.5" hidden="1" customHeight="1" outlineLevel="1">
      <c r="A96" s="530" t="s">
        <v>146</v>
      </c>
      <c r="B96" s="530" t="s">
        <v>269</v>
      </c>
      <c r="C96" s="618">
        <v>14056080</v>
      </c>
      <c r="D96" s="618">
        <v>0</v>
      </c>
      <c r="E96" s="618">
        <v>0</v>
      </c>
      <c r="F96" s="618">
        <v>0</v>
      </c>
      <c r="G96" s="618">
        <v>0</v>
      </c>
      <c r="H96" s="618">
        <v>0</v>
      </c>
      <c r="I96" s="618">
        <v>0</v>
      </c>
      <c r="J96" s="618">
        <f t="shared" si="321"/>
        <v>0</v>
      </c>
      <c r="K96" s="618">
        <v>0</v>
      </c>
      <c r="L96" s="618"/>
      <c r="M96" s="618"/>
      <c r="N96" s="618"/>
      <c r="O96" s="619"/>
      <c r="P96" s="619"/>
      <c r="Q96" s="618"/>
      <c r="R96" s="619"/>
      <c r="S96" s="619"/>
      <c r="T96" s="618"/>
      <c r="U96" s="619"/>
      <c r="V96" s="619"/>
      <c r="W96" s="618"/>
      <c r="X96" s="619"/>
      <c r="Y96" s="619"/>
      <c r="Z96" s="618"/>
      <c r="AA96" s="619"/>
      <c r="AB96" s="619"/>
      <c r="AC96" s="618"/>
      <c r="AD96" s="619"/>
      <c r="AE96" s="619"/>
      <c r="AF96" s="618"/>
      <c r="AG96" s="619"/>
      <c r="AH96" s="619"/>
      <c r="AI96" s="618"/>
      <c r="AJ96" s="619"/>
      <c r="AK96" s="619"/>
      <c r="AL96" s="618"/>
      <c r="AM96" s="619"/>
      <c r="AN96" s="619"/>
      <c r="AO96" s="618"/>
      <c r="AP96" s="619"/>
      <c r="AQ96" s="619"/>
      <c r="AR96" s="618"/>
      <c r="AS96" s="619"/>
      <c r="AT96" s="619"/>
      <c r="AU96" s="618"/>
      <c r="AV96" s="619"/>
      <c r="AW96" s="654"/>
      <c r="AX96" s="619"/>
      <c r="AY96" s="619"/>
      <c r="AZ96" s="618"/>
      <c r="BA96" s="619"/>
      <c r="BB96" s="654"/>
      <c r="BC96" s="619"/>
      <c r="BD96" s="619"/>
      <c r="BE96" s="618"/>
      <c r="BF96" s="619"/>
      <c r="BG96" s="619"/>
      <c r="BH96" s="619"/>
      <c r="BI96" s="619"/>
      <c r="BJ96" s="618"/>
      <c r="BK96" s="618"/>
      <c r="BL96" s="605" t="s">
        <v>1504</v>
      </c>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row>
    <row r="97" spans="1:179" s="12" customFormat="1" ht="64.5" customHeight="1" collapsed="1">
      <c r="A97" s="530" t="s">
        <v>10</v>
      </c>
      <c r="B97" s="530" t="s">
        <v>270</v>
      </c>
      <c r="C97" s="618">
        <v>19734736</v>
      </c>
      <c r="D97" s="618">
        <v>75982314.212771997</v>
      </c>
      <c r="E97" s="618">
        <v>20070677.789999999</v>
      </c>
      <c r="F97" s="618">
        <v>20070677.789999999</v>
      </c>
      <c r="G97" s="618">
        <v>96052992.002772003</v>
      </c>
      <c r="H97" s="618">
        <v>12736250</v>
      </c>
      <c r="I97" s="618">
        <v>0</v>
      </c>
      <c r="J97" s="618">
        <f t="shared" si="321"/>
        <v>12736250</v>
      </c>
      <c r="K97" s="618">
        <v>39685604.760000005</v>
      </c>
      <c r="L97" s="618">
        <v>1887357.96</v>
      </c>
      <c r="M97" s="618">
        <v>0</v>
      </c>
      <c r="N97" s="618">
        <v>1887357.96</v>
      </c>
      <c r="O97" s="619">
        <v>3025536.96</v>
      </c>
      <c r="P97" s="619">
        <v>0</v>
      </c>
      <c r="Q97" s="618">
        <v>3025536.96</v>
      </c>
      <c r="R97" s="619">
        <v>3025536.96</v>
      </c>
      <c r="S97" s="619">
        <v>0</v>
      </c>
      <c r="T97" s="618">
        <v>3025536.96</v>
      </c>
      <c r="U97" s="619">
        <v>4148093.96</v>
      </c>
      <c r="V97" s="619">
        <v>0</v>
      </c>
      <c r="W97" s="618">
        <v>4148093.96</v>
      </c>
      <c r="X97" s="619">
        <v>5300636.96</v>
      </c>
      <c r="Y97" s="619">
        <v>0</v>
      </c>
      <c r="Z97" s="618">
        <v>5300636.96</v>
      </c>
      <c r="AA97" s="619">
        <v>6954458.96</v>
      </c>
      <c r="AB97" s="619">
        <v>0</v>
      </c>
      <c r="AC97" s="618">
        <v>6954458.96</v>
      </c>
      <c r="AD97" s="619">
        <v>7797439.96</v>
      </c>
      <c r="AE97" s="619">
        <v>0</v>
      </c>
      <c r="AF97" s="618">
        <v>7797439.96</v>
      </c>
      <c r="AG97" s="619">
        <v>8147439.96</v>
      </c>
      <c r="AH97" s="619">
        <v>0</v>
      </c>
      <c r="AI97" s="618">
        <v>8147439.96</v>
      </c>
      <c r="AJ97" s="619">
        <v>8334378.96</v>
      </c>
      <c r="AK97" s="619">
        <v>0</v>
      </c>
      <c r="AL97" s="618">
        <v>8334378.96</v>
      </c>
      <c r="AM97" s="619">
        <v>9959569.9600000009</v>
      </c>
      <c r="AN97" s="619">
        <v>0</v>
      </c>
      <c r="AO97" s="618">
        <v>9959569.9600000009</v>
      </c>
      <c r="AP97" s="619">
        <v>10936837.960000001</v>
      </c>
      <c r="AQ97" s="619">
        <v>0</v>
      </c>
      <c r="AR97" s="618">
        <v>10936837.960000001</v>
      </c>
      <c r="AS97" s="619">
        <v>10066732</v>
      </c>
      <c r="AT97" s="619">
        <v>0</v>
      </c>
      <c r="AU97" s="618">
        <v>10066732</v>
      </c>
      <c r="AV97" s="619">
        <v>2669518</v>
      </c>
      <c r="AW97" s="654" t="s">
        <v>1505</v>
      </c>
      <c r="AX97" s="619">
        <v>18622187.14928</v>
      </c>
      <c r="AY97" s="619">
        <v>1619681.89</v>
      </c>
      <c r="AZ97" s="618">
        <v>20241869.039280001</v>
      </c>
      <c r="BA97" s="619">
        <v>4938272.3007199997</v>
      </c>
      <c r="BB97" s="654" t="s">
        <v>1505</v>
      </c>
      <c r="BC97" s="619">
        <v>0</v>
      </c>
      <c r="BD97" s="619">
        <v>18450995.899999999</v>
      </c>
      <c r="BE97" s="618">
        <v>18450995.899999999</v>
      </c>
      <c r="BF97" s="619">
        <v>0</v>
      </c>
      <c r="BG97" s="618" t="s">
        <v>1505</v>
      </c>
      <c r="BH97" s="619">
        <v>28688919.14928</v>
      </c>
      <c r="BI97" s="619">
        <v>20070677.789999999</v>
      </c>
      <c r="BJ97" s="618">
        <v>48759596.939280003</v>
      </c>
      <c r="BK97" s="618">
        <v>7607790.3007199997</v>
      </c>
      <c r="BL97" s="605" t="s">
        <v>1506</v>
      </c>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row>
    <row r="98" spans="1:179" s="12" customFormat="1" ht="136.5" hidden="1" outlineLevel="1">
      <c r="A98" s="530" t="s">
        <v>11</v>
      </c>
      <c r="B98" s="530" t="s">
        <v>271</v>
      </c>
      <c r="C98" s="618">
        <v>57875909.399999999</v>
      </c>
      <c r="D98" s="618">
        <v>58529801.052815996</v>
      </c>
      <c r="E98" s="618">
        <v>0</v>
      </c>
      <c r="F98" s="618">
        <v>0</v>
      </c>
      <c r="G98" s="618">
        <v>58529801.052815996</v>
      </c>
      <c r="H98" s="618">
        <v>0</v>
      </c>
      <c r="I98" s="618">
        <v>0</v>
      </c>
      <c r="J98" s="618">
        <f t="shared" si="321"/>
        <v>0</v>
      </c>
      <c r="K98" s="618">
        <v>58529800.700000003</v>
      </c>
      <c r="L98" s="618"/>
      <c r="M98" s="618"/>
      <c r="N98" s="618"/>
      <c r="O98" s="619"/>
      <c r="P98" s="619"/>
      <c r="Q98" s="618"/>
      <c r="R98" s="619"/>
      <c r="S98" s="619"/>
      <c r="T98" s="618"/>
      <c r="U98" s="619"/>
      <c r="V98" s="619"/>
      <c r="W98" s="618"/>
      <c r="X98" s="619"/>
      <c r="Y98" s="619"/>
      <c r="Z98" s="618"/>
      <c r="AA98" s="619"/>
      <c r="AB98" s="619"/>
      <c r="AC98" s="618"/>
      <c r="AD98" s="619"/>
      <c r="AE98" s="619"/>
      <c r="AF98" s="618"/>
      <c r="AG98" s="619"/>
      <c r="AH98" s="619"/>
      <c r="AI98" s="618"/>
      <c r="AJ98" s="619"/>
      <c r="AK98" s="619"/>
      <c r="AL98" s="618"/>
      <c r="AM98" s="619"/>
      <c r="AN98" s="619"/>
      <c r="AO98" s="618"/>
      <c r="AP98" s="619"/>
      <c r="AQ98" s="619"/>
      <c r="AR98" s="618"/>
      <c r="AS98" s="619"/>
      <c r="AT98" s="619"/>
      <c r="AU98" s="618"/>
      <c r="AV98" s="619"/>
      <c r="AW98" s="654"/>
      <c r="AX98" s="619"/>
      <c r="AY98" s="619"/>
      <c r="AZ98" s="618"/>
      <c r="BA98" s="619"/>
      <c r="BB98" s="654"/>
      <c r="BC98" s="619"/>
      <c r="BD98" s="619"/>
      <c r="BE98" s="618"/>
      <c r="BF98" s="619"/>
      <c r="BG98" s="619"/>
      <c r="BH98" s="619"/>
      <c r="BI98" s="619"/>
      <c r="BJ98" s="618"/>
      <c r="BK98" s="618"/>
      <c r="BL98" s="604"/>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row>
    <row r="99" spans="1:179" s="12" customFormat="1" ht="48.75" hidden="1" customHeight="1" outlineLevel="1">
      <c r="A99" s="530" t="s">
        <v>12</v>
      </c>
      <c r="B99" s="530" t="s">
        <v>272</v>
      </c>
      <c r="C99" s="618">
        <v>0</v>
      </c>
      <c r="D99" s="618">
        <v>0</v>
      </c>
      <c r="E99" s="618">
        <v>0</v>
      </c>
      <c r="F99" s="618">
        <v>0</v>
      </c>
      <c r="G99" s="618">
        <v>0</v>
      </c>
      <c r="H99" s="618">
        <v>0</v>
      </c>
      <c r="I99" s="618">
        <v>0</v>
      </c>
      <c r="J99" s="618">
        <f t="shared" si="321"/>
        <v>0</v>
      </c>
      <c r="K99" s="618">
        <v>0</v>
      </c>
      <c r="L99" s="618"/>
      <c r="M99" s="618"/>
      <c r="N99" s="618"/>
      <c r="O99" s="619"/>
      <c r="P99" s="619"/>
      <c r="Q99" s="618"/>
      <c r="R99" s="619"/>
      <c r="S99" s="619"/>
      <c r="T99" s="618"/>
      <c r="U99" s="619"/>
      <c r="V99" s="619"/>
      <c r="W99" s="618"/>
      <c r="X99" s="619"/>
      <c r="Y99" s="619"/>
      <c r="Z99" s="618"/>
      <c r="AA99" s="619"/>
      <c r="AB99" s="619"/>
      <c r="AC99" s="618"/>
      <c r="AD99" s="619"/>
      <c r="AE99" s="619"/>
      <c r="AF99" s="618"/>
      <c r="AG99" s="619"/>
      <c r="AH99" s="619"/>
      <c r="AI99" s="618"/>
      <c r="AJ99" s="619"/>
      <c r="AK99" s="619"/>
      <c r="AL99" s="618"/>
      <c r="AM99" s="619"/>
      <c r="AN99" s="619"/>
      <c r="AO99" s="618"/>
      <c r="AP99" s="619"/>
      <c r="AQ99" s="619"/>
      <c r="AR99" s="618"/>
      <c r="AS99" s="619"/>
      <c r="AT99" s="619"/>
      <c r="AU99" s="618"/>
      <c r="AV99" s="619"/>
      <c r="AW99" s="654"/>
      <c r="AX99" s="619"/>
      <c r="AY99" s="619"/>
      <c r="AZ99" s="618"/>
      <c r="BA99" s="619"/>
      <c r="BB99" s="654"/>
      <c r="BC99" s="619"/>
      <c r="BD99" s="619"/>
      <c r="BE99" s="618"/>
      <c r="BF99" s="619"/>
      <c r="BG99" s="619"/>
      <c r="BH99" s="619"/>
      <c r="BI99" s="619"/>
      <c r="BJ99" s="618"/>
      <c r="BK99" s="618"/>
      <c r="BL99" s="604"/>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row>
    <row r="100" spans="1:179" s="12" customFormat="1" ht="64.5" hidden="1" customHeight="1" outlineLevel="1">
      <c r="A100" s="530" t="s">
        <v>13</v>
      </c>
      <c r="B100" s="530" t="s">
        <v>273</v>
      </c>
      <c r="C100" s="618">
        <v>0</v>
      </c>
      <c r="D100" s="618">
        <v>0</v>
      </c>
      <c r="E100" s="618">
        <v>0</v>
      </c>
      <c r="F100" s="618">
        <v>0</v>
      </c>
      <c r="G100" s="618">
        <v>0</v>
      </c>
      <c r="H100" s="618">
        <v>0</v>
      </c>
      <c r="I100" s="618">
        <v>0</v>
      </c>
      <c r="J100" s="618">
        <f t="shared" si="321"/>
        <v>0</v>
      </c>
      <c r="K100" s="618">
        <v>0</v>
      </c>
      <c r="L100" s="618"/>
      <c r="M100" s="618"/>
      <c r="N100" s="618"/>
      <c r="O100" s="619"/>
      <c r="P100" s="619"/>
      <c r="Q100" s="618"/>
      <c r="R100" s="619"/>
      <c r="S100" s="619"/>
      <c r="T100" s="618"/>
      <c r="U100" s="619"/>
      <c r="V100" s="619"/>
      <c r="W100" s="618"/>
      <c r="X100" s="619"/>
      <c r="Y100" s="619"/>
      <c r="Z100" s="618"/>
      <c r="AA100" s="619"/>
      <c r="AB100" s="619"/>
      <c r="AC100" s="618"/>
      <c r="AD100" s="619"/>
      <c r="AE100" s="619"/>
      <c r="AF100" s="618"/>
      <c r="AG100" s="619"/>
      <c r="AH100" s="619"/>
      <c r="AI100" s="618"/>
      <c r="AJ100" s="619"/>
      <c r="AK100" s="619"/>
      <c r="AL100" s="618"/>
      <c r="AM100" s="619"/>
      <c r="AN100" s="619"/>
      <c r="AO100" s="618"/>
      <c r="AP100" s="619"/>
      <c r="AQ100" s="619"/>
      <c r="AR100" s="618"/>
      <c r="AS100" s="619"/>
      <c r="AT100" s="619"/>
      <c r="AU100" s="618"/>
      <c r="AV100" s="619"/>
      <c r="AW100" s="654"/>
      <c r="AX100" s="619"/>
      <c r="AY100" s="619"/>
      <c r="AZ100" s="618"/>
      <c r="BA100" s="619"/>
      <c r="BB100" s="654"/>
      <c r="BC100" s="619"/>
      <c r="BD100" s="619"/>
      <c r="BE100" s="618"/>
      <c r="BF100" s="619"/>
      <c r="BG100" s="619"/>
      <c r="BH100" s="619"/>
      <c r="BI100" s="619"/>
      <c r="BJ100" s="618"/>
      <c r="BK100" s="618"/>
      <c r="BL100" s="604"/>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row>
    <row r="101" spans="1:179" s="12" customFormat="1" ht="78" hidden="1" outlineLevel="1">
      <c r="A101" s="530" t="s">
        <v>14</v>
      </c>
      <c r="B101" s="530" t="s">
        <v>182</v>
      </c>
      <c r="C101" s="618">
        <v>20000000</v>
      </c>
      <c r="D101" s="618">
        <v>20000000</v>
      </c>
      <c r="E101" s="618">
        <v>0</v>
      </c>
      <c r="F101" s="618">
        <v>0</v>
      </c>
      <c r="G101" s="618">
        <v>0</v>
      </c>
      <c r="H101" s="618">
        <v>0</v>
      </c>
      <c r="I101" s="618">
        <v>0</v>
      </c>
      <c r="J101" s="618">
        <f t="shared" si="321"/>
        <v>0</v>
      </c>
      <c r="K101" s="618">
        <v>20000000</v>
      </c>
      <c r="L101" s="618"/>
      <c r="M101" s="618"/>
      <c r="N101" s="618"/>
      <c r="O101" s="619"/>
      <c r="P101" s="619"/>
      <c r="Q101" s="618"/>
      <c r="R101" s="619"/>
      <c r="S101" s="619"/>
      <c r="T101" s="618"/>
      <c r="U101" s="619"/>
      <c r="V101" s="619"/>
      <c r="W101" s="618"/>
      <c r="X101" s="619"/>
      <c r="Y101" s="619"/>
      <c r="Z101" s="618"/>
      <c r="AA101" s="619"/>
      <c r="AB101" s="619"/>
      <c r="AC101" s="618"/>
      <c r="AD101" s="619"/>
      <c r="AE101" s="619"/>
      <c r="AF101" s="618"/>
      <c r="AG101" s="619"/>
      <c r="AH101" s="619"/>
      <c r="AI101" s="618"/>
      <c r="AJ101" s="619"/>
      <c r="AK101" s="619"/>
      <c r="AL101" s="618"/>
      <c r="AM101" s="619"/>
      <c r="AN101" s="619"/>
      <c r="AO101" s="618"/>
      <c r="AP101" s="619"/>
      <c r="AQ101" s="619"/>
      <c r="AR101" s="618"/>
      <c r="AS101" s="619"/>
      <c r="AT101" s="619"/>
      <c r="AU101" s="618"/>
      <c r="AV101" s="619"/>
      <c r="AW101" s="654"/>
      <c r="AX101" s="619"/>
      <c r="AY101" s="619"/>
      <c r="AZ101" s="618"/>
      <c r="BA101" s="619"/>
      <c r="BB101" s="654"/>
      <c r="BC101" s="619"/>
      <c r="BD101" s="619"/>
      <c r="BE101" s="618"/>
      <c r="BF101" s="619"/>
      <c r="BG101" s="619"/>
      <c r="BH101" s="619"/>
      <c r="BI101" s="619"/>
      <c r="BJ101" s="618"/>
      <c r="BK101" s="618"/>
      <c r="BL101" s="604"/>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row>
    <row r="102" spans="1:179" s="12" customFormat="1" ht="97.5" hidden="1" outlineLevel="1">
      <c r="A102" s="530" t="s">
        <v>147</v>
      </c>
      <c r="B102" s="530" t="s">
        <v>179</v>
      </c>
      <c r="C102" s="712">
        <v>40314639.429456003</v>
      </c>
      <c r="D102" s="618">
        <v>40314639.429455996</v>
      </c>
      <c r="E102" s="618">
        <v>0</v>
      </c>
      <c r="F102" s="618">
        <v>0</v>
      </c>
      <c r="G102" s="618">
        <v>40314639.429455996</v>
      </c>
      <c r="H102" s="618">
        <v>0</v>
      </c>
      <c r="I102" s="618">
        <v>0</v>
      </c>
      <c r="J102" s="618">
        <f t="shared" si="321"/>
        <v>0</v>
      </c>
      <c r="K102" s="618">
        <v>40314638.969999999</v>
      </c>
      <c r="L102" s="618"/>
      <c r="M102" s="618"/>
      <c r="N102" s="618"/>
      <c r="O102" s="619"/>
      <c r="P102" s="619"/>
      <c r="Q102" s="618"/>
      <c r="R102" s="619"/>
      <c r="S102" s="619"/>
      <c r="T102" s="618"/>
      <c r="U102" s="619"/>
      <c r="V102" s="619"/>
      <c r="W102" s="618"/>
      <c r="X102" s="619"/>
      <c r="Y102" s="619"/>
      <c r="Z102" s="618"/>
      <c r="AA102" s="619"/>
      <c r="AB102" s="619"/>
      <c r="AC102" s="618"/>
      <c r="AD102" s="619"/>
      <c r="AE102" s="619"/>
      <c r="AF102" s="618"/>
      <c r="AG102" s="619"/>
      <c r="AH102" s="619"/>
      <c r="AI102" s="618"/>
      <c r="AJ102" s="619"/>
      <c r="AK102" s="619"/>
      <c r="AL102" s="618"/>
      <c r="AM102" s="619"/>
      <c r="AN102" s="619"/>
      <c r="AO102" s="618"/>
      <c r="AP102" s="619"/>
      <c r="AQ102" s="619"/>
      <c r="AR102" s="618"/>
      <c r="AS102" s="619"/>
      <c r="AT102" s="619"/>
      <c r="AU102" s="618"/>
      <c r="AV102" s="619"/>
      <c r="AW102" s="654"/>
      <c r="AX102" s="619"/>
      <c r="AY102" s="619"/>
      <c r="AZ102" s="618"/>
      <c r="BA102" s="619"/>
      <c r="BB102" s="654"/>
      <c r="BC102" s="619"/>
      <c r="BD102" s="619"/>
      <c r="BE102" s="618"/>
      <c r="BF102" s="619"/>
      <c r="BG102" s="619"/>
      <c r="BH102" s="619"/>
      <c r="BI102" s="619"/>
      <c r="BJ102" s="618"/>
      <c r="BK102" s="618"/>
      <c r="BL102" s="604"/>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row>
    <row r="103" spans="1:179" s="12" customFormat="1" ht="97.5" hidden="1" outlineLevel="1">
      <c r="A103" s="530" t="s">
        <v>148</v>
      </c>
      <c r="B103" s="530" t="s">
        <v>185</v>
      </c>
      <c r="C103" s="713"/>
      <c r="D103" s="618">
        <v>10671891.794136001</v>
      </c>
      <c r="E103" s="618">
        <v>0</v>
      </c>
      <c r="F103" s="618">
        <v>0</v>
      </c>
      <c r="G103" s="618">
        <v>10671891.794136001</v>
      </c>
      <c r="H103" s="618">
        <v>0</v>
      </c>
      <c r="I103" s="618">
        <v>0</v>
      </c>
      <c r="J103" s="618">
        <f t="shared" si="321"/>
        <v>0</v>
      </c>
      <c r="K103" s="618">
        <v>10671891</v>
      </c>
      <c r="L103" s="618"/>
      <c r="M103" s="618"/>
      <c r="N103" s="618"/>
      <c r="O103" s="619"/>
      <c r="P103" s="619"/>
      <c r="Q103" s="618"/>
      <c r="R103" s="619"/>
      <c r="S103" s="619"/>
      <c r="T103" s="618"/>
      <c r="U103" s="619"/>
      <c r="V103" s="619"/>
      <c r="W103" s="618"/>
      <c r="X103" s="619"/>
      <c r="Y103" s="619"/>
      <c r="Z103" s="618"/>
      <c r="AA103" s="619"/>
      <c r="AB103" s="619"/>
      <c r="AC103" s="618"/>
      <c r="AD103" s="619"/>
      <c r="AE103" s="619"/>
      <c r="AF103" s="618"/>
      <c r="AG103" s="619"/>
      <c r="AH103" s="619"/>
      <c r="AI103" s="618"/>
      <c r="AJ103" s="619"/>
      <c r="AK103" s="619"/>
      <c r="AL103" s="618"/>
      <c r="AM103" s="619"/>
      <c r="AN103" s="619"/>
      <c r="AO103" s="618"/>
      <c r="AP103" s="619"/>
      <c r="AQ103" s="619"/>
      <c r="AR103" s="618"/>
      <c r="AS103" s="619"/>
      <c r="AT103" s="619"/>
      <c r="AU103" s="618"/>
      <c r="AV103" s="619"/>
      <c r="AW103" s="654"/>
      <c r="AX103" s="619"/>
      <c r="AY103" s="619"/>
      <c r="AZ103" s="618"/>
      <c r="BA103" s="619"/>
      <c r="BB103" s="654"/>
      <c r="BC103" s="619"/>
      <c r="BD103" s="619"/>
      <c r="BE103" s="618"/>
      <c r="BF103" s="619"/>
      <c r="BG103" s="619"/>
      <c r="BH103" s="619"/>
      <c r="BI103" s="619"/>
      <c r="BJ103" s="618"/>
      <c r="BK103" s="618"/>
      <c r="BL103" s="604"/>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row>
    <row r="104" spans="1:179" s="12" customFormat="1" ht="60.75" collapsed="1">
      <c r="A104" s="530" t="s">
        <v>15</v>
      </c>
      <c r="B104" s="530" t="s">
        <v>274</v>
      </c>
      <c r="C104" s="618">
        <v>5271030</v>
      </c>
      <c r="D104" s="618">
        <v>12196804.287156001</v>
      </c>
      <c r="E104" s="618">
        <v>0</v>
      </c>
      <c r="F104" s="618">
        <v>0</v>
      </c>
      <c r="G104" s="618">
        <v>12196804.287156001</v>
      </c>
      <c r="H104" s="618">
        <v>257034</v>
      </c>
      <c r="I104" s="618">
        <v>0</v>
      </c>
      <c r="J104" s="618">
        <f t="shared" si="321"/>
        <v>257034</v>
      </c>
      <c r="K104" s="618">
        <v>3731052.37</v>
      </c>
      <c r="L104" s="618">
        <v>100003.53</v>
      </c>
      <c r="M104" s="618">
        <v>0</v>
      </c>
      <c r="N104" s="618">
        <v>100003.53</v>
      </c>
      <c r="O104" s="619">
        <v>257034</v>
      </c>
      <c r="P104" s="619">
        <v>0</v>
      </c>
      <c r="Q104" s="618">
        <v>257034</v>
      </c>
      <c r="R104" s="619">
        <v>257034</v>
      </c>
      <c r="S104" s="619">
        <v>0</v>
      </c>
      <c r="T104" s="618">
        <v>257034</v>
      </c>
      <c r="U104" s="619">
        <v>257034</v>
      </c>
      <c r="V104" s="619">
        <v>0</v>
      </c>
      <c r="W104" s="618">
        <v>257034</v>
      </c>
      <c r="X104" s="619">
        <v>257034</v>
      </c>
      <c r="Y104" s="619">
        <v>0</v>
      </c>
      <c r="Z104" s="618">
        <v>257034</v>
      </c>
      <c r="AA104" s="619">
        <v>257034</v>
      </c>
      <c r="AB104" s="619">
        <v>0</v>
      </c>
      <c r="AC104" s="618">
        <v>257034</v>
      </c>
      <c r="AD104" s="619">
        <v>257034</v>
      </c>
      <c r="AE104" s="619">
        <v>0</v>
      </c>
      <c r="AF104" s="618">
        <v>257034</v>
      </c>
      <c r="AG104" s="619">
        <v>257034</v>
      </c>
      <c r="AH104" s="619">
        <v>0</v>
      </c>
      <c r="AI104" s="618">
        <v>257034</v>
      </c>
      <c r="AJ104" s="619">
        <v>257034</v>
      </c>
      <c r="AK104" s="619">
        <v>0</v>
      </c>
      <c r="AL104" s="618">
        <v>257034</v>
      </c>
      <c r="AM104" s="619">
        <v>257034</v>
      </c>
      <c r="AN104" s="619">
        <v>0</v>
      </c>
      <c r="AO104" s="618">
        <v>257034</v>
      </c>
      <c r="AP104" s="619">
        <v>257034</v>
      </c>
      <c r="AQ104" s="619">
        <v>0</v>
      </c>
      <c r="AR104" s="618">
        <v>257034</v>
      </c>
      <c r="AS104" s="619">
        <v>257034</v>
      </c>
      <c r="AT104" s="619">
        <v>0</v>
      </c>
      <c r="AU104" s="618">
        <v>257034</v>
      </c>
      <c r="AV104" s="619"/>
      <c r="AW104" s="654"/>
      <c r="AX104" s="619">
        <v>4130469.4585779998</v>
      </c>
      <c r="AY104" s="619">
        <v>0</v>
      </c>
      <c r="AZ104" s="618">
        <v>4130469.4585779998</v>
      </c>
      <c r="BA104" s="619"/>
      <c r="BB104" s="654"/>
      <c r="BC104" s="619">
        <v>4078248.4585779998</v>
      </c>
      <c r="BD104" s="619">
        <v>0</v>
      </c>
      <c r="BE104" s="618">
        <v>4078248.4585779998</v>
      </c>
      <c r="BF104" s="619"/>
      <c r="BG104" s="619"/>
      <c r="BH104" s="619">
        <v>8465751.9171559997</v>
      </c>
      <c r="BI104" s="619">
        <v>0</v>
      </c>
      <c r="BJ104" s="618">
        <v>8465751.9171559997</v>
      </c>
      <c r="BK104" s="618">
        <v>0</v>
      </c>
      <c r="BL104" s="605" t="s">
        <v>1507</v>
      </c>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row>
    <row r="105" spans="1:179" s="12" customFormat="1" ht="97.5">
      <c r="A105" s="530" t="s">
        <v>16</v>
      </c>
      <c r="B105" s="530" t="s">
        <v>275</v>
      </c>
      <c r="C105" s="618">
        <v>0</v>
      </c>
      <c r="D105" s="618">
        <v>5500000.0291799996</v>
      </c>
      <c r="E105" s="618">
        <v>0</v>
      </c>
      <c r="F105" s="618">
        <v>0</v>
      </c>
      <c r="G105" s="618">
        <v>5500000.0291799996</v>
      </c>
      <c r="H105" s="618">
        <v>1567743</v>
      </c>
      <c r="I105" s="618">
        <v>169096</v>
      </c>
      <c r="J105" s="618">
        <f t="shared" si="321"/>
        <v>1736839</v>
      </c>
      <c r="K105" s="618">
        <v>1136946.1599999999</v>
      </c>
      <c r="L105" s="618">
        <v>115664.4</v>
      </c>
      <c r="M105" s="618"/>
      <c r="N105" s="618">
        <v>115664.4</v>
      </c>
      <c r="O105" s="618">
        <v>221165.4</v>
      </c>
      <c r="P105" s="618"/>
      <c r="Q105" s="618">
        <v>221165.4</v>
      </c>
      <c r="R105" s="618">
        <v>366185.80000000005</v>
      </c>
      <c r="S105" s="618"/>
      <c r="T105" s="618">
        <v>366185.80000000005</v>
      </c>
      <c r="U105" s="618">
        <v>416806.60000000003</v>
      </c>
      <c r="V105" s="618"/>
      <c r="W105" s="618">
        <v>416806.60000000003</v>
      </c>
      <c r="X105" s="618">
        <v>495916.60000000003</v>
      </c>
      <c r="Y105" s="618"/>
      <c r="Z105" s="618">
        <v>495916.60000000003</v>
      </c>
      <c r="AA105" s="618">
        <v>565046.20000000007</v>
      </c>
      <c r="AB105" s="618"/>
      <c r="AC105" s="618">
        <v>565046.20000000007</v>
      </c>
      <c r="AD105" s="618">
        <v>681676.00000000012</v>
      </c>
      <c r="AE105" s="618"/>
      <c r="AF105" s="618">
        <v>681676.00000000012</v>
      </c>
      <c r="AG105" s="618">
        <v>729315.40000000014</v>
      </c>
      <c r="AH105" s="618"/>
      <c r="AI105" s="618">
        <v>729315.40000000014</v>
      </c>
      <c r="AJ105" s="618">
        <v>775395.40000000014</v>
      </c>
      <c r="AK105" s="618"/>
      <c r="AL105" s="618">
        <v>775395.40000000014</v>
      </c>
      <c r="AM105" s="618">
        <v>822855.40000000014</v>
      </c>
      <c r="AN105" s="618"/>
      <c r="AO105" s="618">
        <v>822855.40000000014</v>
      </c>
      <c r="AP105" s="618">
        <v>873821.80000000016</v>
      </c>
      <c r="AQ105" s="618"/>
      <c r="AR105" s="618">
        <v>873821.80000000016</v>
      </c>
      <c r="AS105" s="618">
        <v>940646.00000000012</v>
      </c>
      <c r="AT105" s="618"/>
      <c r="AU105" s="618">
        <v>940646.00000000012</v>
      </c>
      <c r="AV105" s="619"/>
      <c r="AW105" s="654"/>
      <c r="AX105" s="619">
        <v>879140.2</v>
      </c>
      <c r="AY105" s="619"/>
      <c r="AZ105" s="618">
        <v>879140.2</v>
      </c>
      <c r="BA105" s="619"/>
      <c r="BB105" s="654"/>
      <c r="BC105" s="619">
        <v>2543268</v>
      </c>
      <c r="BD105" s="619"/>
      <c r="BE105" s="618">
        <v>2543268</v>
      </c>
      <c r="BF105" s="619"/>
      <c r="BG105" s="619"/>
      <c r="BH105" s="619">
        <v>4363054.2</v>
      </c>
      <c r="BI105" s="619">
        <v>0</v>
      </c>
      <c r="BJ105" s="618">
        <v>4363054.2</v>
      </c>
      <c r="BK105" s="618"/>
      <c r="BL105" s="580" t="s">
        <v>1508</v>
      </c>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row>
    <row r="106" spans="1:179" s="12" customFormat="1" ht="97.5">
      <c r="A106" s="530" t="s">
        <v>17</v>
      </c>
      <c r="B106" s="530" t="s">
        <v>276</v>
      </c>
      <c r="C106" s="618">
        <v>1714841.76</v>
      </c>
      <c r="D106" s="618">
        <v>1714402</v>
      </c>
      <c r="E106" s="618">
        <v>0</v>
      </c>
      <c r="F106" s="618">
        <v>0</v>
      </c>
      <c r="G106" s="618">
        <v>1714402</v>
      </c>
      <c r="H106" s="618">
        <v>363668</v>
      </c>
      <c r="I106" s="618">
        <v>0</v>
      </c>
      <c r="J106" s="618">
        <f t="shared" si="321"/>
        <v>363668</v>
      </c>
      <c r="K106" s="618">
        <v>636815.42000000004</v>
      </c>
      <c r="L106" s="618">
        <v>8500</v>
      </c>
      <c r="M106" s="618"/>
      <c r="N106" s="618">
        <v>8500</v>
      </c>
      <c r="O106" s="618">
        <v>18194</v>
      </c>
      <c r="P106" s="618"/>
      <c r="Q106" s="618">
        <v>18194</v>
      </c>
      <c r="R106" s="618">
        <v>31753</v>
      </c>
      <c r="S106" s="618"/>
      <c r="T106" s="618">
        <v>31753</v>
      </c>
      <c r="U106" s="618">
        <v>108585</v>
      </c>
      <c r="V106" s="618"/>
      <c r="W106" s="618">
        <v>108585</v>
      </c>
      <c r="X106" s="618">
        <v>126137</v>
      </c>
      <c r="Y106" s="618"/>
      <c r="Z106" s="618">
        <v>126137</v>
      </c>
      <c r="AA106" s="618">
        <v>152076</v>
      </c>
      <c r="AB106" s="618"/>
      <c r="AC106" s="618">
        <v>152076</v>
      </c>
      <c r="AD106" s="618">
        <v>160576</v>
      </c>
      <c r="AE106" s="618"/>
      <c r="AF106" s="618">
        <v>160576</v>
      </c>
      <c r="AG106" s="618">
        <v>168651</v>
      </c>
      <c r="AH106" s="618"/>
      <c r="AI106" s="618">
        <v>168651</v>
      </c>
      <c r="AJ106" s="618">
        <v>192621</v>
      </c>
      <c r="AK106" s="618"/>
      <c r="AL106" s="618">
        <v>192621</v>
      </c>
      <c r="AM106" s="618">
        <v>244912</v>
      </c>
      <c r="AN106" s="618"/>
      <c r="AO106" s="618">
        <v>244912</v>
      </c>
      <c r="AP106" s="618">
        <v>269562</v>
      </c>
      <c r="AQ106" s="618"/>
      <c r="AR106" s="618">
        <v>269562</v>
      </c>
      <c r="AS106" s="618">
        <v>295267</v>
      </c>
      <c r="AT106" s="618"/>
      <c r="AU106" s="618">
        <v>295267</v>
      </c>
      <c r="AV106" s="619"/>
      <c r="AW106" s="654"/>
      <c r="AX106" s="619">
        <v>295266.2</v>
      </c>
      <c r="AY106" s="619"/>
      <c r="AZ106" s="618">
        <v>295266.2</v>
      </c>
      <c r="BA106" s="619"/>
      <c r="BB106" s="654"/>
      <c r="BC106" s="619">
        <v>487053</v>
      </c>
      <c r="BD106" s="619"/>
      <c r="BE106" s="618">
        <v>487053</v>
      </c>
      <c r="BF106" s="619"/>
      <c r="BG106" s="619"/>
      <c r="BH106" s="619">
        <v>1077586.2</v>
      </c>
      <c r="BI106" s="619">
        <v>0</v>
      </c>
      <c r="BJ106" s="618">
        <v>1077586.2</v>
      </c>
      <c r="BK106" s="618"/>
      <c r="BL106" s="580"/>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row>
    <row r="107" spans="1:179" s="12" customFormat="1" ht="48.75" customHeight="1">
      <c r="A107" s="530" t="s">
        <v>18</v>
      </c>
      <c r="B107" s="530" t="s">
        <v>277</v>
      </c>
      <c r="C107" s="618">
        <v>17179418.987243999</v>
      </c>
      <c r="D107" s="618">
        <v>17179418.987243999</v>
      </c>
      <c r="E107" s="618">
        <v>0</v>
      </c>
      <c r="F107" s="618">
        <v>0</v>
      </c>
      <c r="G107" s="618">
        <v>17179418.987243999</v>
      </c>
      <c r="H107" s="618">
        <v>3435462</v>
      </c>
      <c r="I107" s="618">
        <v>0</v>
      </c>
      <c r="J107" s="618">
        <f t="shared" si="321"/>
        <v>3435462</v>
      </c>
      <c r="K107" s="618">
        <v>7349834.4400000004</v>
      </c>
      <c r="L107" s="618">
        <v>127500</v>
      </c>
      <c r="M107" s="618"/>
      <c r="N107" s="618">
        <v>127500</v>
      </c>
      <c r="O107" s="618">
        <v>857535</v>
      </c>
      <c r="P107" s="618"/>
      <c r="Q107" s="618">
        <v>857535</v>
      </c>
      <c r="R107" s="618">
        <v>985035</v>
      </c>
      <c r="S107" s="618"/>
      <c r="T107" s="618">
        <v>985035</v>
      </c>
      <c r="U107" s="618">
        <v>1240035</v>
      </c>
      <c r="V107" s="618"/>
      <c r="W107" s="618">
        <v>1240035</v>
      </c>
      <c r="X107" s="618">
        <v>1367535</v>
      </c>
      <c r="Y107" s="618"/>
      <c r="Z107" s="618">
        <v>1367535</v>
      </c>
      <c r="AA107" s="618">
        <v>1495035</v>
      </c>
      <c r="AB107" s="618"/>
      <c r="AC107" s="618">
        <v>1495035</v>
      </c>
      <c r="AD107" s="618">
        <v>1750035</v>
      </c>
      <c r="AE107" s="618"/>
      <c r="AF107" s="618">
        <v>1750035</v>
      </c>
      <c r="AG107" s="618">
        <v>1877535</v>
      </c>
      <c r="AH107" s="618"/>
      <c r="AI107" s="618">
        <v>1877535</v>
      </c>
      <c r="AJ107" s="618">
        <v>2005035</v>
      </c>
      <c r="AK107" s="618"/>
      <c r="AL107" s="618">
        <v>2005035</v>
      </c>
      <c r="AM107" s="618">
        <v>2260035</v>
      </c>
      <c r="AN107" s="618"/>
      <c r="AO107" s="618">
        <v>2260035</v>
      </c>
      <c r="AP107" s="618">
        <v>2430035</v>
      </c>
      <c r="AQ107" s="618"/>
      <c r="AR107" s="618">
        <v>2430035</v>
      </c>
      <c r="AS107" s="618">
        <v>2920142</v>
      </c>
      <c r="AT107" s="618"/>
      <c r="AU107" s="618">
        <v>2920142</v>
      </c>
      <c r="AV107" s="619"/>
      <c r="AW107" s="654"/>
      <c r="AX107" s="619">
        <v>2920142.6999999997</v>
      </c>
      <c r="AY107" s="619"/>
      <c r="AZ107" s="618">
        <v>2920142.6999999997</v>
      </c>
      <c r="BA107" s="619"/>
      <c r="BB107" s="654"/>
      <c r="BC107" s="619">
        <v>3989299.8472440001</v>
      </c>
      <c r="BD107" s="619"/>
      <c r="BE107" s="618">
        <v>3989299.8472440001</v>
      </c>
      <c r="BF107" s="619"/>
      <c r="BG107" s="619"/>
      <c r="BH107" s="619">
        <v>9829584.5472439993</v>
      </c>
      <c r="BI107" s="619">
        <v>0</v>
      </c>
      <c r="BJ107" s="618">
        <v>9829584.5472439993</v>
      </c>
      <c r="BK107" s="618"/>
      <c r="BL107" s="580" t="s">
        <v>1509</v>
      </c>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row>
    <row r="108" spans="1:179" s="12" customFormat="1" ht="117" hidden="1" outlineLevel="1">
      <c r="A108" s="530" t="s">
        <v>19</v>
      </c>
      <c r="B108" s="530" t="s">
        <v>278</v>
      </c>
      <c r="C108" s="618">
        <v>25638289.919999998</v>
      </c>
      <c r="D108" s="618">
        <v>14103938</v>
      </c>
      <c r="E108" s="618">
        <v>0</v>
      </c>
      <c r="F108" s="618">
        <v>0</v>
      </c>
      <c r="G108" s="618">
        <v>17103938</v>
      </c>
      <c r="H108" s="618">
        <v>0</v>
      </c>
      <c r="I108" s="618">
        <v>0</v>
      </c>
      <c r="J108" s="618">
        <f t="shared" si="321"/>
        <v>0</v>
      </c>
      <c r="K108" s="618">
        <v>5314874.04</v>
      </c>
      <c r="L108" s="618"/>
      <c r="M108" s="618"/>
      <c r="N108" s="618"/>
      <c r="O108" s="619"/>
      <c r="P108" s="619"/>
      <c r="Q108" s="618"/>
      <c r="R108" s="619"/>
      <c r="S108" s="619"/>
      <c r="T108" s="618"/>
      <c r="U108" s="619"/>
      <c r="V108" s="619"/>
      <c r="W108" s="618"/>
      <c r="X108" s="619"/>
      <c r="Y108" s="619"/>
      <c r="Z108" s="618"/>
      <c r="AA108" s="619"/>
      <c r="AB108" s="619"/>
      <c r="AC108" s="618"/>
      <c r="AD108" s="619"/>
      <c r="AE108" s="619"/>
      <c r="AF108" s="618"/>
      <c r="AG108" s="619"/>
      <c r="AH108" s="619"/>
      <c r="AI108" s="618"/>
      <c r="AJ108" s="619"/>
      <c r="AK108" s="619"/>
      <c r="AL108" s="618"/>
      <c r="AM108" s="619"/>
      <c r="AN108" s="619"/>
      <c r="AO108" s="618"/>
      <c r="AP108" s="619"/>
      <c r="AQ108" s="619"/>
      <c r="AR108" s="618"/>
      <c r="AS108" s="619"/>
      <c r="AT108" s="619"/>
      <c r="AU108" s="618"/>
      <c r="AV108" s="619"/>
      <c r="AW108" s="654"/>
      <c r="AX108" s="619"/>
      <c r="AY108" s="619"/>
      <c r="AZ108" s="618">
        <v>0</v>
      </c>
      <c r="BA108" s="619"/>
      <c r="BB108" s="654"/>
      <c r="BC108" s="619"/>
      <c r="BD108" s="619"/>
      <c r="BE108" s="618">
        <v>0</v>
      </c>
      <c r="BF108" s="619"/>
      <c r="BG108" s="619"/>
      <c r="BH108" s="619">
        <v>0</v>
      </c>
      <c r="BI108" s="619">
        <v>0</v>
      </c>
      <c r="BJ108" s="618">
        <v>0</v>
      </c>
      <c r="BK108" s="618"/>
      <c r="BL108" s="605" t="s">
        <v>1510</v>
      </c>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row>
    <row r="109" spans="1:179" s="12" customFormat="1" ht="156" collapsed="1">
      <c r="A109" s="531" t="s">
        <v>1361</v>
      </c>
      <c r="B109" s="532" t="s">
        <v>707</v>
      </c>
      <c r="C109" s="618">
        <v>0</v>
      </c>
      <c r="D109" s="618">
        <v>0</v>
      </c>
      <c r="E109" s="618">
        <v>6000000</v>
      </c>
      <c r="F109" s="618">
        <v>3000000</v>
      </c>
      <c r="G109" s="618">
        <v>0</v>
      </c>
      <c r="H109" s="618">
        <v>0</v>
      </c>
      <c r="I109" s="618">
        <v>0</v>
      </c>
      <c r="J109" s="618">
        <f t="shared" si="321"/>
        <v>0</v>
      </c>
      <c r="K109" s="618">
        <v>0</v>
      </c>
      <c r="L109" s="618"/>
      <c r="M109" s="618"/>
      <c r="N109" s="618"/>
      <c r="O109" s="619"/>
      <c r="P109" s="619"/>
      <c r="Q109" s="618"/>
      <c r="R109" s="619"/>
      <c r="S109" s="619"/>
      <c r="T109" s="618"/>
      <c r="U109" s="619"/>
      <c r="V109" s="619"/>
      <c r="W109" s="618"/>
      <c r="X109" s="619"/>
      <c r="Y109" s="619"/>
      <c r="Z109" s="618"/>
      <c r="AA109" s="619"/>
      <c r="AB109" s="619"/>
      <c r="AC109" s="618"/>
      <c r="AD109" s="619"/>
      <c r="AE109" s="619"/>
      <c r="AF109" s="618"/>
      <c r="AG109" s="619"/>
      <c r="AH109" s="619"/>
      <c r="AI109" s="618"/>
      <c r="AJ109" s="619"/>
      <c r="AK109" s="619"/>
      <c r="AL109" s="618"/>
      <c r="AM109" s="619"/>
      <c r="AN109" s="619"/>
      <c r="AO109" s="618"/>
      <c r="AP109" s="619"/>
      <c r="AQ109" s="619"/>
      <c r="AR109" s="618"/>
      <c r="AS109" s="619"/>
      <c r="AT109" s="619"/>
      <c r="AU109" s="618"/>
      <c r="AV109" s="619"/>
      <c r="AW109" s="654"/>
      <c r="AX109" s="619">
        <v>0</v>
      </c>
      <c r="AY109" s="619">
        <v>1800000</v>
      </c>
      <c r="AZ109" s="618">
        <v>1800000</v>
      </c>
      <c r="BA109" s="619"/>
      <c r="BB109" s="654"/>
      <c r="BC109" s="619">
        <v>0</v>
      </c>
      <c r="BD109" s="619">
        <v>4200000</v>
      </c>
      <c r="BE109" s="618">
        <v>4200000</v>
      </c>
      <c r="BF109" s="619"/>
      <c r="BG109" s="619"/>
      <c r="BH109" s="619">
        <v>0</v>
      </c>
      <c r="BI109" s="619">
        <v>6000000</v>
      </c>
      <c r="BJ109" s="618">
        <v>6000000</v>
      </c>
      <c r="BK109" s="618"/>
      <c r="BL109" s="605" t="s">
        <v>1570</v>
      </c>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row>
    <row r="110" spans="1:179" s="12" customFormat="1" ht="48.75" customHeight="1">
      <c r="A110" s="530" t="s">
        <v>142</v>
      </c>
      <c r="B110" s="530" t="s">
        <v>279</v>
      </c>
      <c r="C110" s="618">
        <v>4298271.2527559996</v>
      </c>
      <c r="D110" s="618">
        <v>3407289</v>
      </c>
      <c r="E110" s="618">
        <v>0</v>
      </c>
      <c r="F110" s="618">
        <v>0</v>
      </c>
      <c r="G110" s="618">
        <v>3407289</v>
      </c>
      <c r="H110" s="618">
        <v>0</v>
      </c>
      <c r="I110" s="618">
        <v>1253432</v>
      </c>
      <c r="J110" s="618">
        <f t="shared" si="321"/>
        <v>1253432</v>
      </c>
      <c r="K110" s="618">
        <v>178105.74</v>
      </c>
      <c r="L110" s="618">
        <v>0</v>
      </c>
      <c r="M110" s="618">
        <v>0</v>
      </c>
      <c r="N110" s="618">
        <v>0</v>
      </c>
      <c r="O110" s="619">
        <v>11151</v>
      </c>
      <c r="P110" s="619">
        <v>0</v>
      </c>
      <c r="Q110" s="618">
        <v>11151</v>
      </c>
      <c r="R110" s="619">
        <v>11151</v>
      </c>
      <c r="S110" s="619">
        <v>0</v>
      </c>
      <c r="T110" s="618">
        <v>11151</v>
      </c>
      <c r="U110" s="619">
        <v>11151</v>
      </c>
      <c r="V110" s="619">
        <v>0</v>
      </c>
      <c r="W110" s="618">
        <v>11151</v>
      </c>
      <c r="X110" s="619">
        <v>20000</v>
      </c>
      <c r="Y110" s="619">
        <v>0</v>
      </c>
      <c r="Z110" s="618">
        <v>20000</v>
      </c>
      <c r="AA110" s="619">
        <v>20000</v>
      </c>
      <c r="AB110" s="619">
        <v>0</v>
      </c>
      <c r="AC110" s="618">
        <v>20000</v>
      </c>
      <c r="AD110" s="619">
        <v>20000</v>
      </c>
      <c r="AE110" s="619">
        <v>0</v>
      </c>
      <c r="AF110" s="618">
        <v>20000</v>
      </c>
      <c r="AG110" s="619">
        <v>20000</v>
      </c>
      <c r="AH110" s="619">
        <v>0</v>
      </c>
      <c r="AI110" s="618">
        <v>20000</v>
      </c>
      <c r="AJ110" s="619">
        <v>20000</v>
      </c>
      <c r="AK110" s="619">
        <v>0</v>
      </c>
      <c r="AL110" s="618">
        <v>20000</v>
      </c>
      <c r="AM110" s="619">
        <v>20000</v>
      </c>
      <c r="AN110" s="619">
        <v>0</v>
      </c>
      <c r="AO110" s="618">
        <v>20000</v>
      </c>
      <c r="AP110" s="619">
        <v>20000</v>
      </c>
      <c r="AQ110" s="619">
        <v>0</v>
      </c>
      <c r="AR110" s="618">
        <v>20000</v>
      </c>
      <c r="AS110" s="619">
        <v>20000</v>
      </c>
      <c r="AT110" s="619">
        <v>0</v>
      </c>
      <c r="AU110" s="618">
        <v>20000</v>
      </c>
      <c r="AV110" s="619"/>
      <c r="AW110" s="654"/>
      <c r="AX110" s="619">
        <v>1154485.19</v>
      </c>
      <c r="AY110" s="619">
        <v>0</v>
      </c>
      <c r="AZ110" s="618">
        <v>1154485.19</v>
      </c>
      <c r="BA110" s="619"/>
      <c r="BB110" s="654"/>
      <c r="BC110" s="619">
        <v>2054698.07</v>
      </c>
      <c r="BD110" s="619">
        <v>0</v>
      </c>
      <c r="BE110" s="618">
        <v>2054698.07</v>
      </c>
      <c r="BF110" s="619"/>
      <c r="BG110" s="619"/>
      <c r="BH110" s="619">
        <v>3229183.26</v>
      </c>
      <c r="BI110" s="619">
        <v>0</v>
      </c>
      <c r="BJ110" s="618">
        <v>3229183.26</v>
      </c>
      <c r="BK110" s="618">
        <v>0</v>
      </c>
      <c r="BL110" s="58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row>
    <row r="111" spans="1:179" s="8" customFormat="1">
      <c r="A111" s="528"/>
      <c r="B111" s="529" t="s">
        <v>344</v>
      </c>
      <c r="C111" s="638">
        <f t="shared" ref="C111:J111" si="322">SUM(C112:C117)</f>
        <v>64721374.976879992</v>
      </c>
      <c r="D111" s="638">
        <f t="shared" si="322"/>
        <v>64721374.976879992</v>
      </c>
      <c r="E111" s="638">
        <f t="shared" si="322"/>
        <v>15000000</v>
      </c>
      <c r="F111" s="638">
        <f t="shared" si="322"/>
        <v>15000000</v>
      </c>
      <c r="G111" s="638">
        <f t="shared" si="322"/>
        <v>79721374.976879999</v>
      </c>
      <c r="H111" s="638">
        <f t="shared" si="322"/>
        <v>11051598</v>
      </c>
      <c r="I111" s="638">
        <f t="shared" si="322"/>
        <v>4841721</v>
      </c>
      <c r="J111" s="638">
        <f t="shared" si="322"/>
        <v>15893319</v>
      </c>
      <c r="K111" s="638">
        <f t="shared" ref="K111:BI111" si="323">SUM(K112:K117)</f>
        <v>16985076.629999999</v>
      </c>
      <c r="L111" s="638">
        <f t="shared" si="323"/>
        <v>900646.14</v>
      </c>
      <c r="M111" s="638">
        <f t="shared" si="323"/>
        <v>0</v>
      </c>
      <c r="N111" s="638">
        <f t="shared" si="323"/>
        <v>900646.14</v>
      </c>
      <c r="O111" s="638">
        <f t="shared" si="323"/>
        <v>1737129.3399999999</v>
      </c>
      <c r="P111" s="638">
        <f t="shared" si="323"/>
        <v>0</v>
      </c>
      <c r="Q111" s="638">
        <f t="shared" ref="Q111" si="324">SUM(Q112:Q117)</f>
        <v>1737129.3399999999</v>
      </c>
      <c r="R111" s="638">
        <f t="shared" si="323"/>
        <v>2377807.0300000003</v>
      </c>
      <c r="S111" s="638">
        <f t="shared" si="323"/>
        <v>0</v>
      </c>
      <c r="T111" s="638">
        <f t="shared" ref="T111" si="325">SUM(T112:T117)</f>
        <v>2377807.0300000003</v>
      </c>
      <c r="U111" s="638">
        <f t="shared" ref="U111:BA111" si="326">SUM(U112:U117)</f>
        <v>3219857.81</v>
      </c>
      <c r="V111" s="638">
        <f t="shared" si="323"/>
        <v>0</v>
      </c>
      <c r="W111" s="638">
        <f t="shared" ref="W111" si="327">SUM(W112:W117)</f>
        <v>3219857.81</v>
      </c>
      <c r="X111" s="638">
        <f t="shared" si="323"/>
        <v>4203145.1099999994</v>
      </c>
      <c r="Y111" s="638">
        <f t="shared" si="323"/>
        <v>0</v>
      </c>
      <c r="Z111" s="638">
        <f t="shared" ref="Z111" si="328">SUM(Z112:Z117)</f>
        <v>4203145.1099999994</v>
      </c>
      <c r="AA111" s="638">
        <f t="shared" si="323"/>
        <v>4867140.24</v>
      </c>
      <c r="AB111" s="638">
        <f t="shared" si="326"/>
        <v>0</v>
      </c>
      <c r="AC111" s="638">
        <f t="shared" si="326"/>
        <v>4867140.24</v>
      </c>
      <c r="AD111" s="638">
        <f t="shared" si="323"/>
        <v>5484129.1400000006</v>
      </c>
      <c r="AE111" s="638">
        <f t="shared" si="323"/>
        <v>0</v>
      </c>
      <c r="AF111" s="638">
        <f t="shared" ref="AF111" si="329">SUM(AF112:AF117)</f>
        <v>5484129.1400000006</v>
      </c>
      <c r="AG111" s="638">
        <f t="shared" si="323"/>
        <v>6290519.1400000006</v>
      </c>
      <c r="AH111" s="638">
        <f t="shared" si="323"/>
        <v>0</v>
      </c>
      <c r="AI111" s="638">
        <f t="shared" ref="AI111" si="330">SUM(AI112:AI117)</f>
        <v>6290519.1400000006</v>
      </c>
      <c r="AJ111" s="638">
        <f t="shared" si="323"/>
        <v>6894535.5800000001</v>
      </c>
      <c r="AK111" s="638">
        <f t="shared" si="323"/>
        <v>0</v>
      </c>
      <c r="AL111" s="638">
        <f t="shared" ref="AL111" si="331">SUM(AL112:AL117)</f>
        <v>6894535.5800000001</v>
      </c>
      <c r="AM111" s="638">
        <f t="shared" si="323"/>
        <v>8517193.5800000001</v>
      </c>
      <c r="AN111" s="638">
        <f t="shared" si="323"/>
        <v>0</v>
      </c>
      <c r="AO111" s="638">
        <f t="shared" ref="AO111" si="332">SUM(AO112:AO117)</f>
        <v>8517193.5800000001</v>
      </c>
      <c r="AP111" s="638">
        <f t="shared" si="326"/>
        <v>9818009.5800000001</v>
      </c>
      <c r="AQ111" s="638">
        <f t="shared" si="323"/>
        <v>0</v>
      </c>
      <c r="AR111" s="638">
        <f t="shared" ref="AR111" si="333">SUM(AR112:AR117)</f>
        <v>9818009.5800000001</v>
      </c>
      <c r="AS111" s="638">
        <f t="shared" si="323"/>
        <v>10440071.916299999</v>
      </c>
      <c r="AT111" s="638">
        <f t="shared" si="323"/>
        <v>0</v>
      </c>
      <c r="AU111" s="638">
        <f t="shared" ref="AU111:AV111" si="334">SUM(AU112:AU117)</f>
        <v>10440071.916299999</v>
      </c>
      <c r="AV111" s="638">
        <f t="shared" si="334"/>
        <v>521408.66370000003</v>
      </c>
      <c r="AW111" s="663"/>
      <c r="AX111" s="638">
        <f t="shared" si="323"/>
        <v>17086165.537503</v>
      </c>
      <c r="AY111" s="638">
        <f t="shared" si="326"/>
        <v>0</v>
      </c>
      <c r="AZ111" s="638">
        <f t="shared" si="326"/>
        <v>17086165.537503</v>
      </c>
      <c r="BA111" s="638">
        <f t="shared" si="326"/>
        <v>979199.51249700005</v>
      </c>
      <c r="BB111" s="663"/>
      <c r="BC111" s="638">
        <f t="shared" si="323"/>
        <v>17752417.246656105</v>
      </c>
      <c r="BD111" s="638">
        <f t="shared" si="323"/>
        <v>15000000</v>
      </c>
      <c r="BE111" s="638">
        <f t="shared" si="323"/>
        <v>32752417.246656101</v>
      </c>
      <c r="BF111" s="638">
        <f t="shared" si="323"/>
        <v>957035.47022388491</v>
      </c>
      <c r="BG111" s="638"/>
      <c r="BH111" s="638">
        <f t="shared" si="323"/>
        <v>45278654.700459108</v>
      </c>
      <c r="BI111" s="638">
        <f t="shared" si="323"/>
        <v>15000000</v>
      </c>
      <c r="BJ111" s="638">
        <f t="shared" ref="BJ111" si="335">SUM(BJ112:BJ117)</f>
        <v>60278654.700459108</v>
      </c>
      <c r="BK111" s="638">
        <f t="shared" si="262"/>
        <v>2457643.6464208849</v>
      </c>
      <c r="BL111" s="603"/>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row>
    <row r="112" spans="1:179" s="9" customFormat="1" ht="156">
      <c r="A112" s="522" t="s">
        <v>74</v>
      </c>
      <c r="B112" s="522" t="s">
        <v>345</v>
      </c>
      <c r="C112" s="618">
        <v>7765913.9195999997</v>
      </c>
      <c r="D112" s="618">
        <v>7765913.9195999997</v>
      </c>
      <c r="E112" s="618">
        <v>0</v>
      </c>
      <c r="F112" s="618">
        <v>0</v>
      </c>
      <c r="G112" s="618">
        <v>7765913.9195999997</v>
      </c>
      <c r="H112" s="618">
        <v>836709</v>
      </c>
      <c r="I112" s="618">
        <v>0</v>
      </c>
      <c r="J112" s="618">
        <f t="shared" ref="J112:J117" si="336">H112+I112</f>
        <v>836709</v>
      </c>
      <c r="K112" s="618">
        <v>4978866.4800000004</v>
      </c>
      <c r="L112" s="618">
        <v>192332.38</v>
      </c>
      <c r="M112" s="618">
        <v>0</v>
      </c>
      <c r="N112" s="618">
        <f t="shared" ref="N112:N117" si="337">M112+L112</f>
        <v>192332.38</v>
      </c>
      <c r="O112" s="619">
        <f>L112+114141.36</f>
        <v>306473.74</v>
      </c>
      <c r="P112" s="619">
        <f>M112</f>
        <v>0</v>
      </c>
      <c r="Q112" s="618">
        <f t="shared" ref="Q112:Q117" si="338">P112+O112</f>
        <v>306473.74</v>
      </c>
      <c r="R112" s="619">
        <f>O112+75930.89</f>
        <v>382404.63</v>
      </c>
      <c r="S112" s="619">
        <f>P112</f>
        <v>0</v>
      </c>
      <c r="T112" s="618">
        <f t="shared" ref="T112:T117" si="339">S112+R112</f>
        <v>382404.63</v>
      </c>
      <c r="U112" s="619">
        <f>R112+107964.78</f>
        <v>490369.41000000003</v>
      </c>
      <c r="V112" s="619">
        <f>S112</f>
        <v>0</v>
      </c>
      <c r="W112" s="618">
        <f t="shared" ref="W112:W117" si="340">V112+U112</f>
        <v>490369.41000000003</v>
      </c>
      <c r="X112" s="619">
        <f>U112+0</f>
        <v>490369.41000000003</v>
      </c>
      <c r="Y112" s="619">
        <f>V112</f>
        <v>0</v>
      </c>
      <c r="Z112" s="618">
        <f t="shared" ref="Z112:Z117" si="341">Y112+X112</f>
        <v>490369.41000000003</v>
      </c>
      <c r="AA112" s="619">
        <f>X112+90346.13</f>
        <v>580715.54</v>
      </c>
      <c r="AB112" s="619">
        <f>Y112</f>
        <v>0</v>
      </c>
      <c r="AC112" s="618">
        <f t="shared" ref="AC112:AC117" si="342">AB112+AA112</f>
        <v>580715.54</v>
      </c>
      <c r="AD112" s="619">
        <f>AA112+119605.9</f>
        <v>700321.44000000006</v>
      </c>
      <c r="AE112" s="619">
        <f>AB112</f>
        <v>0</v>
      </c>
      <c r="AF112" s="618">
        <f t="shared" ref="AF112:AF117" si="343">AE112+AD112</f>
        <v>700321.44000000006</v>
      </c>
      <c r="AG112" s="619">
        <f>AD112+0</f>
        <v>700321.44000000006</v>
      </c>
      <c r="AH112" s="619">
        <f>AE112</f>
        <v>0</v>
      </c>
      <c r="AI112" s="618">
        <f t="shared" ref="AI112:AI117" si="344">AH112+AG112</f>
        <v>700321.44000000006</v>
      </c>
      <c r="AJ112" s="619">
        <f>AG112+104540.51+2091.93</f>
        <v>806953.88000000012</v>
      </c>
      <c r="AK112" s="619">
        <f>AH112</f>
        <v>0</v>
      </c>
      <c r="AL112" s="618">
        <f t="shared" ref="AL112:AL117" si="345">AK112+AJ112</f>
        <v>806953.88000000012</v>
      </c>
      <c r="AM112" s="619">
        <f>AJ112</f>
        <v>806953.88000000012</v>
      </c>
      <c r="AN112" s="619">
        <f>AK112</f>
        <v>0</v>
      </c>
      <c r="AO112" s="618">
        <f t="shared" ref="AO112:AO117" si="346">AN112+AM112</f>
        <v>806953.88000000012</v>
      </c>
      <c r="AP112" s="619">
        <f>AM112</f>
        <v>806953.88000000012</v>
      </c>
      <c r="AQ112" s="619">
        <f>AN112</f>
        <v>0</v>
      </c>
      <c r="AR112" s="618">
        <f t="shared" ref="AR112:AR117" si="347">AQ112+AP112</f>
        <v>806953.88000000012</v>
      </c>
      <c r="AS112" s="619">
        <f>AP112</f>
        <v>806953.88000000012</v>
      </c>
      <c r="AT112" s="619">
        <f>AQ112</f>
        <v>0</v>
      </c>
      <c r="AU112" s="618">
        <f t="shared" ref="AU112:AU117" si="348">AT112+AS112</f>
        <v>806953.88000000012</v>
      </c>
      <c r="AV112" s="619"/>
      <c r="AW112" s="654"/>
      <c r="AX112" s="619">
        <f>326079.15+1170766.23</f>
        <v>1496845.38</v>
      </c>
      <c r="AY112" s="619">
        <v>0</v>
      </c>
      <c r="AZ112" s="618">
        <f t="shared" ref="AZ112:AZ117" si="349">AY112+AX112</f>
        <v>1496845.38</v>
      </c>
      <c r="BA112" s="619"/>
      <c r="BB112" s="654"/>
      <c r="BC112" s="619">
        <v>483248.17959999898</v>
      </c>
      <c r="BD112" s="619">
        <v>0</v>
      </c>
      <c r="BE112" s="618">
        <f t="shared" ref="BE112:BE117" si="350">BD112+BC112</f>
        <v>483248.17959999898</v>
      </c>
      <c r="BF112" s="619"/>
      <c r="BG112" s="619"/>
      <c r="BH112" s="642">
        <f>AS112+AX112+BC112</f>
        <v>2787047.4395999988</v>
      </c>
      <c r="BI112" s="642">
        <f>AT112+AY112+BD112</f>
        <v>0</v>
      </c>
      <c r="BJ112" s="618">
        <f t="shared" ref="BJ112:BJ117" si="351">BI112+BH112</f>
        <v>2787047.4395999988</v>
      </c>
      <c r="BK112" s="618">
        <f t="shared" si="262"/>
        <v>0</v>
      </c>
      <c r="BL112" s="604"/>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row>
    <row r="113" spans="1:179" s="9" customFormat="1" ht="63" customHeight="1">
      <c r="A113" s="672" t="s">
        <v>75</v>
      </c>
      <c r="B113" s="672" t="s">
        <v>346</v>
      </c>
      <c r="C113" s="673">
        <v>4343809.4379359996</v>
      </c>
      <c r="D113" s="673">
        <v>4343809.4379359996</v>
      </c>
      <c r="E113" s="673">
        <v>0</v>
      </c>
      <c r="F113" s="673">
        <v>0</v>
      </c>
      <c r="G113" s="673">
        <v>4343809.4379359996</v>
      </c>
      <c r="H113" s="673">
        <v>894989</v>
      </c>
      <c r="I113" s="673">
        <v>1660258</v>
      </c>
      <c r="J113" s="673">
        <f t="shared" si="336"/>
        <v>2555247</v>
      </c>
      <c r="K113" s="673">
        <v>2397082.6800000002</v>
      </c>
      <c r="L113" s="673">
        <v>0</v>
      </c>
      <c r="M113" s="673">
        <v>0</v>
      </c>
      <c r="N113" s="673">
        <f>L113+M113</f>
        <v>0</v>
      </c>
      <c r="O113" s="674">
        <f>L113+215975.6</f>
        <v>215975.6</v>
      </c>
      <c r="P113" s="674">
        <f>M113</f>
        <v>0</v>
      </c>
      <c r="Q113" s="674">
        <f>O113+P113</f>
        <v>215975.6</v>
      </c>
      <c r="R113" s="674">
        <f>O113+264746.8</f>
        <v>480722.4</v>
      </c>
      <c r="S113" s="674">
        <f>P113</f>
        <v>0</v>
      </c>
      <c r="T113" s="674">
        <f>R113+S113</f>
        <v>480722.4</v>
      </c>
      <c r="U113" s="674">
        <f>R113</f>
        <v>480722.4</v>
      </c>
      <c r="V113" s="674">
        <f>S113</f>
        <v>0</v>
      </c>
      <c r="W113" s="674">
        <f>U113+V113</f>
        <v>480722.4</v>
      </c>
      <c r="X113" s="674">
        <f>U113+374382.3</f>
        <v>855104.7</v>
      </c>
      <c r="Y113" s="674">
        <f>V113</f>
        <v>0</v>
      </c>
      <c r="Z113" s="674">
        <f>X113+Y113</f>
        <v>855104.7</v>
      </c>
      <c r="AA113" s="674">
        <f>X113</f>
        <v>855104.7</v>
      </c>
      <c r="AB113" s="674">
        <f>Y113</f>
        <v>0</v>
      </c>
      <c r="AC113" s="674">
        <f>AA113+AB113</f>
        <v>855104.7</v>
      </c>
      <c r="AD113" s="674">
        <f>AA113</f>
        <v>855104.7</v>
      </c>
      <c r="AE113" s="674">
        <f>AB113</f>
        <v>0</v>
      </c>
      <c r="AF113" s="674">
        <f>AD113+AE113</f>
        <v>855104.7</v>
      </c>
      <c r="AG113" s="674">
        <f>AD113</f>
        <v>855104.7</v>
      </c>
      <c r="AH113" s="674">
        <f>AE113</f>
        <v>0</v>
      </c>
      <c r="AI113" s="674">
        <f>AG113+AH113</f>
        <v>855104.7</v>
      </c>
      <c r="AJ113" s="674">
        <f>AG113</f>
        <v>855104.7</v>
      </c>
      <c r="AK113" s="674">
        <f>AH113</f>
        <v>0</v>
      </c>
      <c r="AL113" s="674">
        <f>AJ113+AK113</f>
        <v>855104.7</v>
      </c>
      <c r="AM113" s="674">
        <f>AJ113</f>
        <v>855104.7</v>
      </c>
      <c r="AN113" s="674">
        <f>AK113</f>
        <v>0</v>
      </c>
      <c r="AO113" s="674">
        <f>AM113+AN113</f>
        <v>855104.7</v>
      </c>
      <c r="AP113" s="674">
        <f>AM113</f>
        <v>855104.7</v>
      </c>
      <c r="AQ113" s="674">
        <f>AN113</f>
        <v>0</v>
      </c>
      <c r="AR113" s="674">
        <f>AP113+AQ113</f>
        <v>855104.7</v>
      </c>
      <c r="AS113" s="674">
        <f>AP113-35914.3974</f>
        <v>819190.30259999994</v>
      </c>
      <c r="AT113" s="674">
        <f>AQ113</f>
        <v>0</v>
      </c>
      <c r="AU113" s="674">
        <f>AS113+AT113</f>
        <v>819190.30259999994</v>
      </c>
      <c r="AV113" s="674">
        <v>35914.397400000002</v>
      </c>
      <c r="AW113" s="674" t="s">
        <v>1494</v>
      </c>
      <c r="AX113" s="674">
        <v>0</v>
      </c>
      <c r="AY113" s="674">
        <v>0</v>
      </c>
      <c r="AZ113" s="674">
        <f>AX113+AY113</f>
        <v>0</v>
      </c>
      <c r="BA113" s="674">
        <f>AX113*4.2%</f>
        <v>0</v>
      </c>
      <c r="BB113" s="674" t="s">
        <v>1494</v>
      </c>
      <c r="BC113" s="675">
        <f>1091622.057936-45848.126433312</f>
        <v>1045773.931502688</v>
      </c>
      <c r="BD113" s="675">
        <v>0</v>
      </c>
      <c r="BE113" s="675">
        <f>BC113+BD113</f>
        <v>1045773.931502688</v>
      </c>
      <c r="BF113" s="675">
        <v>45848.126433311998</v>
      </c>
      <c r="BG113" s="674" t="s">
        <v>1494</v>
      </c>
      <c r="BH113" s="678">
        <f>AS113+AX113+BC113</f>
        <v>1864964.2341026878</v>
      </c>
      <c r="BI113" s="678">
        <f>AT113+AY113+BD113</f>
        <v>0</v>
      </c>
      <c r="BJ113" s="678">
        <f>BH113+BI113</f>
        <v>1864964.2341026878</v>
      </c>
      <c r="BK113" s="679">
        <f t="shared" si="262"/>
        <v>81762.523833312007</v>
      </c>
      <c r="BL113" s="680"/>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row>
    <row r="114" spans="1:179" s="9" customFormat="1" ht="97.5" hidden="1" outlineLevel="1">
      <c r="A114" s="522" t="s">
        <v>76</v>
      </c>
      <c r="B114" s="522" t="s">
        <v>347</v>
      </c>
      <c r="C114" s="618">
        <v>0</v>
      </c>
      <c r="D114" s="618">
        <v>0</v>
      </c>
      <c r="E114" s="618">
        <v>0</v>
      </c>
      <c r="F114" s="618">
        <v>0</v>
      </c>
      <c r="G114" s="618">
        <v>0</v>
      </c>
      <c r="H114" s="618">
        <v>0</v>
      </c>
      <c r="I114" s="618">
        <v>0</v>
      </c>
      <c r="J114" s="618">
        <f t="shared" si="336"/>
        <v>0</v>
      </c>
      <c r="K114" s="618">
        <v>0</v>
      </c>
      <c r="L114" s="618"/>
      <c r="M114" s="618"/>
      <c r="N114" s="618">
        <f t="shared" si="337"/>
        <v>0</v>
      </c>
      <c r="O114" s="619"/>
      <c r="P114" s="619"/>
      <c r="Q114" s="618">
        <f t="shared" si="338"/>
        <v>0</v>
      </c>
      <c r="R114" s="619"/>
      <c r="S114" s="619"/>
      <c r="T114" s="618">
        <f t="shared" si="339"/>
        <v>0</v>
      </c>
      <c r="U114" s="619"/>
      <c r="V114" s="619"/>
      <c r="W114" s="618">
        <f t="shared" si="340"/>
        <v>0</v>
      </c>
      <c r="X114" s="619"/>
      <c r="Y114" s="619"/>
      <c r="Z114" s="618">
        <f t="shared" si="341"/>
        <v>0</v>
      </c>
      <c r="AA114" s="619"/>
      <c r="AB114" s="619"/>
      <c r="AC114" s="618">
        <f t="shared" si="342"/>
        <v>0</v>
      </c>
      <c r="AD114" s="619"/>
      <c r="AE114" s="619"/>
      <c r="AF114" s="618">
        <f t="shared" si="343"/>
        <v>0</v>
      </c>
      <c r="AG114" s="619"/>
      <c r="AH114" s="619"/>
      <c r="AI114" s="618">
        <f t="shared" si="344"/>
        <v>0</v>
      </c>
      <c r="AJ114" s="619"/>
      <c r="AK114" s="619"/>
      <c r="AL114" s="618">
        <f t="shared" si="345"/>
        <v>0</v>
      </c>
      <c r="AM114" s="619"/>
      <c r="AN114" s="619"/>
      <c r="AO114" s="618">
        <f t="shared" si="346"/>
        <v>0</v>
      </c>
      <c r="AP114" s="619"/>
      <c r="AQ114" s="619"/>
      <c r="AR114" s="618">
        <f t="shared" si="347"/>
        <v>0</v>
      </c>
      <c r="AS114" s="619"/>
      <c r="AT114" s="619"/>
      <c r="AU114" s="618">
        <f t="shared" si="348"/>
        <v>0</v>
      </c>
      <c r="AV114" s="619"/>
      <c r="AW114" s="654"/>
      <c r="AX114" s="619"/>
      <c r="AY114" s="619"/>
      <c r="AZ114" s="618">
        <f t="shared" si="349"/>
        <v>0</v>
      </c>
      <c r="BA114" s="619"/>
      <c r="BB114" s="654"/>
      <c r="BC114" s="619"/>
      <c r="BD114" s="619"/>
      <c r="BE114" s="618">
        <f t="shared" si="350"/>
        <v>0</v>
      </c>
      <c r="BF114" s="619"/>
      <c r="BG114" s="619"/>
      <c r="BH114" s="681"/>
      <c r="BI114" s="681"/>
      <c r="BJ114" s="618">
        <f t="shared" si="351"/>
        <v>0</v>
      </c>
      <c r="BK114" s="618">
        <f t="shared" si="262"/>
        <v>0</v>
      </c>
      <c r="BL114" s="607"/>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row>
    <row r="115" spans="1:179" s="9" customFormat="1" ht="64.5" hidden="1" customHeight="1" outlineLevel="1">
      <c r="A115" s="522" t="s">
        <v>77</v>
      </c>
      <c r="B115" s="522" t="s">
        <v>348</v>
      </c>
      <c r="C115" s="618">
        <v>0</v>
      </c>
      <c r="D115" s="618">
        <v>0</v>
      </c>
      <c r="E115" s="618">
        <v>0</v>
      </c>
      <c r="F115" s="618">
        <v>0</v>
      </c>
      <c r="G115" s="618">
        <v>0</v>
      </c>
      <c r="H115" s="618">
        <v>0</v>
      </c>
      <c r="I115" s="618">
        <v>0</v>
      </c>
      <c r="J115" s="618">
        <f t="shared" si="336"/>
        <v>0</v>
      </c>
      <c r="K115" s="618">
        <v>0</v>
      </c>
      <c r="L115" s="618"/>
      <c r="M115" s="618"/>
      <c r="N115" s="618">
        <f t="shared" si="337"/>
        <v>0</v>
      </c>
      <c r="O115" s="619"/>
      <c r="P115" s="619"/>
      <c r="Q115" s="618">
        <f t="shared" si="338"/>
        <v>0</v>
      </c>
      <c r="R115" s="619"/>
      <c r="S115" s="619"/>
      <c r="T115" s="618">
        <f t="shared" si="339"/>
        <v>0</v>
      </c>
      <c r="U115" s="619"/>
      <c r="V115" s="619"/>
      <c r="W115" s="618">
        <f t="shared" si="340"/>
        <v>0</v>
      </c>
      <c r="X115" s="619"/>
      <c r="Y115" s="619"/>
      <c r="Z115" s="618">
        <f t="shared" si="341"/>
        <v>0</v>
      </c>
      <c r="AA115" s="619"/>
      <c r="AB115" s="619"/>
      <c r="AC115" s="618">
        <f t="shared" si="342"/>
        <v>0</v>
      </c>
      <c r="AD115" s="619"/>
      <c r="AE115" s="619"/>
      <c r="AF115" s="618">
        <f t="shared" si="343"/>
        <v>0</v>
      </c>
      <c r="AG115" s="619"/>
      <c r="AH115" s="619"/>
      <c r="AI115" s="618">
        <f t="shared" si="344"/>
        <v>0</v>
      </c>
      <c r="AJ115" s="619"/>
      <c r="AK115" s="619"/>
      <c r="AL115" s="618">
        <f t="shared" si="345"/>
        <v>0</v>
      </c>
      <c r="AM115" s="619"/>
      <c r="AN115" s="619"/>
      <c r="AO115" s="618">
        <f t="shared" si="346"/>
        <v>0</v>
      </c>
      <c r="AP115" s="619"/>
      <c r="AQ115" s="619"/>
      <c r="AR115" s="618">
        <f t="shared" si="347"/>
        <v>0</v>
      </c>
      <c r="AS115" s="619"/>
      <c r="AT115" s="619"/>
      <c r="AU115" s="618">
        <f t="shared" si="348"/>
        <v>0</v>
      </c>
      <c r="AV115" s="619"/>
      <c r="AW115" s="654"/>
      <c r="AX115" s="619"/>
      <c r="AY115" s="619"/>
      <c r="AZ115" s="618">
        <f t="shared" si="349"/>
        <v>0</v>
      </c>
      <c r="BA115" s="619"/>
      <c r="BB115" s="654"/>
      <c r="BC115" s="619"/>
      <c r="BD115" s="619"/>
      <c r="BE115" s="618">
        <f t="shared" si="350"/>
        <v>0</v>
      </c>
      <c r="BF115" s="619"/>
      <c r="BG115" s="619"/>
      <c r="BH115" s="681"/>
      <c r="BI115" s="681"/>
      <c r="BJ115" s="618">
        <f t="shared" si="351"/>
        <v>0</v>
      </c>
      <c r="BK115" s="618">
        <f t="shared" si="262"/>
        <v>0</v>
      </c>
      <c r="BL115" s="607"/>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row>
    <row r="116" spans="1:179" s="9" customFormat="1" ht="66" customHeight="1" collapsed="1">
      <c r="A116" s="672" t="s">
        <v>78</v>
      </c>
      <c r="B116" s="672" t="s">
        <v>349</v>
      </c>
      <c r="C116" s="673">
        <v>47759948.923139997</v>
      </c>
      <c r="D116" s="673">
        <v>47759948.923139997</v>
      </c>
      <c r="E116" s="673">
        <v>15000000</v>
      </c>
      <c r="F116" s="673">
        <v>15000000</v>
      </c>
      <c r="G116" s="673">
        <v>62759948.923139997</v>
      </c>
      <c r="H116" s="673">
        <v>8230679</v>
      </c>
      <c r="I116" s="673">
        <v>0</v>
      </c>
      <c r="J116" s="673">
        <f t="shared" si="336"/>
        <v>8230679</v>
      </c>
      <c r="K116" s="673">
        <v>7558914.7000000002</v>
      </c>
      <c r="L116" s="673">
        <v>708313.76</v>
      </c>
      <c r="M116" s="673">
        <v>0</v>
      </c>
      <c r="N116" s="673">
        <f>L116+M116</f>
        <v>708313.76</v>
      </c>
      <c r="O116" s="674">
        <f>L116+341686.24</f>
        <v>1050000</v>
      </c>
      <c r="P116" s="674">
        <f>M116</f>
        <v>0</v>
      </c>
      <c r="Q116" s="674">
        <f>O116+P116</f>
        <v>1050000</v>
      </c>
      <c r="R116" s="674">
        <f>O116+300000</f>
        <v>1350000</v>
      </c>
      <c r="S116" s="674">
        <f>P116</f>
        <v>0</v>
      </c>
      <c r="T116" s="674">
        <f>R116+S116</f>
        <v>1350000</v>
      </c>
      <c r="U116" s="674">
        <f>R116+497383</f>
        <v>1847383</v>
      </c>
      <c r="V116" s="674">
        <f>S116</f>
        <v>0</v>
      </c>
      <c r="W116" s="674">
        <f>U116+V116</f>
        <v>1847383</v>
      </c>
      <c r="X116" s="674">
        <f>U116+497384</f>
        <v>2344767</v>
      </c>
      <c r="Y116" s="674">
        <f>V116</f>
        <v>0</v>
      </c>
      <c r="Z116" s="674">
        <f>X116+Y116</f>
        <v>2344767</v>
      </c>
      <c r="AA116" s="674">
        <f>X116+497384</f>
        <v>2842151</v>
      </c>
      <c r="AB116" s="674">
        <f>Y116</f>
        <v>0</v>
      </c>
      <c r="AC116" s="674">
        <f>AA116+AB116</f>
        <v>2842151</v>
      </c>
      <c r="AD116" s="674">
        <f>AA116+497383</f>
        <v>3339534</v>
      </c>
      <c r="AE116" s="674">
        <f>AB116</f>
        <v>0</v>
      </c>
      <c r="AF116" s="674">
        <f>AD116+AE116</f>
        <v>3339534</v>
      </c>
      <c r="AG116" s="674">
        <f>AD116+497383</f>
        <v>3836917</v>
      </c>
      <c r="AH116" s="674">
        <f>AE116</f>
        <v>0</v>
      </c>
      <c r="AI116" s="674">
        <f>AG116+AH116</f>
        <v>3836917</v>
      </c>
      <c r="AJ116" s="674">
        <f>AG116+497384</f>
        <v>4334301</v>
      </c>
      <c r="AK116" s="674">
        <f>AH116</f>
        <v>0</v>
      </c>
      <c r="AL116" s="674">
        <f>AJ116+AK116</f>
        <v>4334301</v>
      </c>
      <c r="AM116" s="674">
        <f>AJ116+1436205</f>
        <v>5770506</v>
      </c>
      <c r="AN116" s="674">
        <f>AK116</f>
        <v>0</v>
      </c>
      <c r="AO116" s="674">
        <f>AM116+AN116</f>
        <v>5770506</v>
      </c>
      <c r="AP116" s="674">
        <f>AM116+1300816</f>
        <v>7071322</v>
      </c>
      <c r="AQ116" s="674">
        <f>AN116</f>
        <v>0</v>
      </c>
      <c r="AR116" s="674">
        <f>AP116+AQ116</f>
        <v>7071322</v>
      </c>
      <c r="AS116" s="674">
        <f>AP116+1143471-485494.2663</f>
        <v>7729298.7336999997</v>
      </c>
      <c r="AT116" s="674">
        <f>AQ116</f>
        <v>0</v>
      </c>
      <c r="AU116" s="674">
        <f>AS116+AT116</f>
        <v>7729298.7336999997</v>
      </c>
      <c r="AV116" s="674">
        <v>485494.26630000002</v>
      </c>
      <c r="AW116" s="673" t="s">
        <v>1495</v>
      </c>
      <c r="AX116" s="674">
        <f>6568519.67+10000000-979199.512497</f>
        <v>15589320.157503</v>
      </c>
      <c r="AY116" s="674">
        <v>0</v>
      </c>
      <c r="AZ116" s="674">
        <f>AX116+AY116</f>
        <v>15589320.157503</v>
      </c>
      <c r="BA116" s="674">
        <v>979199.51249700005</v>
      </c>
      <c r="BB116" s="673" t="s">
        <v>1495</v>
      </c>
      <c r="BC116" s="675">
        <f>838736.72+5011947.44+9567037.39313999-911187.343790573</f>
        <v>14506534.209349418</v>
      </c>
      <c r="BD116" s="675">
        <v>15000000</v>
      </c>
      <c r="BE116" s="675">
        <f>BC116+BD116</f>
        <v>29506534.209349416</v>
      </c>
      <c r="BF116" s="675">
        <v>911187.34379057295</v>
      </c>
      <c r="BG116" s="673" t="s">
        <v>1495</v>
      </c>
      <c r="BH116" s="678">
        <f>AS116+AX116+BC116</f>
        <v>37825153.100552417</v>
      </c>
      <c r="BI116" s="678">
        <f>AT116+AY116+BD116</f>
        <v>15000000</v>
      </c>
      <c r="BJ116" s="678">
        <f>BH116+BI116</f>
        <v>52825153.100552417</v>
      </c>
      <c r="BK116" s="679">
        <f t="shared" si="262"/>
        <v>2375881.1225875732</v>
      </c>
      <c r="BL116" s="682"/>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row>
    <row r="117" spans="1:179" s="9" customFormat="1" ht="78">
      <c r="A117" s="522" t="s">
        <v>79</v>
      </c>
      <c r="B117" s="522" t="s">
        <v>350</v>
      </c>
      <c r="C117" s="618">
        <v>4851702.6962040002</v>
      </c>
      <c r="D117" s="618">
        <v>4851702.6962040002</v>
      </c>
      <c r="E117" s="618">
        <v>0</v>
      </c>
      <c r="F117" s="618">
        <v>0</v>
      </c>
      <c r="G117" s="618">
        <v>4851702.6962040002</v>
      </c>
      <c r="H117" s="618">
        <v>1089221</v>
      </c>
      <c r="I117" s="618">
        <v>3181463</v>
      </c>
      <c r="J117" s="618">
        <f t="shared" si="336"/>
        <v>4270684</v>
      </c>
      <c r="K117" s="618">
        <v>2050212.7699999998</v>
      </c>
      <c r="L117" s="618">
        <v>0</v>
      </c>
      <c r="M117" s="618">
        <v>0</v>
      </c>
      <c r="N117" s="618">
        <f t="shared" si="337"/>
        <v>0</v>
      </c>
      <c r="O117" s="619">
        <f>L117+164680</f>
        <v>164680</v>
      </c>
      <c r="P117" s="619">
        <f>M117</f>
        <v>0</v>
      </c>
      <c r="Q117" s="618">
        <f t="shared" si="338"/>
        <v>164680</v>
      </c>
      <c r="R117" s="619">
        <f>O117</f>
        <v>164680</v>
      </c>
      <c r="S117" s="619">
        <f>P117</f>
        <v>0</v>
      </c>
      <c r="T117" s="618">
        <f t="shared" si="339"/>
        <v>164680</v>
      </c>
      <c r="U117" s="619">
        <f>R117+241295-4592</f>
        <v>401383</v>
      </c>
      <c r="V117" s="619">
        <f>S117</f>
        <v>0</v>
      </c>
      <c r="W117" s="618">
        <f t="shared" si="340"/>
        <v>401383</v>
      </c>
      <c r="X117" s="619">
        <f>U117+111521</f>
        <v>512904</v>
      </c>
      <c r="Y117" s="619">
        <f>V117</f>
        <v>0</v>
      </c>
      <c r="Z117" s="618">
        <f t="shared" si="341"/>
        <v>512904</v>
      </c>
      <c r="AA117" s="619">
        <f>X117+76265</f>
        <v>589169</v>
      </c>
      <c r="AB117" s="619">
        <f>Y117</f>
        <v>0</v>
      </c>
      <c r="AC117" s="618">
        <f t="shared" si="342"/>
        <v>589169</v>
      </c>
      <c r="AD117" s="619">
        <f>AA117</f>
        <v>589169</v>
      </c>
      <c r="AE117" s="619">
        <f>AB117</f>
        <v>0</v>
      </c>
      <c r="AF117" s="618">
        <f t="shared" si="343"/>
        <v>589169</v>
      </c>
      <c r="AG117" s="619">
        <f>AD117+309007</f>
        <v>898176</v>
      </c>
      <c r="AH117" s="619">
        <f>AE117</f>
        <v>0</v>
      </c>
      <c r="AI117" s="618">
        <f t="shared" si="344"/>
        <v>898176</v>
      </c>
      <c r="AJ117" s="619">
        <f>AG117</f>
        <v>898176</v>
      </c>
      <c r="AK117" s="619">
        <f>AH117</f>
        <v>0</v>
      </c>
      <c r="AL117" s="618">
        <f t="shared" si="345"/>
        <v>898176</v>
      </c>
      <c r="AM117" s="619">
        <f>AJ117+186453</f>
        <v>1084629</v>
      </c>
      <c r="AN117" s="619">
        <f>AK117</f>
        <v>0</v>
      </c>
      <c r="AO117" s="618">
        <f t="shared" si="346"/>
        <v>1084629</v>
      </c>
      <c r="AP117" s="619">
        <f>AM117</f>
        <v>1084629</v>
      </c>
      <c r="AQ117" s="619">
        <f>AN117</f>
        <v>0</v>
      </c>
      <c r="AR117" s="618">
        <f t="shared" si="347"/>
        <v>1084629</v>
      </c>
      <c r="AS117" s="619">
        <f>AP117</f>
        <v>1084629</v>
      </c>
      <c r="AT117" s="619">
        <f>AQ117</f>
        <v>0</v>
      </c>
      <c r="AU117" s="618">
        <f t="shared" si="348"/>
        <v>1084629</v>
      </c>
      <c r="AV117" s="619"/>
      <c r="AW117" s="654"/>
      <c r="AX117" s="619">
        <v>0</v>
      </c>
      <c r="AY117" s="619">
        <v>0</v>
      </c>
      <c r="AZ117" s="618">
        <f t="shared" si="349"/>
        <v>0</v>
      </c>
      <c r="BA117" s="619"/>
      <c r="BB117" s="654"/>
      <c r="BC117" s="619">
        <v>1716860.9262039999</v>
      </c>
      <c r="BD117" s="619">
        <v>0</v>
      </c>
      <c r="BE117" s="618">
        <f t="shared" si="350"/>
        <v>1716860.9262039999</v>
      </c>
      <c r="BF117" s="619"/>
      <c r="BG117" s="619"/>
      <c r="BH117" s="642">
        <f>AS117+AX117+BC117</f>
        <v>2801489.9262039997</v>
      </c>
      <c r="BI117" s="642">
        <f>AT117+AY117+BD117</f>
        <v>0</v>
      </c>
      <c r="BJ117" s="618">
        <f t="shared" si="351"/>
        <v>2801489.9262039997</v>
      </c>
      <c r="BK117" s="618">
        <f t="shared" si="262"/>
        <v>0</v>
      </c>
      <c r="BL117" s="580" t="s">
        <v>1496</v>
      </c>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row>
    <row r="118" spans="1:179" s="2" customFormat="1" ht="40.5">
      <c r="A118" s="523"/>
      <c r="B118" s="521" t="s">
        <v>351</v>
      </c>
      <c r="C118" s="617">
        <f t="shared" ref="C118:J118" si="352">C119+C124</f>
        <v>355536471.23279595</v>
      </c>
      <c r="D118" s="617">
        <f t="shared" si="352"/>
        <v>342191748.760764</v>
      </c>
      <c r="E118" s="617">
        <f t="shared" si="352"/>
        <v>58728596</v>
      </c>
      <c r="F118" s="617">
        <f t="shared" si="352"/>
        <v>51498122</v>
      </c>
      <c r="G118" s="617">
        <f t="shared" si="352"/>
        <v>393689870.760764</v>
      </c>
      <c r="H118" s="617">
        <f t="shared" si="352"/>
        <v>50253145</v>
      </c>
      <c r="I118" s="617">
        <f t="shared" ref="I118" si="353">I119+I124</f>
        <v>17440410</v>
      </c>
      <c r="J118" s="617">
        <f t="shared" si="352"/>
        <v>67693555</v>
      </c>
      <c r="K118" s="617">
        <f t="shared" ref="K118:M118" si="354">K119+K124</f>
        <v>167344128.54000002</v>
      </c>
      <c r="L118" s="617">
        <f t="shared" si="354"/>
        <v>1675726</v>
      </c>
      <c r="M118" s="617">
        <f t="shared" si="354"/>
        <v>0</v>
      </c>
      <c r="N118" s="617">
        <f t="shared" ref="N118" si="355">N119+N124</f>
        <v>1675726</v>
      </c>
      <c r="O118" s="617">
        <f t="shared" ref="O118:T118" si="356">O119+O124</f>
        <v>3513660.0240000002</v>
      </c>
      <c r="P118" s="617">
        <f t="shared" si="356"/>
        <v>0</v>
      </c>
      <c r="Q118" s="617">
        <f t="shared" si="356"/>
        <v>3513660.0240000002</v>
      </c>
      <c r="R118" s="617">
        <f t="shared" si="356"/>
        <v>6650556.6740000006</v>
      </c>
      <c r="S118" s="617">
        <f t="shared" si="356"/>
        <v>0</v>
      </c>
      <c r="T118" s="617">
        <f t="shared" si="356"/>
        <v>6650556.6740000006</v>
      </c>
      <c r="U118" s="617">
        <f t="shared" ref="U118:AB118" si="357">U119+U124</f>
        <v>7978227.6740000006</v>
      </c>
      <c r="V118" s="617">
        <f t="shared" si="357"/>
        <v>0</v>
      </c>
      <c r="W118" s="617">
        <f t="shared" si="357"/>
        <v>7978227.6740000006</v>
      </c>
      <c r="X118" s="617">
        <f t="shared" si="357"/>
        <v>14241309.674000001</v>
      </c>
      <c r="Y118" s="617">
        <f t="shared" si="357"/>
        <v>0</v>
      </c>
      <c r="Z118" s="617">
        <f t="shared" si="357"/>
        <v>14241309.674000001</v>
      </c>
      <c r="AA118" s="617">
        <f t="shared" si="357"/>
        <v>17217360.674000002</v>
      </c>
      <c r="AB118" s="617">
        <f t="shared" si="357"/>
        <v>0</v>
      </c>
      <c r="AC118" s="617">
        <f>AB118+AA118</f>
        <v>17217360.674000002</v>
      </c>
      <c r="AD118" s="617">
        <f t="shared" ref="AD118:AE118" si="358">AD119+AD124</f>
        <v>20374938.674000002</v>
      </c>
      <c r="AE118" s="617">
        <f t="shared" si="358"/>
        <v>0</v>
      </c>
      <c r="AF118" s="617">
        <f>AE118+AD118</f>
        <v>20374938.674000002</v>
      </c>
      <c r="AG118" s="617">
        <f t="shared" ref="AG118:AH118" si="359">AG119+AG124</f>
        <v>21935753.864</v>
      </c>
      <c r="AH118" s="617">
        <f t="shared" si="359"/>
        <v>0</v>
      </c>
      <c r="AI118" s="617">
        <f>AH118+AG118</f>
        <v>21935753.864</v>
      </c>
      <c r="AJ118" s="617">
        <f t="shared" ref="AJ118:AK118" si="360">AJ119+AJ124</f>
        <v>27111435.864</v>
      </c>
      <c r="AK118" s="617">
        <f t="shared" si="360"/>
        <v>0</v>
      </c>
      <c r="AL118" s="617">
        <f>AK118+AJ118</f>
        <v>27111435.864</v>
      </c>
      <c r="AM118" s="617">
        <f t="shared" ref="AM118:AN118" si="361">AM119+AM124</f>
        <v>27604430.864</v>
      </c>
      <c r="AN118" s="617">
        <f t="shared" si="361"/>
        <v>0</v>
      </c>
      <c r="AO118" s="617">
        <f>AN118+AM118</f>
        <v>27604430.864</v>
      </c>
      <c r="AP118" s="617">
        <f t="shared" ref="AP118:AQ118" si="362">AP119+AP124</f>
        <v>30043489.864</v>
      </c>
      <c r="AQ118" s="617">
        <f t="shared" si="362"/>
        <v>0</v>
      </c>
      <c r="AR118" s="617">
        <f>AQ118+AP118</f>
        <v>30043489.864</v>
      </c>
      <c r="AS118" s="617">
        <f t="shared" ref="AS118:AT118" si="363">AS119+AS124</f>
        <v>37165759.864</v>
      </c>
      <c r="AT118" s="617">
        <f t="shared" si="363"/>
        <v>0</v>
      </c>
      <c r="AU118" s="617">
        <f>AT118+AS118</f>
        <v>37165759.864</v>
      </c>
      <c r="AV118" s="617">
        <f t="shared" ref="AV118" si="364">AV119+AV124</f>
        <v>261140.23</v>
      </c>
      <c r="AW118" s="653"/>
      <c r="AX118" s="617">
        <f t="shared" ref="AX118:AY118" si="365">AX119+AX124</f>
        <v>61403088</v>
      </c>
      <c r="AY118" s="617">
        <f t="shared" si="365"/>
        <v>14401655</v>
      </c>
      <c r="AZ118" s="617">
        <f>AY118+AX118</f>
        <v>75804743</v>
      </c>
      <c r="BA118" s="617">
        <f t="shared" ref="BA118" si="366">BA119+BA124</f>
        <v>202386</v>
      </c>
      <c r="BB118" s="653"/>
      <c r="BC118" s="617">
        <f t="shared" ref="BC118:BD118" si="367">BC119+BC124</f>
        <v>72654499</v>
      </c>
      <c r="BD118" s="617">
        <f t="shared" si="367"/>
        <v>38204967</v>
      </c>
      <c r="BE118" s="617">
        <f>BD118+BC118</f>
        <v>110859466</v>
      </c>
      <c r="BF118" s="617">
        <f t="shared" ref="BF118" si="368">BF119+BF124</f>
        <v>223334</v>
      </c>
      <c r="BG118" s="617"/>
      <c r="BH118" s="617">
        <f t="shared" ref="BH118:BI118" si="369">BH119+BH124</f>
        <v>171223346.86399999</v>
      </c>
      <c r="BI118" s="617">
        <f t="shared" si="369"/>
        <v>52606622</v>
      </c>
      <c r="BJ118" s="617">
        <f>BI118+BH118</f>
        <v>223829968.86399999</v>
      </c>
      <c r="BK118" s="617">
        <f t="shared" si="262"/>
        <v>686860.23</v>
      </c>
      <c r="BL118" s="596"/>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row>
    <row r="119" spans="1:179" s="8" customFormat="1" ht="40.5">
      <c r="A119" s="528"/>
      <c r="B119" s="533" t="s">
        <v>352</v>
      </c>
      <c r="C119" s="639">
        <f t="shared" ref="C119:J119" si="370">SUM(C120:C123)</f>
        <v>167317954</v>
      </c>
      <c r="D119" s="639">
        <f t="shared" si="370"/>
        <v>153973230.30987599</v>
      </c>
      <c r="E119" s="639">
        <f t="shared" si="370"/>
        <v>15000000</v>
      </c>
      <c r="F119" s="639">
        <f t="shared" si="370"/>
        <v>13891500</v>
      </c>
      <c r="G119" s="639">
        <f t="shared" si="370"/>
        <v>167864730.30987599</v>
      </c>
      <c r="H119" s="639">
        <f t="shared" si="370"/>
        <v>21489455</v>
      </c>
      <c r="I119" s="639">
        <f t="shared" ref="I119" si="371">SUM(I120:I123)</f>
        <v>16139169</v>
      </c>
      <c r="J119" s="639">
        <f t="shared" si="370"/>
        <v>37628624</v>
      </c>
      <c r="K119" s="639">
        <f t="shared" ref="K119:M119" si="372">SUM(K120:K123)</f>
        <v>58152608.560000002</v>
      </c>
      <c r="L119" s="639">
        <f t="shared" si="372"/>
        <v>331335</v>
      </c>
      <c r="M119" s="639">
        <f t="shared" si="372"/>
        <v>0</v>
      </c>
      <c r="N119" s="639">
        <f t="shared" ref="N119" si="373">SUM(N120:N123)</f>
        <v>331335</v>
      </c>
      <c r="O119" s="639">
        <f t="shared" ref="O119:T119" si="374">SUM(O120:O123)</f>
        <v>1486199.024</v>
      </c>
      <c r="P119" s="639">
        <f t="shared" si="374"/>
        <v>0</v>
      </c>
      <c r="Q119" s="639">
        <f t="shared" si="374"/>
        <v>1486199.024</v>
      </c>
      <c r="R119" s="639">
        <f t="shared" si="374"/>
        <v>2745329.6740000001</v>
      </c>
      <c r="S119" s="639">
        <f t="shared" si="374"/>
        <v>0</v>
      </c>
      <c r="T119" s="639">
        <f t="shared" si="374"/>
        <v>2745329.6740000001</v>
      </c>
      <c r="U119" s="639">
        <f t="shared" ref="U119:AB119" si="375">SUM(U120:U123)</f>
        <v>3294130.6740000001</v>
      </c>
      <c r="V119" s="639">
        <f t="shared" si="375"/>
        <v>0</v>
      </c>
      <c r="W119" s="639">
        <f t="shared" si="375"/>
        <v>3294130.6740000001</v>
      </c>
      <c r="X119" s="639">
        <f t="shared" si="375"/>
        <v>7970252.6740000006</v>
      </c>
      <c r="Y119" s="639">
        <f t="shared" si="375"/>
        <v>0</v>
      </c>
      <c r="Z119" s="639">
        <f t="shared" si="375"/>
        <v>7970252.6740000006</v>
      </c>
      <c r="AA119" s="639">
        <f t="shared" si="375"/>
        <v>9642989.6740000006</v>
      </c>
      <c r="AB119" s="639">
        <f t="shared" si="375"/>
        <v>0</v>
      </c>
      <c r="AC119" s="639">
        <f>AB119+AA119</f>
        <v>9642989.6740000006</v>
      </c>
      <c r="AD119" s="639">
        <f t="shared" ref="AD119:AE119" si="376">SUM(AD120:AD123)</f>
        <v>11773449.674000001</v>
      </c>
      <c r="AE119" s="639">
        <f t="shared" si="376"/>
        <v>0</v>
      </c>
      <c r="AF119" s="639">
        <f>AE119+AD119</f>
        <v>11773449.674000001</v>
      </c>
      <c r="AG119" s="639">
        <f t="shared" ref="AG119:AH119" si="377">SUM(AG120:AG123)</f>
        <v>12733094.864</v>
      </c>
      <c r="AH119" s="639">
        <f t="shared" si="377"/>
        <v>0</v>
      </c>
      <c r="AI119" s="639">
        <f>AH119+AG119</f>
        <v>12733094.864</v>
      </c>
      <c r="AJ119" s="639">
        <f t="shared" ref="AJ119:AK119" si="378">SUM(AJ120:AJ123)</f>
        <v>15828842.864</v>
      </c>
      <c r="AK119" s="639">
        <f t="shared" si="378"/>
        <v>0</v>
      </c>
      <c r="AL119" s="639">
        <f>AK119+AJ119</f>
        <v>15828842.864</v>
      </c>
      <c r="AM119" s="639">
        <f t="shared" ref="AM119:AN119" si="379">SUM(AM120:AM123)</f>
        <v>16291716.864</v>
      </c>
      <c r="AN119" s="639">
        <f t="shared" si="379"/>
        <v>0</v>
      </c>
      <c r="AO119" s="639">
        <f>AN119+AM119</f>
        <v>16291716.864</v>
      </c>
      <c r="AP119" s="639">
        <f t="shared" ref="AP119:AQ119" si="380">SUM(AP120:AP123)</f>
        <v>18450202.864</v>
      </c>
      <c r="AQ119" s="639">
        <f t="shared" si="380"/>
        <v>0</v>
      </c>
      <c r="AR119" s="639">
        <f>AQ119+AP119</f>
        <v>18450202.864</v>
      </c>
      <c r="AS119" s="639">
        <f t="shared" ref="AS119:AT119" si="381">SUM(AS120:AS123)</f>
        <v>24914777.864</v>
      </c>
      <c r="AT119" s="639">
        <f t="shared" si="381"/>
        <v>0</v>
      </c>
      <c r="AU119" s="639">
        <f>AT119+AS119</f>
        <v>24914777.864</v>
      </c>
      <c r="AV119" s="639">
        <f t="shared" ref="AV119" si="382">SUM(AV120:AV123)</f>
        <v>113567</v>
      </c>
      <c r="AW119" s="663"/>
      <c r="AX119" s="639">
        <f t="shared" ref="AX119:AY119" si="383">SUM(AX120:AX123)</f>
        <v>33295509</v>
      </c>
      <c r="AY119" s="639">
        <f t="shared" si="383"/>
        <v>5000000</v>
      </c>
      <c r="AZ119" s="639">
        <f>AY119+AX119</f>
        <v>38295509</v>
      </c>
      <c r="BA119" s="639">
        <f t="shared" ref="BA119" si="384">SUM(BA120:BA123)</f>
        <v>130244</v>
      </c>
      <c r="BB119" s="663"/>
      <c r="BC119" s="639">
        <f t="shared" ref="BC119:BD119" si="385">SUM(BC120:BC123)</f>
        <v>36879756</v>
      </c>
      <c r="BD119" s="639">
        <f t="shared" si="385"/>
        <v>10000000</v>
      </c>
      <c r="BE119" s="639">
        <f>BD119+BC119</f>
        <v>46879756</v>
      </c>
      <c r="BF119" s="639">
        <f t="shared" ref="BF119" si="386">SUM(BF120:BF123)</f>
        <v>130511</v>
      </c>
      <c r="BG119" s="639"/>
      <c r="BH119" s="639">
        <f t="shared" ref="BH119:BI119" si="387">SUM(BH120:BH123)</f>
        <v>95090042.863999993</v>
      </c>
      <c r="BI119" s="639">
        <f t="shared" si="387"/>
        <v>15000000</v>
      </c>
      <c r="BJ119" s="639">
        <f>BI119+BH119</f>
        <v>110090042.86399999</v>
      </c>
      <c r="BK119" s="639">
        <f t="shared" si="262"/>
        <v>374322</v>
      </c>
      <c r="BL119" s="606"/>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row>
    <row r="120" spans="1:179" s="11" customFormat="1" ht="48.75" customHeight="1">
      <c r="A120" s="530" t="s">
        <v>0</v>
      </c>
      <c r="B120" s="530" t="s">
        <v>353</v>
      </c>
      <c r="C120" s="640">
        <v>35843004</v>
      </c>
      <c r="D120" s="640">
        <v>36396072</v>
      </c>
      <c r="E120" s="640">
        <v>15000000</v>
      </c>
      <c r="F120" s="640">
        <v>13891500</v>
      </c>
      <c r="G120" s="641">
        <v>50287572</v>
      </c>
      <c r="H120" s="618">
        <v>8511229</v>
      </c>
      <c r="I120" s="618">
        <v>-4231569</v>
      </c>
      <c r="J120" s="618">
        <f t="shared" ref="J120:J123" si="388">H120+I120</f>
        <v>4279660</v>
      </c>
      <c r="K120" s="618">
        <v>25790269.43</v>
      </c>
      <c r="L120" s="618">
        <v>305105</v>
      </c>
      <c r="M120" s="618"/>
      <c r="N120" s="618">
        <f t="shared" ref="N120:N133" si="389">M120+L120</f>
        <v>305105</v>
      </c>
      <c r="O120" s="619">
        <f>L120+146081</f>
        <v>451186</v>
      </c>
      <c r="P120" s="619"/>
      <c r="Q120" s="618">
        <f t="shared" ref="Q120:Q133" si="390">P120+O120</f>
        <v>451186</v>
      </c>
      <c r="R120" s="619">
        <f>O120+238608</f>
        <v>689794</v>
      </c>
      <c r="S120" s="619"/>
      <c r="T120" s="618">
        <f t="shared" ref="T120:T133" si="391">S120+R120</f>
        <v>689794</v>
      </c>
      <c r="U120" s="619">
        <f>R120+505879</f>
        <v>1195673</v>
      </c>
      <c r="V120" s="619"/>
      <c r="W120" s="618">
        <f t="shared" ref="W120:W133" si="392">V120+U120</f>
        <v>1195673</v>
      </c>
      <c r="X120" s="619">
        <f>U120+642135</f>
        <v>1837808</v>
      </c>
      <c r="Y120" s="619"/>
      <c r="Z120" s="618">
        <f t="shared" ref="Z120:Z133" si="393">Y120+X120</f>
        <v>1837808</v>
      </c>
      <c r="AA120" s="619">
        <v>2042984</v>
      </c>
      <c r="AB120" s="619"/>
      <c r="AC120" s="618">
        <f t="shared" ref="AC120:AC133" si="394">AB120+AA120</f>
        <v>2042984</v>
      </c>
      <c r="AD120" s="619">
        <v>2174481</v>
      </c>
      <c r="AE120" s="619"/>
      <c r="AF120" s="618">
        <f t="shared" ref="AF120:AF133" si="395">AE120+AD120</f>
        <v>2174481</v>
      </c>
      <c r="AG120" s="619">
        <v>2508661</v>
      </c>
      <c r="AH120" s="619"/>
      <c r="AI120" s="618">
        <f t="shared" ref="AI120:AI133" si="396">AH120+AG120</f>
        <v>2508661</v>
      </c>
      <c r="AJ120" s="619">
        <v>2850597</v>
      </c>
      <c r="AK120" s="619"/>
      <c r="AL120" s="618">
        <f t="shared" ref="AL120:AL133" si="397">AK120+AJ120</f>
        <v>2850597</v>
      </c>
      <c r="AM120" s="619">
        <v>2992707</v>
      </c>
      <c r="AN120" s="619"/>
      <c r="AO120" s="618">
        <f t="shared" ref="AO120:AO133" si="398">AN120+AM120</f>
        <v>2992707</v>
      </c>
      <c r="AP120" s="619">
        <v>3100334</v>
      </c>
      <c r="AQ120" s="619"/>
      <c r="AR120" s="618">
        <f t="shared" ref="AR120:AR133" si="399">AQ120+AP120</f>
        <v>3100334</v>
      </c>
      <c r="AS120" s="619">
        <v>3654518</v>
      </c>
      <c r="AT120" s="619"/>
      <c r="AU120" s="618">
        <f t="shared" ref="AU120:AU133" si="400">AT120+AS120</f>
        <v>3654518</v>
      </c>
      <c r="AV120" s="619">
        <v>20465</v>
      </c>
      <c r="AW120" s="664" t="s">
        <v>1550</v>
      </c>
      <c r="AX120" s="619">
        <f>2306929+977037</f>
        <v>3283966</v>
      </c>
      <c r="AY120" s="619">
        <v>5000000</v>
      </c>
      <c r="AZ120" s="618">
        <f t="shared" ref="AZ120:AZ133" si="401">AY120+AX120</f>
        <v>8283966</v>
      </c>
      <c r="BA120" s="619">
        <v>18390</v>
      </c>
      <c r="BB120" s="654" t="s">
        <v>1554</v>
      </c>
      <c r="BC120" s="619">
        <f>1954076+1673911-90202-20465</f>
        <v>3517320</v>
      </c>
      <c r="BD120" s="619">
        <v>10000000</v>
      </c>
      <c r="BE120" s="618">
        <f t="shared" ref="BE120:BE133" si="402">BD120+BC120</f>
        <v>13517320</v>
      </c>
      <c r="BF120" s="619">
        <v>23017</v>
      </c>
      <c r="BG120" s="618" t="s">
        <v>1557</v>
      </c>
      <c r="BH120" s="619">
        <f>BC120+AX120+AS120</f>
        <v>10455804</v>
      </c>
      <c r="BI120" s="619">
        <f t="shared" ref="BI120" si="403">BD120+AY120+AT120</f>
        <v>15000000</v>
      </c>
      <c r="BJ120" s="618">
        <f t="shared" ref="BJ120:BJ133" si="404">BI120+BH120</f>
        <v>25455804</v>
      </c>
      <c r="BK120" s="618">
        <f t="shared" si="262"/>
        <v>61872</v>
      </c>
      <c r="BL120" s="604"/>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row>
    <row r="121" spans="1:179" s="11" customFormat="1" ht="110.25" customHeight="1">
      <c r="A121" s="530" t="s">
        <v>1</v>
      </c>
      <c r="B121" s="530" t="s">
        <v>354</v>
      </c>
      <c r="C121" s="618">
        <v>4919628</v>
      </c>
      <c r="D121" s="618">
        <v>4366560</v>
      </c>
      <c r="E121" s="618">
        <v>0</v>
      </c>
      <c r="F121" s="618">
        <v>0</v>
      </c>
      <c r="G121" s="618">
        <v>4366560</v>
      </c>
      <c r="H121" s="618">
        <v>906648</v>
      </c>
      <c r="I121" s="618">
        <v>-167733</v>
      </c>
      <c r="J121" s="618">
        <f t="shared" si="388"/>
        <v>738915</v>
      </c>
      <c r="K121" s="618">
        <v>2920933.34</v>
      </c>
      <c r="L121" s="618">
        <v>25027</v>
      </c>
      <c r="M121" s="618"/>
      <c r="N121" s="618">
        <f t="shared" si="389"/>
        <v>25027</v>
      </c>
      <c r="O121" s="619">
        <f>L121+50289</f>
        <v>75316</v>
      </c>
      <c r="P121" s="619"/>
      <c r="Q121" s="618">
        <f t="shared" si="390"/>
        <v>75316</v>
      </c>
      <c r="R121" s="619">
        <f>O121+67554</f>
        <v>142870</v>
      </c>
      <c r="S121" s="619"/>
      <c r="T121" s="618">
        <f t="shared" si="391"/>
        <v>142870</v>
      </c>
      <c r="U121" s="619">
        <f>R121+42922</f>
        <v>185792</v>
      </c>
      <c r="V121" s="619"/>
      <c r="W121" s="618">
        <f t="shared" si="392"/>
        <v>185792</v>
      </c>
      <c r="X121" s="619">
        <f>U121+10161</f>
        <v>195953</v>
      </c>
      <c r="Y121" s="619"/>
      <c r="Z121" s="618">
        <f t="shared" si="393"/>
        <v>195953</v>
      </c>
      <c r="AA121" s="619">
        <v>298258</v>
      </c>
      <c r="AB121" s="619"/>
      <c r="AC121" s="618">
        <f t="shared" si="394"/>
        <v>298258</v>
      </c>
      <c r="AD121" s="619">
        <v>425809</v>
      </c>
      <c r="AE121" s="619"/>
      <c r="AF121" s="618">
        <f t="shared" si="395"/>
        <v>425809</v>
      </c>
      <c r="AG121" s="619">
        <v>425809</v>
      </c>
      <c r="AH121" s="619"/>
      <c r="AI121" s="618">
        <f t="shared" si="396"/>
        <v>425809</v>
      </c>
      <c r="AJ121" s="619">
        <v>581649</v>
      </c>
      <c r="AK121" s="619"/>
      <c r="AL121" s="618">
        <f t="shared" si="397"/>
        <v>581649</v>
      </c>
      <c r="AM121" s="619">
        <v>645967</v>
      </c>
      <c r="AN121" s="619"/>
      <c r="AO121" s="618">
        <f t="shared" si="398"/>
        <v>645967</v>
      </c>
      <c r="AP121" s="619">
        <v>645967</v>
      </c>
      <c r="AQ121" s="619"/>
      <c r="AR121" s="618">
        <f t="shared" si="399"/>
        <v>645967</v>
      </c>
      <c r="AS121" s="619">
        <v>727980</v>
      </c>
      <c r="AT121" s="619"/>
      <c r="AU121" s="618">
        <f t="shared" si="400"/>
        <v>727980</v>
      </c>
      <c r="AV121" s="619">
        <v>10935</v>
      </c>
      <c r="AW121" s="664" t="s">
        <v>1551</v>
      </c>
      <c r="AX121" s="619">
        <v>446107</v>
      </c>
      <c r="AY121" s="619"/>
      <c r="AZ121" s="618">
        <f t="shared" si="401"/>
        <v>446107</v>
      </c>
      <c r="BA121" s="619">
        <v>4753</v>
      </c>
      <c r="BB121" s="654" t="s">
        <v>1555</v>
      </c>
      <c r="BC121" s="619"/>
      <c r="BD121" s="619"/>
      <c r="BE121" s="618">
        <f t="shared" si="402"/>
        <v>0</v>
      </c>
      <c r="BF121" s="619"/>
      <c r="BG121" s="619"/>
      <c r="BH121" s="619">
        <f t="shared" ref="BH121:BH123" si="405">BC121+AX121+AS121</f>
        <v>1174087</v>
      </c>
      <c r="BI121" s="619">
        <f t="shared" ref="BI121:BI123" si="406">BD121+AY121+AT121</f>
        <v>0</v>
      </c>
      <c r="BJ121" s="618">
        <f t="shared" si="404"/>
        <v>1174087</v>
      </c>
      <c r="BK121" s="618">
        <f t="shared" si="262"/>
        <v>15688</v>
      </c>
      <c r="BL121" s="605" t="s">
        <v>1559</v>
      </c>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row>
    <row r="122" spans="1:179" s="13" customFormat="1" ht="64.5" customHeight="1">
      <c r="A122" s="534" t="s">
        <v>2</v>
      </c>
      <c r="B122" s="534" t="s">
        <v>355</v>
      </c>
      <c r="C122" s="618">
        <v>98443162</v>
      </c>
      <c r="D122" s="618">
        <v>102696235.112712</v>
      </c>
      <c r="E122" s="618">
        <v>0</v>
      </c>
      <c r="F122" s="618">
        <v>0</v>
      </c>
      <c r="G122" s="618">
        <v>102696235.112712</v>
      </c>
      <c r="H122" s="618">
        <v>8303004</v>
      </c>
      <c r="I122" s="618">
        <v>20538471</v>
      </c>
      <c r="J122" s="618">
        <f t="shared" si="388"/>
        <v>28841475</v>
      </c>
      <c r="K122" s="618">
        <v>27272330.880000003</v>
      </c>
      <c r="L122" s="618">
        <v>1203</v>
      </c>
      <c r="M122" s="618"/>
      <c r="N122" s="618">
        <f t="shared" si="389"/>
        <v>1203</v>
      </c>
      <c r="O122" s="619">
        <f>L122+958494.024</f>
        <v>959697.02399999998</v>
      </c>
      <c r="P122" s="619"/>
      <c r="Q122" s="618">
        <f t="shared" si="390"/>
        <v>959697.02399999998</v>
      </c>
      <c r="R122" s="619">
        <f>O122+952968.65</f>
        <v>1912665.6740000001</v>
      </c>
      <c r="S122" s="619"/>
      <c r="T122" s="618">
        <f t="shared" si="391"/>
        <v>1912665.6740000001</v>
      </c>
      <c r="U122" s="619">
        <f>R122</f>
        <v>1912665.6740000001</v>
      </c>
      <c r="V122" s="619"/>
      <c r="W122" s="618">
        <f t="shared" si="392"/>
        <v>1912665.6740000001</v>
      </c>
      <c r="X122" s="619">
        <f>U122+3940938</f>
        <v>5853603.6740000006</v>
      </c>
      <c r="Y122" s="619"/>
      <c r="Z122" s="618">
        <f t="shared" si="393"/>
        <v>5853603.6740000006</v>
      </c>
      <c r="AA122" s="619">
        <v>7218859.6740000006</v>
      </c>
      <c r="AB122" s="619"/>
      <c r="AC122" s="618">
        <f t="shared" si="394"/>
        <v>7218859.6740000006</v>
      </c>
      <c r="AD122" s="619">
        <v>9090271.6740000006</v>
      </c>
      <c r="AE122" s="619"/>
      <c r="AF122" s="618">
        <f t="shared" si="395"/>
        <v>9090271.6740000006</v>
      </c>
      <c r="AG122" s="619">
        <v>9715736.8640000001</v>
      </c>
      <c r="AH122" s="619"/>
      <c r="AI122" s="618">
        <f t="shared" si="396"/>
        <v>9715736.8640000001</v>
      </c>
      <c r="AJ122" s="619">
        <v>11316452.864</v>
      </c>
      <c r="AK122" s="619"/>
      <c r="AL122" s="618">
        <f t="shared" si="397"/>
        <v>11316452.864</v>
      </c>
      <c r="AM122" s="619">
        <v>11572898.864</v>
      </c>
      <c r="AN122" s="619"/>
      <c r="AO122" s="618">
        <f t="shared" si="398"/>
        <v>11572898.864</v>
      </c>
      <c r="AP122" s="619">
        <v>13623757.864</v>
      </c>
      <c r="AQ122" s="619"/>
      <c r="AR122" s="618">
        <f t="shared" si="399"/>
        <v>13623757.864</v>
      </c>
      <c r="AS122" s="619">
        <v>18433405.864</v>
      </c>
      <c r="AT122" s="619"/>
      <c r="AU122" s="618">
        <f t="shared" si="400"/>
        <v>18433405.864</v>
      </c>
      <c r="AV122" s="619">
        <v>82167</v>
      </c>
      <c r="AW122" s="664" t="s">
        <v>1552</v>
      </c>
      <c r="AX122" s="619">
        <f>21420217+3173948</f>
        <v>24594165</v>
      </c>
      <c r="AY122" s="619"/>
      <c r="AZ122" s="618">
        <f t="shared" si="401"/>
        <v>24594165</v>
      </c>
      <c r="BA122" s="619">
        <v>107101</v>
      </c>
      <c r="BB122" s="654" t="s">
        <v>1556</v>
      </c>
      <c r="BC122" s="619">
        <f>21391500+12695793-2000000</f>
        <v>32087293</v>
      </c>
      <c r="BD122" s="619"/>
      <c r="BE122" s="618">
        <f t="shared" si="402"/>
        <v>32087293</v>
      </c>
      <c r="BF122" s="619">
        <v>107494</v>
      </c>
      <c r="BG122" s="618" t="s">
        <v>1558</v>
      </c>
      <c r="BH122" s="619">
        <f t="shared" si="405"/>
        <v>75114863.863999993</v>
      </c>
      <c r="BI122" s="619">
        <f t="shared" si="406"/>
        <v>0</v>
      </c>
      <c r="BJ122" s="618">
        <f t="shared" si="404"/>
        <v>75114863.863999993</v>
      </c>
      <c r="BK122" s="618">
        <f t="shared" si="262"/>
        <v>296762</v>
      </c>
      <c r="BL122" s="605" t="s">
        <v>1560</v>
      </c>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row>
    <row r="123" spans="1:179" s="11" customFormat="1" ht="132.75" customHeight="1">
      <c r="A123" s="530" t="s">
        <v>3</v>
      </c>
      <c r="B123" s="530" t="s">
        <v>356</v>
      </c>
      <c r="C123" s="618">
        <v>28112160</v>
      </c>
      <c r="D123" s="618">
        <v>10514363.197163999</v>
      </c>
      <c r="E123" s="618">
        <v>0</v>
      </c>
      <c r="F123" s="618">
        <v>0</v>
      </c>
      <c r="G123" s="618">
        <v>10514363.197163999</v>
      </c>
      <c r="H123" s="618">
        <v>3768574</v>
      </c>
      <c r="I123" s="618">
        <v>0</v>
      </c>
      <c r="J123" s="618">
        <f t="shared" si="388"/>
        <v>3768574</v>
      </c>
      <c r="K123" s="618">
        <v>2169074.91</v>
      </c>
      <c r="L123" s="618"/>
      <c r="M123" s="618"/>
      <c r="N123" s="618">
        <f t="shared" si="389"/>
        <v>0</v>
      </c>
      <c r="O123" s="619">
        <f t="shared" ref="O123" si="407">L123</f>
        <v>0</v>
      </c>
      <c r="P123" s="619"/>
      <c r="Q123" s="618">
        <f t="shared" si="390"/>
        <v>0</v>
      </c>
      <c r="R123" s="619">
        <f t="shared" ref="R123" si="408">O123</f>
        <v>0</v>
      </c>
      <c r="S123" s="619"/>
      <c r="T123" s="618">
        <f t="shared" si="391"/>
        <v>0</v>
      </c>
      <c r="U123" s="619">
        <f t="shared" ref="U123" si="409">R123</f>
        <v>0</v>
      </c>
      <c r="V123" s="619"/>
      <c r="W123" s="618">
        <f t="shared" si="392"/>
        <v>0</v>
      </c>
      <c r="X123" s="619">
        <f>U123+82888</f>
        <v>82888</v>
      </c>
      <c r="Y123" s="619"/>
      <c r="Z123" s="618">
        <f t="shared" si="393"/>
        <v>82888</v>
      </c>
      <c r="AA123" s="619">
        <v>82888</v>
      </c>
      <c r="AB123" s="619"/>
      <c r="AC123" s="618">
        <f t="shared" si="394"/>
        <v>82888</v>
      </c>
      <c r="AD123" s="619">
        <v>82888</v>
      </c>
      <c r="AE123" s="619"/>
      <c r="AF123" s="618">
        <f t="shared" si="395"/>
        <v>82888</v>
      </c>
      <c r="AG123" s="619">
        <v>82888</v>
      </c>
      <c r="AH123" s="619"/>
      <c r="AI123" s="618">
        <f t="shared" si="396"/>
        <v>82888</v>
      </c>
      <c r="AJ123" s="619">
        <v>1080144</v>
      </c>
      <c r="AK123" s="619"/>
      <c r="AL123" s="618">
        <f t="shared" si="397"/>
        <v>1080144</v>
      </c>
      <c r="AM123" s="619">
        <v>1080144</v>
      </c>
      <c r="AN123" s="619"/>
      <c r="AO123" s="618">
        <f t="shared" si="398"/>
        <v>1080144</v>
      </c>
      <c r="AP123" s="619">
        <v>1080144</v>
      </c>
      <c r="AQ123" s="619"/>
      <c r="AR123" s="618">
        <f t="shared" si="399"/>
        <v>1080144</v>
      </c>
      <c r="AS123" s="619">
        <v>2098874</v>
      </c>
      <c r="AT123" s="619"/>
      <c r="AU123" s="618">
        <f t="shared" si="400"/>
        <v>2098874</v>
      </c>
      <c r="AV123" s="619"/>
      <c r="AW123" s="664" t="s">
        <v>1553</v>
      </c>
      <c r="AX123" s="619">
        <v>4971271</v>
      </c>
      <c r="AY123" s="619"/>
      <c r="AZ123" s="618">
        <f t="shared" si="401"/>
        <v>4971271</v>
      </c>
      <c r="BA123" s="619"/>
      <c r="BB123" s="654"/>
      <c r="BC123" s="619">
        <v>1275143</v>
      </c>
      <c r="BD123" s="619"/>
      <c r="BE123" s="618">
        <f t="shared" si="402"/>
        <v>1275143</v>
      </c>
      <c r="BF123" s="619"/>
      <c r="BG123" s="619"/>
      <c r="BH123" s="619">
        <f t="shared" si="405"/>
        <v>8345288</v>
      </c>
      <c r="BI123" s="619">
        <f t="shared" si="406"/>
        <v>0</v>
      </c>
      <c r="BJ123" s="618">
        <f t="shared" si="404"/>
        <v>8345288</v>
      </c>
      <c r="BK123" s="618">
        <f t="shared" si="262"/>
        <v>0</v>
      </c>
      <c r="BL123" s="604"/>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row>
    <row r="124" spans="1:179" s="8" customFormat="1" ht="40.5">
      <c r="A124" s="528"/>
      <c r="B124" s="533" t="s">
        <v>357</v>
      </c>
      <c r="C124" s="639">
        <f t="shared" ref="C124:J124" si="410">SUM(C125:C133)</f>
        <v>188218517.23279598</v>
      </c>
      <c r="D124" s="639">
        <f t="shared" si="410"/>
        <v>188218518.45088801</v>
      </c>
      <c r="E124" s="639">
        <f t="shared" si="410"/>
        <v>43728596</v>
      </c>
      <c r="F124" s="639">
        <f t="shared" si="410"/>
        <v>37606622</v>
      </c>
      <c r="G124" s="639">
        <f t="shared" si="410"/>
        <v>225825140.45088801</v>
      </c>
      <c r="H124" s="639">
        <f t="shared" si="410"/>
        <v>28763690</v>
      </c>
      <c r="I124" s="639">
        <f t="shared" si="410"/>
        <v>1301241</v>
      </c>
      <c r="J124" s="639">
        <f t="shared" si="410"/>
        <v>30064931</v>
      </c>
      <c r="K124" s="639">
        <f t="shared" ref="K124:BJ124" si="411">SUM(K125:K133)</f>
        <v>109191519.98</v>
      </c>
      <c r="L124" s="639">
        <f t="shared" si="411"/>
        <v>1344391</v>
      </c>
      <c r="M124" s="639">
        <f t="shared" si="411"/>
        <v>0</v>
      </c>
      <c r="N124" s="639">
        <f t="shared" si="411"/>
        <v>1344391</v>
      </c>
      <c r="O124" s="639">
        <f t="shared" si="411"/>
        <v>2027461</v>
      </c>
      <c r="P124" s="639">
        <f t="shared" si="411"/>
        <v>0</v>
      </c>
      <c r="Q124" s="639">
        <f t="shared" ref="Q124" si="412">SUM(Q125:Q133)</f>
        <v>2027461</v>
      </c>
      <c r="R124" s="639">
        <f t="shared" si="411"/>
        <v>3905227</v>
      </c>
      <c r="S124" s="639">
        <f t="shared" si="411"/>
        <v>0</v>
      </c>
      <c r="T124" s="639">
        <f t="shared" ref="T124" si="413">SUM(T125:T133)</f>
        <v>3905227</v>
      </c>
      <c r="U124" s="639">
        <f t="shared" si="411"/>
        <v>4684097</v>
      </c>
      <c r="V124" s="639">
        <f t="shared" si="411"/>
        <v>0</v>
      </c>
      <c r="W124" s="639">
        <f t="shared" ref="W124" si="414">SUM(W125:W133)</f>
        <v>4684097</v>
      </c>
      <c r="X124" s="639">
        <f t="shared" si="411"/>
        <v>6271057</v>
      </c>
      <c r="Y124" s="639">
        <f t="shared" si="411"/>
        <v>0</v>
      </c>
      <c r="Z124" s="639">
        <f t="shared" ref="Z124" si="415">SUM(Z125:Z133)</f>
        <v>6271057</v>
      </c>
      <c r="AA124" s="639">
        <f t="shared" si="411"/>
        <v>7574371</v>
      </c>
      <c r="AB124" s="639">
        <f t="shared" si="411"/>
        <v>0</v>
      </c>
      <c r="AC124" s="639">
        <f t="shared" ref="AC124" si="416">SUM(AC125:AC133)</f>
        <v>7574371</v>
      </c>
      <c r="AD124" s="639">
        <f t="shared" si="411"/>
        <v>8601489</v>
      </c>
      <c r="AE124" s="639">
        <f t="shared" si="411"/>
        <v>0</v>
      </c>
      <c r="AF124" s="639">
        <f t="shared" ref="AF124" si="417">SUM(AF125:AF133)</f>
        <v>8601489</v>
      </c>
      <c r="AG124" s="639">
        <f t="shared" si="411"/>
        <v>9202659</v>
      </c>
      <c r="AH124" s="639">
        <f t="shared" si="411"/>
        <v>0</v>
      </c>
      <c r="AI124" s="639">
        <f t="shared" ref="AI124" si="418">SUM(AI125:AI133)</f>
        <v>9202659</v>
      </c>
      <c r="AJ124" s="639">
        <f t="shared" si="411"/>
        <v>11282593</v>
      </c>
      <c r="AK124" s="639">
        <f t="shared" si="411"/>
        <v>0</v>
      </c>
      <c r="AL124" s="639">
        <f t="shared" ref="AL124" si="419">SUM(AL125:AL133)</f>
        <v>11282593</v>
      </c>
      <c r="AM124" s="639">
        <f t="shared" si="411"/>
        <v>11312714</v>
      </c>
      <c r="AN124" s="639">
        <f t="shared" si="411"/>
        <v>0</v>
      </c>
      <c r="AO124" s="639">
        <f t="shared" ref="AO124" si="420">SUM(AO125:AO133)</f>
        <v>11312714</v>
      </c>
      <c r="AP124" s="639">
        <f t="shared" si="411"/>
        <v>11593287</v>
      </c>
      <c r="AQ124" s="639">
        <f t="shared" si="411"/>
        <v>0</v>
      </c>
      <c r="AR124" s="639">
        <f t="shared" ref="AR124" si="421">SUM(AR125:AR133)</f>
        <v>11593287</v>
      </c>
      <c r="AS124" s="639">
        <f t="shared" si="411"/>
        <v>12250982</v>
      </c>
      <c r="AT124" s="639">
        <f t="shared" si="411"/>
        <v>0</v>
      </c>
      <c r="AU124" s="639">
        <f t="shared" ref="AU124:AV124" si="422">SUM(AU125:AU133)</f>
        <v>12250982</v>
      </c>
      <c r="AV124" s="639">
        <f t="shared" si="422"/>
        <v>147573.23000000001</v>
      </c>
      <c r="AW124" s="663"/>
      <c r="AX124" s="639">
        <f t="shared" si="411"/>
        <v>28107579</v>
      </c>
      <c r="AY124" s="639">
        <f t="shared" si="411"/>
        <v>9401655</v>
      </c>
      <c r="AZ124" s="639">
        <f t="shared" si="411"/>
        <v>37509234</v>
      </c>
      <c r="BA124" s="639">
        <f t="shared" si="411"/>
        <v>72142</v>
      </c>
      <c r="BB124" s="663"/>
      <c r="BC124" s="639">
        <f t="shared" si="411"/>
        <v>35774743</v>
      </c>
      <c r="BD124" s="639">
        <f t="shared" si="411"/>
        <v>28204967</v>
      </c>
      <c r="BE124" s="639">
        <f t="shared" si="411"/>
        <v>63979710</v>
      </c>
      <c r="BF124" s="639">
        <f t="shared" si="411"/>
        <v>92823</v>
      </c>
      <c r="BG124" s="639"/>
      <c r="BH124" s="639">
        <f t="shared" si="411"/>
        <v>76133304</v>
      </c>
      <c r="BI124" s="639">
        <f t="shared" si="411"/>
        <v>37606622</v>
      </c>
      <c r="BJ124" s="639">
        <f t="shared" si="411"/>
        <v>113739926</v>
      </c>
      <c r="BK124" s="639">
        <f t="shared" si="262"/>
        <v>312538.23</v>
      </c>
      <c r="BL124" s="606"/>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row>
    <row r="125" spans="1:179" s="9" customFormat="1" ht="146.25" customHeight="1">
      <c r="A125" s="522" t="s">
        <v>80</v>
      </c>
      <c r="B125" s="522" t="s">
        <v>358</v>
      </c>
      <c r="C125" s="618">
        <v>59860278</v>
      </c>
      <c r="D125" s="618">
        <v>59860278</v>
      </c>
      <c r="E125" s="618">
        <v>43728596</v>
      </c>
      <c r="F125" s="698">
        <v>37606622</v>
      </c>
      <c r="G125" s="618">
        <v>97466900</v>
      </c>
      <c r="H125" s="618">
        <v>1421493</v>
      </c>
      <c r="I125" s="618">
        <v>5322556</v>
      </c>
      <c r="J125" s="618">
        <v>6744049</v>
      </c>
      <c r="K125" s="618">
        <v>14481446.07</v>
      </c>
      <c r="L125" s="618">
        <v>31818</v>
      </c>
      <c r="M125" s="618"/>
      <c r="N125" s="618">
        <f t="shared" si="389"/>
        <v>31818</v>
      </c>
      <c r="O125" s="619">
        <v>637747</v>
      </c>
      <c r="P125" s="619"/>
      <c r="Q125" s="618">
        <f t="shared" si="390"/>
        <v>637747</v>
      </c>
      <c r="R125" s="619">
        <v>1471937</v>
      </c>
      <c r="S125" s="619"/>
      <c r="T125" s="618">
        <f t="shared" si="391"/>
        <v>1471937</v>
      </c>
      <c r="U125" s="619">
        <v>1835095</v>
      </c>
      <c r="V125" s="619"/>
      <c r="W125" s="618">
        <f t="shared" si="392"/>
        <v>1835095</v>
      </c>
      <c r="X125" s="619">
        <v>1971118</v>
      </c>
      <c r="Y125" s="619"/>
      <c r="Z125" s="618">
        <f t="shared" si="393"/>
        <v>1971118</v>
      </c>
      <c r="AA125" s="619">
        <v>2033197</v>
      </c>
      <c r="AB125" s="619"/>
      <c r="AC125" s="618">
        <f t="shared" si="394"/>
        <v>2033197</v>
      </c>
      <c r="AD125" s="619">
        <v>2213377</v>
      </c>
      <c r="AE125" s="619"/>
      <c r="AF125" s="618">
        <f t="shared" si="395"/>
        <v>2213377</v>
      </c>
      <c r="AG125" s="619">
        <v>2814547</v>
      </c>
      <c r="AH125" s="619"/>
      <c r="AI125" s="618">
        <f t="shared" si="396"/>
        <v>2814547</v>
      </c>
      <c r="AJ125" s="619">
        <v>3786758</v>
      </c>
      <c r="AK125" s="619"/>
      <c r="AL125" s="618">
        <f t="shared" si="397"/>
        <v>3786758</v>
      </c>
      <c r="AM125" s="619">
        <v>3786758</v>
      </c>
      <c r="AN125" s="619"/>
      <c r="AO125" s="618">
        <f t="shared" si="398"/>
        <v>3786758</v>
      </c>
      <c r="AP125" s="619">
        <v>3835858</v>
      </c>
      <c r="AQ125" s="619"/>
      <c r="AR125" s="618">
        <f t="shared" si="399"/>
        <v>3835858</v>
      </c>
      <c r="AS125" s="619">
        <v>3835858</v>
      </c>
      <c r="AT125" s="619"/>
      <c r="AU125" s="618">
        <f t="shared" si="400"/>
        <v>3835858</v>
      </c>
      <c r="AV125" s="619">
        <v>115143</v>
      </c>
      <c r="AW125" s="664" t="s">
        <v>1384</v>
      </c>
      <c r="AX125" s="619">
        <v>10538035</v>
      </c>
      <c r="AY125" s="619">
        <v>9401655</v>
      </c>
      <c r="AZ125" s="618">
        <f t="shared" si="401"/>
        <v>19939690</v>
      </c>
      <c r="BA125" s="619">
        <v>26411</v>
      </c>
      <c r="BB125" s="654" t="s">
        <v>1385</v>
      </c>
      <c r="BC125" s="619">
        <v>30751611</v>
      </c>
      <c r="BD125" s="619">
        <v>28204967</v>
      </c>
      <c r="BE125" s="618">
        <f t="shared" si="402"/>
        <v>58956578</v>
      </c>
      <c r="BF125" s="619">
        <v>76511</v>
      </c>
      <c r="BG125" s="618" t="s">
        <v>1386</v>
      </c>
      <c r="BH125" s="642">
        <v>45125504</v>
      </c>
      <c r="BI125" s="642">
        <v>37606622</v>
      </c>
      <c r="BJ125" s="618">
        <f t="shared" si="404"/>
        <v>82732126</v>
      </c>
      <c r="BK125" s="618">
        <f t="shared" si="262"/>
        <v>218065</v>
      </c>
      <c r="BL125" s="607"/>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row>
    <row r="126" spans="1:179" s="9" customFormat="1" ht="97.5" hidden="1" outlineLevel="1">
      <c r="A126" s="522" t="s">
        <v>81</v>
      </c>
      <c r="B126" s="522" t="s">
        <v>359</v>
      </c>
      <c r="C126" s="618">
        <v>1968030</v>
      </c>
      <c r="D126" s="618">
        <v>1968030.41502</v>
      </c>
      <c r="E126" s="618">
        <v>0</v>
      </c>
      <c r="F126" s="618">
        <v>0</v>
      </c>
      <c r="G126" s="618">
        <v>1968030.41502</v>
      </c>
      <c r="H126" s="618">
        <v>0</v>
      </c>
      <c r="I126" s="618">
        <v>0</v>
      </c>
      <c r="J126" s="618">
        <v>0</v>
      </c>
      <c r="K126" s="618">
        <v>1741862.77</v>
      </c>
      <c r="L126" s="618"/>
      <c r="M126" s="618"/>
      <c r="N126" s="618">
        <f t="shared" si="389"/>
        <v>0</v>
      </c>
      <c r="O126" s="619">
        <v>0</v>
      </c>
      <c r="P126" s="619"/>
      <c r="Q126" s="618">
        <f t="shared" si="390"/>
        <v>0</v>
      </c>
      <c r="R126" s="619">
        <v>0</v>
      </c>
      <c r="S126" s="619"/>
      <c r="T126" s="618">
        <f t="shared" si="391"/>
        <v>0</v>
      </c>
      <c r="U126" s="619">
        <v>0</v>
      </c>
      <c r="V126" s="619"/>
      <c r="W126" s="618">
        <f t="shared" si="392"/>
        <v>0</v>
      </c>
      <c r="X126" s="619">
        <v>0</v>
      </c>
      <c r="Y126" s="619"/>
      <c r="Z126" s="618">
        <f t="shared" si="393"/>
        <v>0</v>
      </c>
      <c r="AA126" s="619">
        <v>0</v>
      </c>
      <c r="AB126" s="619"/>
      <c r="AC126" s="618">
        <f t="shared" si="394"/>
        <v>0</v>
      </c>
      <c r="AD126" s="619">
        <v>0</v>
      </c>
      <c r="AE126" s="619"/>
      <c r="AF126" s="618">
        <f t="shared" si="395"/>
        <v>0</v>
      </c>
      <c r="AG126" s="619">
        <v>0</v>
      </c>
      <c r="AH126" s="619"/>
      <c r="AI126" s="618">
        <f t="shared" si="396"/>
        <v>0</v>
      </c>
      <c r="AJ126" s="619">
        <v>0</v>
      </c>
      <c r="AK126" s="619"/>
      <c r="AL126" s="618">
        <f t="shared" si="397"/>
        <v>0</v>
      </c>
      <c r="AM126" s="619">
        <v>0</v>
      </c>
      <c r="AN126" s="619"/>
      <c r="AO126" s="618">
        <f t="shared" si="398"/>
        <v>0</v>
      </c>
      <c r="AP126" s="619">
        <v>0</v>
      </c>
      <c r="AQ126" s="619"/>
      <c r="AR126" s="618">
        <f t="shared" si="399"/>
        <v>0</v>
      </c>
      <c r="AS126" s="619">
        <v>0</v>
      </c>
      <c r="AT126" s="619"/>
      <c r="AU126" s="618">
        <f t="shared" si="400"/>
        <v>0</v>
      </c>
      <c r="AV126" s="619"/>
      <c r="AW126" s="654"/>
      <c r="AX126" s="619"/>
      <c r="AY126" s="619"/>
      <c r="AZ126" s="618">
        <f t="shared" si="401"/>
        <v>0</v>
      </c>
      <c r="BA126" s="619"/>
      <c r="BB126" s="654"/>
      <c r="BC126" s="619"/>
      <c r="BD126" s="619"/>
      <c r="BE126" s="618">
        <f t="shared" si="402"/>
        <v>0</v>
      </c>
      <c r="BF126" s="619"/>
      <c r="BG126" s="619"/>
      <c r="BH126" s="665">
        <v>0</v>
      </c>
      <c r="BI126" s="665">
        <v>0</v>
      </c>
      <c r="BJ126" s="618">
        <f t="shared" si="404"/>
        <v>0</v>
      </c>
      <c r="BK126" s="618">
        <f t="shared" si="262"/>
        <v>0</v>
      </c>
      <c r="BL126" s="580" t="s">
        <v>1387</v>
      </c>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row>
    <row r="127" spans="1:179" s="9" customFormat="1" ht="226.5" customHeight="1" collapsed="1">
      <c r="A127" s="522" t="s">
        <v>82</v>
      </c>
      <c r="B127" s="522" t="s">
        <v>360</v>
      </c>
      <c r="C127" s="618">
        <v>85374366.188316002</v>
      </c>
      <c r="D127" s="618">
        <v>85374366.188316002</v>
      </c>
      <c r="E127" s="618">
        <v>0</v>
      </c>
      <c r="F127" s="618">
        <v>0</v>
      </c>
      <c r="G127" s="618">
        <v>85374366.188316002</v>
      </c>
      <c r="H127" s="618">
        <v>25682155</v>
      </c>
      <c r="I127" s="618">
        <v>-4058830</v>
      </c>
      <c r="J127" s="618">
        <v>21623325</v>
      </c>
      <c r="K127" s="618">
        <v>55238268.07</v>
      </c>
      <c r="L127" s="618">
        <v>1287316</v>
      </c>
      <c r="M127" s="618"/>
      <c r="N127" s="618">
        <f t="shared" si="389"/>
        <v>1287316</v>
      </c>
      <c r="O127" s="619">
        <v>1287316</v>
      </c>
      <c r="P127" s="619"/>
      <c r="Q127" s="618">
        <f t="shared" si="390"/>
        <v>1287316</v>
      </c>
      <c r="R127" s="619">
        <v>2083456</v>
      </c>
      <c r="S127" s="619"/>
      <c r="T127" s="618">
        <f t="shared" si="391"/>
        <v>2083456</v>
      </c>
      <c r="U127" s="619">
        <v>2083456</v>
      </c>
      <c r="V127" s="619"/>
      <c r="W127" s="618">
        <f t="shared" si="392"/>
        <v>2083456</v>
      </c>
      <c r="X127" s="619">
        <v>3524555</v>
      </c>
      <c r="Y127" s="619"/>
      <c r="Z127" s="618">
        <f t="shared" si="393"/>
        <v>3524555</v>
      </c>
      <c r="AA127" s="619">
        <v>4765790</v>
      </c>
      <c r="AB127" s="619"/>
      <c r="AC127" s="618">
        <f t="shared" si="394"/>
        <v>4765790</v>
      </c>
      <c r="AD127" s="619">
        <v>5389127</v>
      </c>
      <c r="AE127" s="619"/>
      <c r="AF127" s="618">
        <f t="shared" si="395"/>
        <v>5389127</v>
      </c>
      <c r="AG127" s="619">
        <v>5389127</v>
      </c>
      <c r="AH127" s="619"/>
      <c r="AI127" s="618">
        <f t="shared" si="396"/>
        <v>5389127</v>
      </c>
      <c r="AJ127" s="619">
        <v>6496850</v>
      </c>
      <c r="AK127" s="619"/>
      <c r="AL127" s="618">
        <f t="shared" si="397"/>
        <v>6496850</v>
      </c>
      <c r="AM127" s="619">
        <v>6526971</v>
      </c>
      <c r="AN127" s="619"/>
      <c r="AO127" s="618">
        <f t="shared" si="398"/>
        <v>6526971</v>
      </c>
      <c r="AP127" s="619">
        <v>6758444</v>
      </c>
      <c r="AQ127" s="619"/>
      <c r="AR127" s="618">
        <f t="shared" si="399"/>
        <v>6758444</v>
      </c>
      <c r="AS127" s="619">
        <v>7201147</v>
      </c>
      <c r="AT127" s="619"/>
      <c r="AU127" s="618">
        <f t="shared" si="400"/>
        <v>7201147</v>
      </c>
      <c r="AV127" s="619">
        <v>18722</v>
      </c>
      <c r="AW127" s="664" t="s">
        <v>1388</v>
      </c>
      <c r="AX127" s="619">
        <v>17569544</v>
      </c>
      <c r="AY127" s="619"/>
      <c r="AZ127" s="618">
        <f t="shared" si="401"/>
        <v>17569544</v>
      </c>
      <c r="BA127" s="619">
        <v>45731</v>
      </c>
      <c r="BB127" s="654" t="s">
        <v>1389</v>
      </c>
      <c r="BC127" s="619">
        <v>5023132</v>
      </c>
      <c r="BD127" s="619"/>
      <c r="BE127" s="618">
        <f t="shared" si="402"/>
        <v>5023132</v>
      </c>
      <c r="BF127" s="619">
        <v>16312</v>
      </c>
      <c r="BG127" s="618" t="s">
        <v>1390</v>
      </c>
      <c r="BH127" s="665">
        <v>29793823</v>
      </c>
      <c r="BI127" s="665">
        <v>0</v>
      </c>
      <c r="BJ127" s="618">
        <f t="shared" si="404"/>
        <v>29793823</v>
      </c>
      <c r="BK127" s="618">
        <f t="shared" si="262"/>
        <v>80765</v>
      </c>
      <c r="BL127" s="580" t="s">
        <v>1391</v>
      </c>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row>
    <row r="128" spans="1:179" s="9" customFormat="1" ht="78" hidden="1" outlineLevel="1">
      <c r="A128" s="522" t="s">
        <v>83</v>
      </c>
      <c r="B128" s="522" t="s">
        <v>371</v>
      </c>
      <c r="C128" s="618">
        <v>0</v>
      </c>
      <c r="D128" s="618">
        <v>0</v>
      </c>
      <c r="E128" s="618">
        <v>0</v>
      </c>
      <c r="F128" s="618">
        <v>0</v>
      </c>
      <c r="G128" s="618">
        <v>0</v>
      </c>
      <c r="H128" s="618">
        <v>0</v>
      </c>
      <c r="I128" s="618">
        <v>0</v>
      </c>
      <c r="J128" s="618">
        <v>0</v>
      </c>
      <c r="K128" s="618">
        <v>0</v>
      </c>
      <c r="L128" s="618"/>
      <c r="M128" s="618"/>
      <c r="N128" s="618">
        <f t="shared" si="389"/>
        <v>0</v>
      </c>
      <c r="O128" s="619">
        <v>0</v>
      </c>
      <c r="P128" s="619"/>
      <c r="Q128" s="618">
        <f t="shared" si="390"/>
        <v>0</v>
      </c>
      <c r="R128" s="619">
        <v>0</v>
      </c>
      <c r="S128" s="619"/>
      <c r="T128" s="618">
        <f t="shared" si="391"/>
        <v>0</v>
      </c>
      <c r="U128" s="619">
        <v>0</v>
      </c>
      <c r="V128" s="619"/>
      <c r="W128" s="618">
        <f t="shared" si="392"/>
        <v>0</v>
      </c>
      <c r="X128" s="619">
        <v>0</v>
      </c>
      <c r="Y128" s="619"/>
      <c r="Z128" s="618">
        <f t="shared" si="393"/>
        <v>0</v>
      </c>
      <c r="AA128" s="619">
        <v>0</v>
      </c>
      <c r="AB128" s="619"/>
      <c r="AC128" s="618">
        <f t="shared" si="394"/>
        <v>0</v>
      </c>
      <c r="AD128" s="619">
        <v>0</v>
      </c>
      <c r="AE128" s="619"/>
      <c r="AF128" s="618">
        <f t="shared" si="395"/>
        <v>0</v>
      </c>
      <c r="AG128" s="619">
        <v>0</v>
      </c>
      <c r="AH128" s="619"/>
      <c r="AI128" s="618">
        <f t="shared" si="396"/>
        <v>0</v>
      </c>
      <c r="AJ128" s="619">
        <v>0</v>
      </c>
      <c r="AK128" s="619"/>
      <c r="AL128" s="618">
        <f t="shared" si="397"/>
        <v>0</v>
      </c>
      <c r="AM128" s="619">
        <v>0</v>
      </c>
      <c r="AN128" s="619"/>
      <c r="AO128" s="618">
        <f t="shared" si="398"/>
        <v>0</v>
      </c>
      <c r="AP128" s="619">
        <v>0</v>
      </c>
      <c r="AQ128" s="619"/>
      <c r="AR128" s="618">
        <f t="shared" si="399"/>
        <v>0</v>
      </c>
      <c r="AS128" s="619">
        <v>0</v>
      </c>
      <c r="AT128" s="619"/>
      <c r="AU128" s="618">
        <f t="shared" si="400"/>
        <v>0</v>
      </c>
      <c r="AV128" s="619"/>
      <c r="AW128" s="654"/>
      <c r="AX128" s="619"/>
      <c r="AY128" s="619"/>
      <c r="AZ128" s="618">
        <f t="shared" si="401"/>
        <v>0</v>
      </c>
      <c r="BA128" s="619"/>
      <c r="BB128" s="654"/>
      <c r="BC128" s="619"/>
      <c r="BD128" s="619"/>
      <c r="BE128" s="618">
        <f t="shared" si="402"/>
        <v>0</v>
      </c>
      <c r="BF128" s="619"/>
      <c r="BG128" s="619"/>
      <c r="BH128" s="642">
        <v>0</v>
      </c>
      <c r="BI128" s="642">
        <v>0</v>
      </c>
      <c r="BJ128" s="618">
        <f t="shared" si="404"/>
        <v>0</v>
      </c>
      <c r="BK128" s="618">
        <f t="shared" si="262"/>
        <v>0</v>
      </c>
      <c r="BL128" s="607" t="s">
        <v>1450</v>
      </c>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row>
    <row r="129" spans="1:179" s="9" customFormat="1" ht="78" collapsed="1">
      <c r="A129" s="522" t="s">
        <v>84</v>
      </c>
      <c r="B129" s="522" t="s">
        <v>361</v>
      </c>
      <c r="C129" s="618">
        <v>18173071</v>
      </c>
      <c r="D129" s="618">
        <v>18173071.394604001</v>
      </c>
      <c r="E129" s="618">
        <v>0</v>
      </c>
      <c r="F129" s="618">
        <v>0</v>
      </c>
      <c r="G129" s="618">
        <v>18173071.394604001</v>
      </c>
      <c r="H129" s="618">
        <v>546148</v>
      </c>
      <c r="I129" s="618">
        <v>-6163</v>
      </c>
      <c r="J129" s="618">
        <v>539985</v>
      </c>
      <c r="K129" s="618">
        <v>17416782.879999999</v>
      </c>
      <c r="L129" s="618"/>
      <c r="M129" s="618"/>
      <c r="N129" s="618">
        <f t="shared" si="389"/>
        <v>0</v>
      </c>
      <c r="O129" s="619">
        <v>0</v>
      </c>
      <c r="P129" s="619"/>
      <c r="Q129" s="618">
        <f t="shared" si="390"/>
        <v>0</v>
      </c>
      <c r="R129" s="619">
        <v>0</v>
      </c>
      <c r="S129" s="619"/>
      <c r="T129" s="618">
        <f t="shared" si="391"/>
        <v>0</v>
      </c>
      <c r="U129" s="619">
        <v>0</v>
      </c>
      <c r="V129" s="619"/>
      <c r="W129" s="618">
        <f t="shared" si="392"/>
        <v>0</v>
      </c>
      <c r="X129" s="619">
        <v>0</v>
      </c>
      <c r="Y129" s="619"/>
      <c r="Z129" s="618">
        <f t="shared" si="393"/>
        <v>0</v>
      </c>
      <c r="AA129" s="619">
        <v>0</v>
      </c>
      <c r="AB129" s="619"/>
      <c r="AC129" s="618">
        <f t="shared" si="394"/>
        <v>0</v>
      </c>
      <c r="AD129" s="619">
        <v>135062</v>
      </c>
      <c r="AE129" s="619"/>
      <c r="AF129" s="618">
        <f t="shared" si="395"/>
        <v>135062</v>
      </c>
      <c r="AG129" s="619">
        <v>135062</v>
      </c>
      <c r="AH129" s="619"/>
      <c r="AI129" s="618">
        <f t="shared" si="396"/>
        <v>135062</v>
      </c>
      <c r="AJ129" s="619">
        <v>135062</v>
      </c>
      <c r="AK129" s="619"/>
      <c r="AL129" s="618">
        <f t="shared" si="397"/>
        <v>135062</v>
      </c>
      <c r="AM129" s="619">
        <v>135062</v>
      </c>
      <c r="AN129" s="619"/>
      <c r="AO129" s="618">
        <f t="shared" si="398"/>
        <v>135062</v>
      </c>
      <c r="AP129" s="619">
        <v>135062</v>
      </c>
      <c r="AQ129" s="619"/>
      <c r="AR129" s="618">
        <f t="shared" si="399"/>
        <v>135062</v>
      </c>
      <c r="AS129" s="619">
        <v>347215</v>
      </c>
      <c r="AT129" s="619"/>
      <c r="AU129" s="618">
        <f t="shared" si="400"/>
        <v>347215</v>
      </c>
      <c r="AV129" s="619"/>
      <c r="AW129" s="654" t="s">
        <v>1392</v>
      </c>
      <c r="AX129" s="619"/>
      <c r="AY129" s="619"/>
      <c r="AZ129" s="618">
        <f t="shared" si="401"/>
        <v>0</v>
      </c>
      <c r="BA129" s="619"/>
      <c r="BB129" s="654"/>
      <c r="BC129" s="619"/>
      <c r="BD129" s="619"/>
      <c r="BE129" s="618">
        <f t="shared" si="402"/>
        <v>0</v>
      </c>
      <c r="BF129" s="619"/>
      <c r="BG129" s="618"/>
      <c r="BH129" s="642">
        <v>347215</v>
      </c>
      <c r="BI129" s="642">
        <v>0</v>
      </c>
      <c r="BJ129" s="618">
        <f t="shared" si="404"/>
        <v>347215</v>
      </c>
      <c r="BK129" s="618">
        <f t="shared" si="262"/>
        <v>0</v>
      </c>
      <c r="BL129" s="608" t="s">
        <v>1393</v>
      </c>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row>
    <row r="130" spans="1:179" s="9" customFormat="1" ht="78">
      <c r="A130" s="522" t="s">
        <v>85</v>
      </c>
      <c r="B130" s="522" t="s">
        <v>363</v>
      </c>
      <c r="C130" s="618">
        <v>2226541.4047320001</v>
      </c>
      <c r="D130" s="618">
        <v>2226541.4047320001</v>
      </c>
      <c r="E130" s="618">
        <v>0</v>
      </c>
      <c r="F130" s="618">
        <v>0</v>
      </c>
      <c r="G130" s="618">
        <v>2226541.4047320001</v>
      </c>
      <c r="H130" s="618">
        <v>667093</v>
      </c>
      <c r="I130" s="618">
        <v>-454601</v>
      </c>
      <c r="J130" s="618">
        <v>212492</v>
      </c>
      <c r="K130" s="618">
        <v>1998309.12</v>
      </c>
      <c r="L130" s="618"/>
      <c r="M130" s="618"/>
      <c r="N130" s="618">
        <f t="shared" si="389"/>
        <v>0</v>
      </c>
      <c r="O130" s="619">
        <v>0</v>
      </c>
      <c r="P130" s="619"/>
      <c r="Q130" s="618">
        <f t="shared" si="390"/>
        <v>0</v>
      </c>
      <c r="R130" s="619">
        <v>55181</v>
      </c>
      <c r="S130" s="619"/>
      <c r="T130" s="618">
        <f t="shared" si="391"/>
        <v>55181</v>
      </c>
      <c r="U130" s="619">
        <v>167553</v>
      </c>
      <c r="V130" s="619"/>
      <c r="W130" s="618">
        <f t="shared" si="392"/>
        <v>167553</v>
      </c>
      <c r="X130" s="619">
        <v>167553</v>
      </c>
      <c r="Y130" s="619"/>
      <c r="Z130" s="618">
        <f t="shared" si="393"/>
        <v>167553</v>
      </c>
      <c r="AA130" s="619">
        <v>167553</v>
      </c>
      <c r="AB130" s="619"/>
      <c r="AC130" s="618">
        <f t="shared" si="394"/>
        <v>167553</v>
      </c>
      <c r="AD130" s="619">
        <v>167553</v>
      </c>
      <c r="AE130" s="619"/>
      <c r="AF130" s="618">
        <f t="shared" si="395"/>
        <v>167553</v>
      </c>
      <c r="AG130" s="619">
        <v>167553</v>
      </c>
      <c r="AH130" s="619"/>
      <c r="AI130" s="618">
        <f t="shared" si="396"/>
        <v>167553</v>
      </c>
      <c r="AJ130" s="619">
        <v>167553</v>
      </c>
      <c r="AK130" s="619"/>
      <c r="AL130" s="618">
        <f t="shared" si="397"/>
        <v>167553</v>
      </c>
      <c r="AM130" s="619">
        <v>167553</v>
      </c>
      <c r="AN130" s="619"/>
      <c r="AO130" s="618">
        <f t="shared" si="398"/>
        <v>167553</v>
      </c>
      <c r="AP130" s="619">
        <v>167553</v>
      </c>
      <c r="AQ130" s="619"/>
      <c r="AR130" s="618">
        <f t="shared" si="399"/>
        <v>167553</v>
      </c>
      <c r="AS130" s="619">
        <v>170392</v>
      </c>
      <c r="AT130" s="619"/>
      <c r="AU130" s="618">
        <f t="shared" si="400"/>
        <v>170392</v>
      </c>
      <c r="AV130" s="619">
        <v>1184.23</v>
      </c>
      <c r="AW130" s="654"/>
      <c r="AX130" s="619"/>
      <c r="AY130" s="619"/>
      <c r="AZ130" s="618">
        <f t="shared" si="401"/>
        <v>0</v>
      </c>
      <c r="BA130" s="619"/>
      <c r="BB130" s="654"/>
      <c r="BC130" s="619"/>
      <c r="BD130" s="619"/>
      <c r="BE130" s="618">
        <f t="shared" si="402"/>
        <v>0</v>
      </c>
      <c r="BF130" s="619"/>
      <c r="BG130" s="618"/>
      <c r="BH130" s="642">
        <v>170392</v>
      </c>
      <c r="BI130" s="642">
        <v>0</v>
      </c>
      <c r="BJ130" s="618">
        <f t="shared" si="404"/>
        <v>170392</v>
      </c>
      <c r="BK130" s="618">
        <f t="shared" si="262"/>
        <v>1184.23</v>
      </c>
      <c r="BL130" s="580" t="s">
        <v>1394</v>
      </c>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row>
    <row r="131" spans="1:179" s="9" customFormat="1" ht="78">
      <c r="A131" s="535" t="s">
        <v>86</v>
      </c>
      <c r="B131" s="522" t="s">
        <v>362</v>
      </c>
      <c r="C131" s="618">
        <v>5716032</v>
      </c>
      <c r="D131" s="618">
        <v>5716032.1395239998</v>
      </c>
      <c r="E131" s="618">
        <v>0</v>
      </c>
      <c r="F131" s="618">
        <v>0</v>
      </c>
      <c r="G131" s="618">
        <v>5716032.1395239998</v>
      </c>
      <c r="H131" s="618">
        <v>194368</v>
      </c>
      <c r="I131" s="618">
        <v>-7358</v>
      </c>
      <c r="J131" s="618">
        <v>187010</v>
      </c>
      <c r="K131" s="618">
        <v>5302387.0299999993</v>
      </c>
      <c r="L131" s="618"/>
      <c r="M131" s="618"/>
      <c r="N131" s="618">
        <f t="shared" si="389"/>
        <v>0</v>
      </c>
      <c r="O131" s="619">
        <v>0</v>
      </c>
      <c r="P131" s="619"/>
      <c r="Q131" s="618">
        <f t="shared" si="390"/>
        <v>0</v>
      </c>
      <c r="R131" s="619">
        <v>88633</v>
      </c>
      <c r="S131" s="619"/>
      <c r="T131" s="618">
        <f t="shared" si="391"/>
        <v>88633</v>
      </c>
      <c r="U131" s="619">
        <v>88633</v>
      </c>
      <c r="V131" s="619"/>
      <c r="W131" s="618">
        <f t="shared" si="392"/>
        <v>88633</v>
      </c>
      <c r="X131" s="619">
        <v>98471</v>
      </c>
      <c r="Y131" s="619"/>
      <c r="Z131" s="618">
        <f t="shared" si="393"/>
        <v>98471</v>
      </c>
      <c r="AA131" s="619">
        <v>98471</v>
      </c>
      <c r="AB131" s="619"/>
      <c r="AC131" s="618">
        <f t="shared" si="394"/>
        <v>98471</v>
      </c>
      <c r="AD131" s="619">
        <v>187010</v>
      </c>
      <c r="AE131" s="619"/>
      <c r="AF131" s="618">
        <f t="shared" si="395"/>
        <v>187010</v>
      </c>
      <c r="AG131" s="619">
        <v>187010</v>
      </c>
      <c r="AH131" s="619"/>
      <c r="AI131" s="618">
        <f t="shared" si="396"/>
        <v>187010</v>
      </c>
      <c r="AJ131" s="619">
        <v>187010</v>
      </c>
      <c r="AK131" s="619"/>
      <c r="AL131" s="618">
        <f t="shared" si="397"/>
        <v>187010</v>
      </c>
      <c r="AM131" s="619">
        <v>187010</v>
      </c>
      <c r="AN131" s="619"/>
      <c r="AO131" s="618">
        <f t="shared" si="398"/>
        <v>187010</v>
      </c>
      <c r="AP131" s="619">
        <v>187010</v>
      </c>
      <c r="AQ131" s="619"/>
      <c r="AR131" s="618">
        <f t="shared" si="399"/>
        <v>187010</v>
      </c>
      <c r="AS131" s="619">
        <v>187010</v>
      </c>
      <c r="AT131" s="619"/>
      <c r="AU131" s="618">
        <f t="shared" si="400"/>
        <v>187010</v>
      </c>
      <c r="AV131" s="619">
        <v>12524</v>
      </c>
      <c r="AW131" s="654"/>
      <c r="AX131" s="619"/>
      <c r="AY131" s="619"/>
      <c r="AZ131" s="618">
        <f t="shared" si="401"/>
        <v>0</v>
      </c>
      <c r="BA131" s="619"/>
      <c r="BB131" s="654"/>
      <c r="BC131" s="619"/>
      <c r="BD131" s="619"/>
      <c r="BE131" s="618">
        <f t="shared" si="402"/>
        <v>0</v>
      </c>
      <c r="BF131" s="619"/>
      <c r="BG131" s="618"/>
      <c r="BH131" s="642">
        <v>187010</v>
      </c>
      <c r="BI131" s="642">
        <v>0</v>
      </c>
      <c r="BJ131" s="618">
        <f t="shared" si="404"/>
        <v>187010</v>
      </c>
      <c r="BK131" s="618">
        <f t="shared" si="262"/>
        <v>12524</v>
      </c>
      <c r="BL131" s="580" t="s">
        <v>1395</v>
      </c>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row>
    <row r="132" spans="1:179" s="9" customFormat="1" ht="136.5" hidden="1" outlineLevel="1">
      <c r="A132" s="535" t="s">
        <v>87</v>
      </c>
      <c r="B132" s="522" t="s">
        <v>364</v>
      </c>
      <c r="C132" s="618">
        <v>2700198</v>
      </c>
      <c r="D132" s="618">
        <v>2700198.2689439999</v>
      </c>
      <c r="E132" s="618">
        <v>0</v>
      </c>
      <c r="F132" s="618">
        <v>0</v>
      </c>
      <c r="G132" s="618">
        <v>2700198.2689439999</v>
      </c>
      <c r="H132" s="618">
        <v>0</v>
      </c>
      <c r="I132" s="618">
        <v>0</v>
      </c>
      <c r="J132" s="618">
        <v>0</v>
      </c>
      <c r="K132" s="618">
        <v>2631643</v>
      </c>
      <c r="L132" s="618"/>
      <c r="M132" s="618"/>
      <c r="N132" s="618">
        <f t="shared" si="389"/>
        <v>0</v>
      </c>
      <c r="O132" s="619">
        <v>0</v>
      </c>
      <c r="P132" s="619"/>
      <c r="Q132" s="618">
        <f t="shared" si="390"/>
        <v>0</v>
      </c>
      <c r="R132" s="619">
        <v>0</v>
      </c>
      <c r="S132" s="619"/>
      <c r="T132" s="618">
        <f t="shared" si="391"/>
        <v>0</v>
      </c>
      <c r="U132" s="619">
        <v>0</v>
      </c>
      <c r="V132" s="619"/>
      <c r="W132" s="618">
        <f t="shared" si="392"/>
        <v>0</v>
      </c>
      <c r="X132" s="619">
        <v>0</v>
      </c>
      <c r="Y132" s="619"/>
      <c r="Z132" s="618">
        <f t="shared" si="393"/>
        <v>0</v>
      </c>
      <c r="AA132" s="619">
        <v>0</v>
      </c>
      <c r="AB132" s="619"/>
      <c r="AC132" s="618">
        <f t="shared" si="394"/>
        <v>0</v>
      </c>
      <c r="AD132" s="619">
        <v>0</v>
      </c>
      <c r="AE132" s="619"/>
      <c r="AF132" s="618">
        <f t="shared" si="395"/>
        <v>0</v>
      </c>
      <c r="AG132" s="619">
        <v>0</v>
      </c>
      <c r="AH132" s="619"/>
      <c r="AI132" s="618">
        <f t="shared" si="396"/>
        <v>0</v>
      </c>
      <c r="AJ132" s="619">
        <v>0</v>
      </c>
      <c r="AK132" s="619"/>
      <c r="AL132" s="618">
        <f t="shared" si="397"/>
        <v>0</v>
      </c>
      <c r="AM132" s="619">
        <v>0</v>
      </c>
      <c r="AN132" s="619"/>
      <c r="AO132" s="618">
        <f t="shared" si="398"/>
        <v>0</v>
      </c>
      <c r="AP132" s="619">
        <v>0</v>
      </c>
      <c r="AQ132" s="619"/>
      <c r="AR132" s="618">
        <f t="shared" si="399"/>
        <v>0</v>
      </c>
      <c r="AS132" s="619">
        <v>0</v>
      </c>
      <c r="AT132" s="619"/>
      <c r="AU132" s="618">
        <f t="shared" si="400"/>
        <v>0</v>
      </c>
      <c r="AV132" s="619"/>
      <c r="AW132" s="654" t="s">
        <v>1396</v>
      </c>
      <c r="AX132" s="619"/>
      <c r="AY132" s="619"/>
      <c r="AZ132" s="618">
        <f t="shared" si="401"/>
        <v>0</v>
      </c>
      <c r="BA132" s="619"/>
      <c r="BB132" s="654"/>
      <c r="BC132" s="619"/>
      <c r="BD132" s="619"/>
      <c r="BE132" s="618">
        <f t="shared" si="402"/>
        <v>0</v>
      </c>
      <c r="BF132" s="619"/>
      <c r="BG132" s="619"/>
      <c r="BH132" s="642">
        <v>0</v>
      </c>
      <c r="BI132" s="642">
        <v>0</v>
      </c>
      <c r="BJ132" s="618">
        <f t="shared" si="404"/>
        <v>0</v>
      </c>
      <c r="BK132" s="618">
        <f t="shared" si="262"/>
        <v>0</v>
      </c>
      <c r="BL132" s="605"/>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row>
    <row r="133" spans="1:179" s="9" customFormat="1" ht="64.5" customHeight="1" collapsed="1">
      <c r="A133" s="522" t="s">
        <v>88</v>
      </c>
      <c r="B133" s="522" t="s">
        <v>365</v>
      </c>
      <c r="C133" s="618">
        <v>12200000.639748</v>
      </c>
      <c r="D133" s="618">
        <v>12200000.639748</v>
      </c>
      <c r="E133" s="618">
        <v>0</v>
      </c>
      <c r="F133" s="618">
        <v>0</v>
      </c>
      <c r="G133" s="618">
        <v>12200000.639748</v>
      </c>
      <c r="H133" s="618">
        <v>252433</v>
      </c>
      <c r="I133" s="618">
        <v>505637</v>
      </c>
      <c r="J133" s="618">
        <v>758070</v>
      </c>
      <c r="K133" s="618">
        <v>10380821.040000001</v>
      </c>
      <c r="L133" s="618">
        <v>25257</v>
      </c>
      <c r="M133" s="618"/>
      <c r="N133" s="618">
        <f t="shared" si="389"/>
        <v>25257</v>
      </c>
      <c r="O133" s="619">
        <v>102398</v>
      </c>
      <c r="P133" s="619"/>
      <c r="Q133" s="618">
        <f t="shared" si="390"/>
        <v>102398</v>
      </c>
      <c r="R133" s="619">
        <v>206020</v>
      </c>
      <c r="S133" s="619"/>
      <c r="T133" s="618">
        <f t="shared" si="391"/>
        <v>206020</v>
      </c>
      <c r="U133" s="619">
        <v>509360</v>
      </c>
      <c r="V133" s="619"/>
      <c r="W133" s="618">
        <f t="shared" si="392"/>
        <v>509360</v>
      </c>
      <c r="X133" s="619">
        <v>509360</v>
      </c>
      <c r="Y133" s="619"/>
      <c r="Z133" s="618">
        <f t="shared" si="393"/>
        <v>509360</v>
      </c>
      <c r="AA133" s="619">
        <v>509360</v>
      </c>
      <c r="AB133" s="619"/>
      <c r="AC133" s="618">
        <f t="shared" si="394"/>
        <v>509360</v>
      </c>
      <c r="AD133" s="619">
        <v>509360</v>
      </c>
      <c r="AE133" s="619"/>
      <c r="AF133" s="618">
        <f t="shared" si="395"/>
        <v>509360</v>
      </c>
      <c r="AG133" s="619">
        <v>509360</v>
      </c>
      <c r="AH133" s="619"/>
      <c r="AI133" s="618">
        <f t="shared" si="396"/>
        <v>509360</v>
      </c>
      <c r="AJ133" s="619">
        <v>509360</v>
      </c>
      <c r="AK133" s="619"/>
      <c r="AL133" s="618">
        <f t="shared" si="397"/>
        <v>509360</v>
      </c>
      <c r="AM133" s="619">
        <v>509360</v>
      </c>
      <c r="AN133" s="619"/>
      <c r="AO133" s="618">
        <f t="shared" si="398"/>
        <v>509360</v>
      </c>
      <c r="AP133" s="619">
        <v>509360</v>
      </c>
      <c r="AQ133" s="619"/>
      <c r="AR133" s="618">
        <f t="shared" si="399"/>
        <v>509360</v>
      </c>
      <c r="AS133" s="619">
        <v>509360</v>
      </c>
      <c r="AT133" s="619"/>
      <c r="AU133" s="618">
        <f t="shared" si="400"/>
        <v>509360</v>
      </c>
      <c r="AV133" s="619"/>
      <c r="AW133" s="654" t="s">
        <v>1445</v>
      </c>
      <c r="AX133" s="619"/>
      <c r="AY133" s="619"/>
      <c r="AZ133" s="618">
        <f t="shared" si="401"/>
        <v>0</v>
      </c>
      <c r="BA133" s="619"/>
      <c r="BB133" s="654"/>
      <c r="BC133" s="619"/>
      <c r="BD133" s="619"/>
      <c r="BE133" s="618">
        <f t="shared" si="402"/>
        <v>0</v>
      </c>
      <c r="BF133" s="619"/>
      <c r="BG133" s="619"/>
      <c r="BH133" s="642">
        <v>509360</v>
      </c>
      <c r="BI133" s="642">
        <v>0</v>
      </c>
      <c r="BJ133" s="618">
        <f t="shared" si="404"/>
        <v>509360</v>
      </c>
      <c r="BK133" s="618">
        <f t="shared" si="262"/>
        <v>0</v>
      </c>
      <c r="BL133" s="605" t="s">
        <v>1446</v>
      </c>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row>
    <row r="134" spans="1:179" s="5" customFormat="1">
      <c r="A134" s="523"/>
      <c r="B134" s="524" t="s">
        <v>366</v>
      </c>
      <c r="C134" s="621">
        <f t="shared" ref="C134:J134" si="423">C135+C137</f>
        <v>58437446.281979993</v>
      </c>
      <c r="D134" s="621">
        <f t="shared" si="423"/>
        <v>56642559.363204002</v>
      </c>
      <c r="E134" s="621">
        <f t="shared" si="423"/>
        <v>0</v>
      </c>
      <c r="F134" s="621">
        <f t="shared" si="423"/>
        <v>0</v>
      </c>
      <c r="G134" s="621">
        <f t="shared" si="423"/>
        <v>56642559.363204002</v>
      </c>
      <c r="H134" s="621">
        <f t="shared" si="423"/>
        <v>9490799.0041866656</v>
      </c>
      <c r="I134" s="621">
        <f t="shared" ref="I134" si="424">I135+I137</f>
        <v>856266.66374400235</v>
      </c>
      <c r="J134" s="621">
        <f t="shared" si="423"/>
        <v>10347065.667930668</v>
      </c>
      <c r="K134" s="621">
        <f t="shared" ref="K134:M134" si="425">K135+K137</f>
        <v>26527824.710000001</v>
      </c>
      <c r="L134" s="621">
        <f t="shared" si="425"/>
        <v>6989.81</v>
      </c>
      <c r="M134" s="621">
        <f t="shared" si="425"/>
        <v>0</v>
      </c>
      <c r="N134" s="621">
        <f t="shared" ref="N134" si="426">N135+N137</f>
        <v>6989.81</v>
      </c>
      <c r="O134" s="621">
        <f t="shared" ref="O134:T134" si="427">O135+O137</f>
        <v>439958.82999999996</v>
      </c>
      <c r="P134" s="621">
        <f t="shared" si="427"/>
        <v>0</v>
      </c>
      <c r="Q134" s="621">
        <f t="shared" si="427"/>
        <v>439958.82999999996</v>
      </c>
      <c r="R134" s="621">
        <f t="shared" si="427"/>
        <v>1869574.2599999998</v>
      </c>
      <c r="S134" s="621">
        <f t="shared" si="427"/>
        <v>0</v>
      </c>
      <c r="T134" s="621">
        <f t="shared" si="427"/>
        <v>1869574.2599999998</v>
      </c>
      <c r="U134" s="621">
        <f t="shared" ref="U134:BI134" si="428">U135+U137</f>
        <v>1982623.27</v>
      </c>
      <c r="V134" s="621">
        <f t="shared" si="428"/>
        <v>0</v>
      </c>
      <c r="W134" s="621">
        <f t="shared" si="428"/>
        <v>1982623.27</v>
      </c>
      <c r="X134" s="621">
        <f t="shared" si="428"/>
        <v>2280170.4500000002</v>
      </c>
      <c r="Y134" s="621">
        <f t="shared" si="428"/>
        <v>0</v>
      </c>
      <c r="Z134" s="621">
        <f t="shared" si="428"/>
        <v>2280170.4500000002</v>
      </c>
      <c r="AA134" s="621">
        <f t="shared" si="428"/>
        <v>3745492.38</v>
      </c>
      <c r="AB134" s="621">
        <f t="shared" si="428"/>
        <v>0</v>
      </c>
      <c r="AC134" s="621">
        <f t="shared" si="428"/>
        <v>3745492.38</v>
      </c>
      <c r="AD134" s="621">
        <f t="shared" si="428"/>
        <v>3745492.38</v>
      </c>
      <c r="AE134" s="621">
        <f t="shared" si="428"/>
        <v>0</v>
      </c>
      <c r="AF134" s="621">
        <f t="shared" si="428"/>
        <v>3745492.38</v>
      </c>
      <c r="AG134" s="621">
        <f t="shared" si="428"/>
        <v>4201735.0199999996</v>
      </c>
      <c r="AH134" s="621">
        <f t="shared" si="428"/>
        <v>0</v>
      </c>
      <c r="AI134" s="621">
        <f t="shared" si="428"/>
        <v>4201735.0199999996</v>
      </c>
      <c r="AJ134" s="621">
        <f t="shared" si="428"/>
        <v>5707610.9699999997</v>
      </c>
      <c r="AK134" s="621">
        <f t="shared" si="428"/>
        <v>0</v>
      </c>
      <c r="AL134" s="621">
        <f t="shared" si="428"/>
        <v>5707610.9699999997</v>
      </c>
      <c r="AM134" s="621">
        <f t="shared" si="428"/>
        <v>5797223.75</v>
      </c>
      <c r="AN134" s="621">
        <f t="shared" si="428"/>
        <v>0</v>
      </c>
      <c r="AO134" s="621">
        <f t="shared" si="428"/>
        <v>5797223.75</v>
      </c>
      <c r="AP134" s="621">
        <f t="shared" si="428"/>
        <v>6196425.2800000003</v>
      </c>
      <c r="AQ134" s="621">
        <f t="shared" si="428"/>
        <v>0</v>
      </c>
      <c r="AR134" s="621">
        <f t="shared" si="428"/>
        <v>6196425.2800000003</v>
      </c>
      <c r="AS134" s="621">
        <f t="shared" si="428"/>
        <v>7806244.9000000004</v>
      </c>
      <c r="AT134" s="621">
        <f t="shared" si="428"/>
        <v>0</v>
      </c>
      <c r="AU134" s="621">
        <f t="shared" si="428"/>
        <v>7806244.9000000004</v>
      </c>
      <c r="AV134" s="621">
        <f t="shared" ref="AV134" si="429">AV135+AV137</f>
        <v>23418.734700000001</v>
      </c>
      <c r="AW134" s="653"/>
      <c r="AX134" s="621">
        <f t="shared" si="428"/>
        <v>10099688.41</v>
      </c>
      <c r="AY134" s="621">
        <f t="shared" si="428"/>
        <v>0</v>
      </c>
      <c r="AZ134" s="621">
        <f t="shared" ref="AZ134:BA134" si="430">AZ135+AZ137</f>
        <v>10099688.41</v>
      </c>
      <c r="BA134" s="621">
        <f t="shared" si="430"/>
        <v>30299.06523</v>
      </c>
      <c r="BB134" s="653"/>
      <c r="BC134" s="621">
        <f t="shared" si="428"/>
        <v>11858026.74</v>
      </c>
      <c r="BD134" s="621">
        <f t="shared" si="428"/>
        <v>0</v>
      </c>
      <c r="BE134" s="621">
        <f t="shared" ref="BE134:BF134" si="431">BE135+BE137</f>
        <v>11858026.74</v>
      </c>
      <c r="BF134" s="621">
        <f t="shared" si="431"/>
        <v>35842.761899999998</v>
      </c>
      <c r="BG134" s="621"/>
      <c r="BH134" s="621">
        <f t="shared" si="428"/>
        <v>29763960.049999997</v>
      </c>
      <c r="BI134" s="621">
        <f t="shared" si="428"/>
        <v>0</v>
      </c>
      <c r="BJ134" s="621">
        <f t="shared" ref="BJ134" si="432">BJ135+BJ137</f>
        <v>29763960.049999997</v>
      </c>
      <c r="BK134" s="621">
        <f t="shared" si="262"/>
        <v>89560.561829999991</v>
      </c>
      <c r="BL134" s="599"/>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row>
    <row r="135" spans="1:179" s="8" customFormat="1">
      <c r="A135" s="528"/>
      <c r="B135" s="529" t="s">
        <v>367</v>
      </c>
      <c r="C135" s="638">
        <f t="shared" ref="C135:J135" si="433">C136</f>
        <v>17948876.215799998</v>
      </c>
      <c r="D135" s="638">
        <f t="shared" si="433"/>
        <v>16153989.297024</v>
      </c>
      <c r="E135" s="638">
        <f t="shared" si="433"/>
        <v>0</v>
      </c>
      <c r="F135" s="638">
        <f t="shared" si="433"/>
        <v>0</v>
      </c>
      <c r="G135" s="638">
        <f t="shared" si="433"/>
        <v>16153989.297024</v>
      </c>
      <c r="H135" s="638">
        <f t="shared" si="433"/>
        <v>2706697.3212640728</v>
      </c>
      <c r="I135" s="638">
        <f t="shared" si="433"/>
        <v>244200.16523595442</v>
      </c>
      <c r="J135" s="638">
        <f t="shared" si="433"/>
        <v>2950897.4865000271</v>
      </c>
      <c r="K135" s="638">
        <f t="shared" ref="K135:BJ135" si="434">K136</f>
        <v>8098483.3300000001</v>
      </c>
      <c r="L135" s="638">
        <f t="shared" si="434"/>
        <v>0</v>
      </c>
      <c r="M135" s="638">
        <f t="shared" si="434"/>
        <v>0</v>
      </c>
      <c r="N135" s="638">
        <f t="shared" si="434"/>
        <v>0</v>
      </c>
      <c r="O135" s="638">
        <f t="shared" si="434"/>
        <v>99892.11</v>
      </c>
      <c r="P135" s="638">
        <f t="shared" si="434"/>
        <v>0</v>
      </c>
      <c r="Q135" s="638">
        <f t="shared" si="434"/>
        <v>99892.11</v>
      </c>
      <c r="R135" s="638">
        <f t="shared" si="434"/>
        <v>542022.84</v>
      </c>
      <c r="S135" s="638">
        <f t="shared" si="434"/>
        <v>0</v>
      </c>
      <c r="T135" s="638">
        <f t="shared" si="434"/>
        <v>542022.84</v>
      </c>
      <c r="U135" s="638">
        <f t="shared" si="434"/>
        <v>542022.84</v>
      </c>
      <c r="V135" s="638">
        <f t="shared" si="434"/>
        <v>0</v>
      </c>
      <c r="W135" s="638">
        <f t="shared" si="434"/>
        <v>542022.84</v>
      </c>
      <c r="X135" s="638">
        <f t="shared" si="434"/>
        <v>634266.39</v>
      </c>
      <c r="Y135" s="638">
        <f t="shared" si="434"/>
        <v>0</v>
      </c>
      <c r="Z135" s="638">
        <f t="shared" si="434"/>
        <v>634266.39</v>
      </c>
      <c r="AA135" s="638">
        <f t="shared" si="434"/>
        <v>1119481.8700000001</v>
      </c>
      <c r="AB135" s="638">
        <f t="shared" si="434"/>
        <v>0</v>
      </c>
      <c r="AC135" s="638">
        <f t="shared" si="434"/>
        <v>1119481.8700000001</v>
      </c>
      <c r="AD135" s="638">
        <f t="shared" si="434"/>
        <v>1119481.8700000001</v>
      </c>
      <c r="AE135" s="638">
        <f t="shared" si="434"/>
        <v>0</v>
      </c>
      <c r="AF135" s="638">
        <f t="shared" si="434"/>
        <v>1119481.8700000001</v>
      </c>
      <c r="AG135" s="638">
        <f t="shared" si="434"/>
        <v>1224302.51</v>
      </c>
      <c r="AH135" s="638">
        <f t="shared" si="434"/>
        <v>0</v>
      </c>
      <c r="AI135" s="638">
        <f t="shared" si="434"/>
        <v>1224302.51</v>
      </c>
      <c r="AJ135" s="638">
        <f t="shared" si="434"/>
        <v>1707479.96</v>
      </c>
      <c r="AK135" s="638">
        <f t="shared" si="434"/>
        <v>0</v>
      </c>
      <c r="AL135" s="638">
        <f t="shared" si="434"/>
        <v>1707479.96</v>
      </c>
      <c r="AM135" s="638">
        <f t="shared" si="434"/>
        <v>1707479.96</v>
      </c>
      <c r="AN135" s="638">
        <f t="shared" si="434"/>
        <v>0</v>
      </c>
      <c r="AO135" s="638">
        <f t="shared" si="434"/>
        <v>1707479.96</v>
      </c>
      <c r="AP135" s="638">
        <f t="shared" si="434"/>
        <v>1821153.29</v>
      </c>
      <c r="AQ135" s="638">
        <f t="shared" si="434"/>
        <v>0</v>
      </c>
      <c r="AR135" s="638">
        <f t="shared" si="434"/>
        <v>1821153.29</v>
      </c>
      <c r="AS135" s="638">
        <f t="shared" si="434"/>
        <v>2294744.94</v>
      </c>
      <c r="AT135" s="638">
        <f t="shared" si="434"/>
        <v>0</v>
      </c>
      <c r="AU135" s="638">
        <f t="shared" si="434"/>
        <v>2294744.94</v>
      </c>
      <c r="AV135" s="638">
        <f t="shared" si="434"/>
        <v>6884.2348199999997</v>
      </c>
      <c r="AW135" s="663"/>
      <c r="AX135" s="638">
        <f t="shared" si="434"/>
        <v>2558605.5299999998</v>
      </c>
      <c r="AY135" s="638">
        <f t="shared" si="434"/>
        <v>0</v>
      </c>
      <c r="AZ135" s="638">
        <f t="shared" si="434"/>
        <v>2558605.5299999998</v>
      </c>
      <c r="BA135" s="638">
        <f t="shared" si="434"/>
        <v>7675.8165899999995</v>
      </c>
      <c r="BB135" s="663"/>
      <c r="BC135" s="638">
        <f t="shared" si="434"/>
        <v>3104334</v>
      </c>
      <c r="BD135" s="638">
        <f t="shared" si="434"/>
        <v>0</v>
      </c>
      <c r="BE135" s="638">
        <f t="shared" si="434"/>
        <v>3104334</v>
      </c>
      <c r="BF135" s="638">
        <f t="shared" si="434"/>
        <v>9384.8366700000006</v>
      </c>
      <c r="BG135" s="638"/>
      <c r="BH135" s="638">
        <f t="shared" si="434"/>
        <v>7957684.4699999997</v>
      </c>
      <c r="BI135" s="638">
        <f t="shared" si="434"/>
        <v>0</v>
      </c>
      <c r="BJ135" s="638">
        <f t="shared" si="434"/>
        <v>7957684.4699999997</v>
      </c>
      <c r="BK135" s="638">
        <f t="shared" si="262"/>
        <v>23944.888080000001</v>
      </c>
      <c r="BL135" s="603"/>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row>
    <row r="136" spans="1:179" s="12" customFormat="1" ht="64.5" customHeight="1">
      <c r="A136" s="536" t="s">
        <v>20</v>
      </c>
      <c r="B136" s="536" t="s">
        <v>256</v>
      </c>
      <c r="C136" s="618">
        <v>17948876.215799998</v>
      </c>
      <c r="D136" s="618">
        <v>16153989.297024</v>
      </c>
      <c r="E136" s="618">
        <v>0</v>
      </c>
      <c r="F136" s="618">
        <v>0</v>
      </c>
      <c r="G136" s="618">
        <v>16153989.297024</v>
      </c>
      <c r="H136" s="526">
        <f>13080178*0.206931229931586</f>
        <v>2706697.3212640728</v>
      </c>
      <c r="I136" s="526">
        <f>1180103*0.206931229931586</f>
        <v>244200.16523595442</v>
      </c>
      <c r="J136" s="618">
        <f t="shared" ref="J136" si="435">H136+I136</f>
        <v>2950897.4865000271</v>
      </c>
      <c r="K136" s="618">
        <v>8098483.3300000001</v>
      </c>
      <c r="L136" s="618">
        <v>0</v>
      </c>
      <c r="M136" s="618">
        <v>0</v>
      </c>
      <c r="N136" s="618">
        <v>0</v>
      </c>
      <c r="O136" s="619">
        <v>99892.11</v>
      </c>
      <c r="P136" s="619">
        <v>0</v>
      </c>
      <c r="Q136" s="619">
        <v>99892.11</v>
      </c>
      <c r="R136" s="619">
        <v>542022.84</v>
      </c>
      <c r="S136" s="619">
        <v>0</v>
      </c>
      <c r="T136" s="619">
        <v>542022.84</v>
      </c>
      <c r="U136" s="619">
        <v>542022.84</v>
      </c>
      <c r="V136" s="619">
        <v>0</v>
      </c>
      <c r="W136" s="619">
        <v>542022.84</v>
      </c>
      <c r="X136" s="619">
        <v>634266.39</v>
      </c>
      <c r="Y136" s="619">
        <v>0</v>
      </c>
      <c r="Z136" s="619">
        <v>634266.39</v>
      </c>
      <c r="AA136" s="619">
        <v>1119481.8700000001</v>
      </c>
      <c r="AB136" s="619">
        <v>0</v>
      </c>
      <c r="AC136" s="619">
        <v>1119481.8700000001</v>
      </c>
      <c r="AD136" s="619">
        <v>1119481.8700000001</v>
      </c>
      <c r="AE136" s="619">
        <v>0</v>
      </c>
      <c r="AF136" s="619">
        <v>1119481.8700000001</v>
      </c>
      <c r="AG136" s="619">
        <v>1224302.51</v>
      </c>
      <c r="AH136" s="619">
        <v>0</v>
      </c>
      <c r="AI136" s="619">
        <v>1224302.51</v>
      </c>
      <c r="AJ136" s="619">
        <v>1707479.96</v>
      </c>
      <c r="AK136" s="619">
        <v>0</v>
      </c>
      <c r="AL136" s="619">
        <v>1707479.96</v>
      </c>
      <c r="AM136" s="619">
        <v>1707479.96</v>
      </c>
      <c r="AN136" s="619">
        <v>0</v>
      </c>
      <c r="AO136" s="619">
        <v>1707479.96</v>
      </c>
      <c r="AP136" s="619">
        <v>1821153.29</v>
      </c>
      <c r="AQ136" s="619">
        <v>0</v>
      </c>
      <c r="AR136" s="619">
        <v>1821153.29</v>
      </c>
      <c r="AS136" s="619">
        <v>2294744.94</v>
      </c>
      <c r="AT136" s="619">
        <v>0</v>
      </c>
      <c r="AU136" s="619">
        <v>2294744.94</v>
      </c>
      <c r="AV136" s="619">
        <v>6884.2348199999997</v>
      </c>
      <c r="AW136" s="654" t="s">
        <v>1490</v>
      </c>
      <c r="AX136" s="619">
        <v>2558605.5299999998</v>
      </c>
      <c r="AY136" s="619">
        <v>0</v>
      </c>
      <c r="AZ136" s="619">
        <v>2558605.5299999998</v>
      </c>
      <c r="BA136" s="619">
        <v>7675.8165899999995</v>
      </c>
      <c r="BB136" s="654" t="s">
        <v>1562</v>
      </c>
      <c r="BC136" s="619">
        <v>3104334</v>
      </c>
      <c r="BD136" s="619">
        <v>0</v>
      </c>
      <c r="BE136" s="619">
        <v>3104334</v>
      </c>
      <c r="BF136" s="619">
        <v>9384.8366700000006</v>
      </c>
      <c r="BG136" s="618" t="s">
        <v>1562</v>
      </c>
      <c r="BH136" s="619">
        <v>7957684.4699999997</v>
      </c>
      <c r="BI136" s="619">
        <v>0</v>
      </c>
      <c r="BJ136" s="619">
        <v>7957684.4699999997</v>
      </c>
      <c r="BK136" s="619">
        <f t="shared" si="262"/>
        <v>23944.888080000001</v>
      </c>
      <c r="BL136" s="551" t="s">
        <v>1583</v>
      </c>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row>
    <row r="137" spans="1:179" s="6" customFormat="1">
      <c r="A137" s="528"/>
      <c r="B137" s="529" t="s">
        <v>343</v>
      </c>
      <c r="C137" s="638">
        <f t="shared" ref="C137:J137" si="436">C138</f>
        <v>40488570.066179998</v>
      </c>
      <c r="D137" s="638">
        <f t="shared" si="436"/>
        <v>40488570.066179998</v>
      </c>
      <c r="E137" s="638">
        <f t="shared" si="436"/>
        <v>0</v>
      </c>
      <c r="F137" s="638">
        <f t="shared" si="436"/>
        <v>0</v>
      </c>
      <c r="G137" s="638">
        <f t="shared" si="436"/>
        <v>40488570.066179998</v>
      </c>
      <c r="H137" s="638">
        <f t="shared" si="436"/>
        <v>6784101.6829225933</v>
      </c>
      <c r="I137" s="638">
        <f t="shared" si="436"/>
        <v>612066.49850804789</v>
      </c>
      <c r="J137" s="638">
        <f t="shared" si="436"/>
        <v>7396168.1814306416</v>
      </c>
      <c r="K137" s="638">
        <f t="shared" ref="K137:BJ137" si="437">K138</f>
        <v>18429341.379999999</v>
      </c>
      <c r="L137" s="638">
        <f t="shared" si="437"/>
        <v>6989.81</v>
      </c>
      <c r="M137" s="638">
        <f t="shared" si="437"/>
        <v>0</v>
      </c>
      <c r="N137" s="638">
        <f t="shared" si="437"/>
        <v>6989.81</v>
      </c>
      <c r="O137" s="638">
        <f t="shared" si="437"/>
        <v>340066.72</v>
      </c>
      <c r="P137" s="638">
        <f t="shared" si="437"/>
        <v>0</v>
      </c>
      <c r="Q137" s="638">
        <f t="shared" si="437"/>
        <v>340066.72</v>
      </c>
      <c r="R137" s="638">
        <f t="shared" si="437"/>
        <v>1327551.42</v>
      </c>
      <c r="S137" s="638">
        <f t="shared" si="437"/>
        <v>0</v>
      </c>
      <c r="T137" s="638">
        <f t="shared" si="437"/>
        <v>1327551.42</v>
      </c>
      <c r="U137" s="638">
        <f t="shared" si="437"/>
        <v>1440600.43</v>
      </c>
      <c r="V137" s="638">
        <f t="shared" si="437"/>
        <v>0</v>
      </c>
      <c r="W137" s="638">
        <f t="shared" si="437"/>
        <v>1440600.43</v>
      </c>
      <c r="X137" s="638">
        <f t="shared" si="437"/>
        <v>1645904.06</v>
      </c>
      <c r="Y137" s="638">
        <f t="shared" si="437"/>
        <v>0</v>
      </c>
      <c r="Z137" s="638">
        <f t="shared" si="437"/>
        <v>1645904.06</v>
      </c>
      <c r="AA137" s="638">
        <f t="shared" si="437"/>
        <v>2626010.5099999998</v>
      </c>
      <c r="AB137" s="638">
        <f t="shared" si="437"/>
        <v>0</v>
      </c>
      <c r="AC137" s="638">
        <f t="shared" si="437"/>
        <v>2626010.5099999998</v>
      </c>
      <c r="AD137" s="638">
        <f t="shared" si="437"/>
        <v>2626010.5099999998</v>
      </c>
      <c r="AE137" s="638">
        <f t="shared" si="437"/>
        <v>0</v>
      </c>
      <c r="AF137" s="638">
        <f t="shared" si="437"/>
        <v>2626010.5099999998</v>
      </c>
      <c r="AG137" s="638">
        <f t="shared" si="437"/>
        <v>2977432.51</v>
      </c>
      <c r="AH137" s="638">
        <f t="shared" si="437"/>
        <v>0</v>
      </c>
      <c r="AI137" s="638">
        <f t="shared" si="437"/>
        <v>2977432.51</v>
      </c>
      <c r="AJ137" s="638">
        <f t="shared" si="437"/>
        <v>4000131.01</v>
      </c>
      <c r="AK137" s="638">
        <f t="shared" si="437"/>
        <v>0</v>
      </c>
      <c r="AL137" s="638">
        <f t="shared" si="437"/>
        <v>4000131.01</v>
      </c>
      <c r="AM137" s="638">
        <f t="shared" si="437"/>
        <v>4089743.79</v>
      </c>
      <c r="AN137" s="638">
        <f t="shared" si="437"/>
        <v>0</v>
      </c>
      <c r="AO137" s="638">
        <f t="shared" si="437"/>
        <v>4089743.79</v>
      </c>
      <c r="AP137" s="638">
        <f t="shared" si="437"/>
        <v>4375271.99</v>
      </c>
      <c r="AQ137" s="638">
        <f t="shared" si="437"/>
        <v>0</v>
      </c>
      <c r="AR137" s="638">
        <f t="shared" si="437"/>
        <v>4375271.99</v>
      </c>
      <c r="AS137" s="638">
        <f t="shared" si="437"/>
        <v>5511499.96</v>
      </c>
      <c r="AT137" s="638">
        <f t="shared" si="437"/>
        <v>0</v>
      </c>
      <c r="AU137" s="638">
        <f t="shared" si="437"/>
        <v>5511499.96</v>
      </c>
      <c r="AV137" s="638">
        <f t="shared" si="437"/>
        <v>16534.499879999999</v>
      </c>
      <c r="AW137" s="663"/>
      <c r="AX137" s="638">
        <f t="shared" si="437"/>
        <v>7541082.8799999999</v>
      </c>
      <c r="AY137" s="638">
        <f t="shared" si="437"/>
        <v>0</v>
      </c>
      <c r="AZ137" s="638">
        <f t="shared" si="437"/>
        <v>7541082.8799999999</v>
      </c>
      <c r="BA137" s="638">
        <f t="shared" si="437"/>
        <v>22623.248640000002</v>
      </c>
      <c r="BB137" s="663"/>
      <c r="BC137" s="638">
        <f t="shared" si="437"/>
        <v>8753692.7400000002</v>
      </c>
      <c r="BD137" s="638">
        <f t="shared" si="437"/>
        <v>0</v>
      </c>
      <c r="BE137" s="638">
        <f t="shared" si="437"/>
        <v>8753692.7400000002</v>
      </c>
      <c r="BF137" s="638">
        <f t="shared" si="437"/>
        <v>26457.925230000001</v>
      </c>
      <c r="BG137" s="638"/>
      <c r="BH137" s="638">
        <f t="shared" si="437"/>
        <v>21806275.579999998</v>
      </c>
      <c r="BI137" s="638">
        <f t="shared" si="437"/>
        <v>0</v>
      </c>
      <c r="BJ137" s="638">
        <f t="shared" si="437"/>
        <v>21806275.579999998</v>
      </c>
      <c r="BK137" s="638">
        <f t="shared" si="262"/>
        <v>65615.673750000002</v>
      </c>
      <c r="BL137" s="603"/>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row>
    <row r="138" spans="1:179" s="9" customFormat="1" ht="48.75" customHeight="1">
      <c r="A138" s="522" t="s">
        <v>89</v>
      </c>
      <c r="B138" s="522" t="s">
        <v>342</v>
      </c>
      <c r="C138" s="618">
        <v>40488570.066179998</v>
      </c>
      <c r="D138" s="618">
        <v>40488570.066179998</v>
      </c>
      <c r="E138" s="618">
        <v>0</v>
      </c>
      <c r="F138" s="618">
        <v>0</v>
      </c>
      <c r="G138" s="618">
        <v>40488570.066179998</v>
      </c>
      <c r="H138" s="526">
        <f>13080178*0.518655150023386</f>
        <v>6784101.6829225933</v>
      </c>
      <c r="I138" s="526">
        <f>1180103*0.518655150023386</f>
        <v>612066.49850804789</v>
      </c>
      <c r="J138" s="618">
        <f t="shared" ref="J138" si="438">H138+I138</f>
        <v>7396168.1814306416</v>
      </c>
      <c r="K138" s="618">
        <v>18429341.379999999</v>
      </c>
      <c r="L138" s="618">
        <v>6989.81</v>
      </c>
      <c r="M138" s="618">
        <v>0</v>
      </c>
      <c r="N138" s="618">
        <v>6989.81</v>
      </c>
      <c r="O138" s="619">
        <v>340066.72</v>
      </c>
      <c r="P138" s="619">
        <v>0</v>
      </c>
      <c r="Q138" s="619">
        <v>340066.72</v>
      </c>
      <c r="R138" s="619">
        <v>1327551.42</v>
      </c>
      <c r="S138" s="619">
        <v>0</v>
      </c>
      <c r="T138" s="619">
        <v>1327551.42</v>
      </c>
      <c r="U138" s="619">
        <v>1440600.43</v>
      </c>
      <c r="V138" s="619">
        <v>0</v>
      </c>
      <c r="W138" s="619">
        <v>1440600.43</v>
      </c>
      <c r="X138" s="619">
        <v>1645904.06</v>
      </c>
      <c r="Y138" s="619">
        <v>0</v>
      </c>
      <c r="Z138" s="619">
        <v>1645904.06</v>
      </c>
      <c r="AA138" s="619">
        <v>2626010.5099999998</v>
      </c>
      <c r="AB138" s="619">
        <v>0</v>
      </c>
      <c r="AC138" s="619">
        <v>2626010.5099999998</v>
      </c>
      <c r="AD138" s="619">
        <v>2626010.5099999998</v>
      </c>
      <c r="AE138" s="619">
        <v>0</v>
      </c>
      <c r="AF138" s="619">
        <v>2626010.5099999998</v>
      </c>
      <c r="AG138" s="619">
        <v>2977432.51</v>
      </c>
      <c r="AH138" s="619">
        <v>0</v>
      </c>
      <c r="AI138" s="619">
        <v>2977432.51</v>
      </c>
      <c r="AJ138" s="619">
        <v>4000131.01</v>
      </c>
      <c r="AK138" s="619">
        <v>0</v>
      </c>
      <c r="AL138" s="619">
        <v>4000131.01</v>
      </c>
      <c r="AM138" s="619">
        <v>4089743.79</v>
      </c>
      <c r="AN138" s="619">
        <v>0</v>
      </c>
      <c r="AO138" s="619">
        <v>4089743.79</v>
      </c>
      <c r="AP138" s="619">
        <v>4375271.99</v>
      </c>
      <c r="AQ138" s="619">
        <v>0</v>
      </c>
      <c r="AR138" s="619">
        <v>4375271.99</v>
      </c>
      <c r="AS138" s="619">
        <v>5511499.96</v>
      </c>
      <c r="AT138" s="619">
        <v>0</v>
      </c>
      <c r="AU138" s="619">
        <v>5511499.96</v>
      </c>
      <c r="AV138" s="619">
        <v>16534.499879999999</v>
      </c>
      <c r="AW138" s="654" t="s">
        <v>1490</v>
      </c>
      <c r="AX138" s="619">
        <v>7541082.8799999999</v>
      </c>
      <c r="AY138" s="619">
        <v>0</v>
      </c>
      <c r="AZ138" s="619">
        <v>7541082.8799999999</v>
      </c>
      <c r="BA138" s="619">
        <v>22623.248640000002</v>
      </c>
      <c r="BB138" s="654" t="s">
        <v>1562</v>
      </c>
      <c r="BC138" s="619">
        <v>8753692.7400000002</v>
      </c>
      <c r="BD138" s="619">
        <v>0</v>
      </c>
      <c r="BE138" s="619">
        <v>8753692.7400000002</v>
      </c>
      <c r="BF138" s="619">
        <v>26457.925230000001</v>
      </c>
      <c r="BG138" s="618" t="s">
        <v>1562</v>
      </c>
      <c r="BH138" s="619">
        <v>21806275.579999998</v>
      </c>
      <c r="BI138" s="619">
        <v>0</v>
      </c>
      <c r="BJ138" s="619">
        <v>21806275.579999998</v>
      </c>
      <c r="BK138" s="619">
        <f t="shared" si="262"/>
        <v>65615.673750000002</v>
      </c>
      <c r="BL138" s="551" t="s">
        <v>1584</v>
      </c>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row>
    <row r="139" spans="1:179" s="2" customFormat="1" ht="40.5">
      <c r="A139" s="523"/>
      <c r="B139" s="521" t="s">
        <v>341</v>
      </c>
      <c r="C139" s="617">
        <f t="shared" ref="C139:J139" si="439">SUM(C140:C148)</f>
        <v>247572042.939924</v>
      </c>
      <c r="D139" s="617">
        <f t="shared" si="439"/>
        <v>247572042.939924</v>
      </c>
      <c r="E139" s="617">
        <f t="shared" si="439"/>
        <v>21978843</v>
      </c>
      <c r="F139" s="617">
        <f t="shared" si="439"/>
        <v>21978843</v>
      </c>
      <c r="G139" s="617">
        <f t="shared" si="439"/>
        <v>269550885.939924</v>
      </c>
      <c r="H139" s="617">
        <f t="shared" si="439"/>
        <v>53010375</v>
      </c>
      <c r="I139" s="617">
        <f t="shared" si="439"/>
        <v>7721272.4800000004</v>
      </c>
      <c r="J139" s="617">
        <f t="shared" si="439"/>
        <v>60731647.480000004</v>
      </c>
      <c r="K139" s="617">
        <f t="shared" ref="K139:BJ139" si="440">SUM(K140:K148)</f>
        <v>113607136.52</v>
      </c>
      <c r="L139" s="617">
        <f t="shared" si="440"/>
        <v>58535.35</v>
      </c>
      <c r="M139" s="617">
        <f t="shared" si="440"/>
        <v>0</v>
      </c>
      <c r="N139" s="617">
        <f t="shared" si="440"/>
        <v>58535.35</v>
      </c>
      <c r="O139" s="617">
        <f t="shared" si="440"/>
        <v>4663297.3499999996</v>
      </c>
      <c r="P139" s="617">
        <f t="shared" si="440"/>
        <v>0</v>
      </c>
      <c r="Q139" s="617">
        <f t="shared" ref="Q139" si="441">SUM(Q140:Q148)</f>
        <v>4663297.3499999996</v>
      </c>
      <c r="R139" s="617">
        <f t="shared" si="440"/>
        <v>18058799.32</v>
      </c>
      <c r="S139" s="617">
        <f t="shared" si="440"/>
        <v>0</v>
      </c>
      <c r="T139" s="617">
        <f t="shared" ref="T139" si="442">SUM(T140:T148)</f>
        <v>18058799.32</v>
      </c>
      <c r="U139" s="617">
        <f t="shared" si="440"/>
        <v>18934317.990000002</v>
      </c>
      <c r="V139" s="617">
        <f t="shared" si="440"/>
        <v>0</v>
      </c>
      <c r="W139" s="617">
        <f t="shared" ref="W139" si="443">SUM(W140:W148)</f>
        <v>18934317.990000002</v>
      </c>
      <c r="X139" s="617">
        <f t="shared" si="440"/>
        <v>25618655.240000002</v>
      </c>
      <c r="Y139" s="617">
        <f t="shared" si="440"/>
        <v>0</v>
      </c>
      <c r="Z139" s="617">
        <f t="shared" ref="Z139" si="444">SUM(Z140:Z148)</f>
        <v>25618655.240000002</v>
      </c>
      <c r="AA139" s="617">
        <f t="shared" si="440"/>
        <v>30317038.976</v>
      </c>
      <c r="AB139" s="617">
        <f t="shared" si="440"/>
        <v>0</v>
      </c>
      <c r="AC139" s="617">
        <f t="shared" ref="AC139" si="445">SUM(AC140:AC148)</f>
        <v>30317038.976</v>
      </c>
      <c r="AD139" s="617">
        <f t="shared" si="440"/>
        <v>32855097.205999997</v>
      </c>
      <c r="AE139" s="617">
        <f t="shared" si="440"/>
        <v>0</v>
      </c>
      <c r="AF139" s="617">
        <f t="shared" ref="AF139" si="446">SUM(AF140:AF148)</f>
        <v>32855097.205999997</v>
      </c>
      <c r="AG139" s="617">
        <f t="shared" si="440"/>
        <v>36989502.665999994</v>
      </c>
      <c r="AH139" s="617">
        <f t="shared" si="440"/>
        <v>0</v>
      </c>
      <c r="AI139" s="617">
        <f t="shared" ref="AI139" si="447">SUM(AI140:AI148)</f>
        <v>36989502.665999994</v>
      </c>
      <c r="AJ139" s="617">
        <f t="shared" si="440"/>
        <v>43215518.176000006</v>
      </c>
      <c r="AK139" s="617">
        <f t="shared" si="440"/>
        <v>0</v>
      </c>
      <c r="AL139" s="617">
        <f t="shared" ref="AL139" si="448">SUM(AL140:AL148)</f>
        <v>43215518.176000006</v>
      </c>
      <c r="AM139" s="617">
        <f t="shared" si="440"/>
        <v>43258565.816000007</v>
      </c>
      <c r="AN139" s="617">
        <f t="shared" si="440"/>
        <v>0</v>
      </c>
      <c r="AO139" s="617">
        <f t="shared" ref="AO139" si="449">SUM(AO140:AO148)</f>
        <v>43258565.816000007</v>
      </c>
      <c r="AP139" s="617">
        <f t="shared" si="440"/>
        <v>48981144.816000007</v>
      </c>
      <c r="AQ139" s="617">
        <f t="shared" si="440"/>
        <v>0</v>
      </c>
      <c r="AR139" s="617">
        <f t="shared" ref="AR139" si="450">SUM(AR140:AR148)</f>
        <v>48981144.816000007</v>
      </c>
      <c r="AS139" s="617">
        <f t="shared" si="440"/>
        <v>58926214.816000007</v>
      </c>
      <c r="AT139" s="617">
        <f t="shared" si="440"/>
        <v>0</v>
      </c>
      <c r="AU139" s="617">
        <f t="shared" ref="AU139:AV139" si="451">SUM(AU140:AU148)</f>
        <v>58926214.816000007</v>
      </c>
      <c r="AV139" s="617">
        <f t="shared" si="451"/>
        <v>131568.35999999999</v>
      </c>
      <c r="AW139" s="653"/>
      <c r="AX139" s="617">
        <f t="shared" si="440"/>
        <v>60416706.399999999</v>
      </c>
      <c r="AY139" s="617">
        <f t="shared" si="440"/>
        <v>16781954</v>
      </c>
      <c r="AZ139" s="617">
        <f t="shared" si="440"/>
        <v>77198660.400000006</v>
      </c>
      <c r="BA139" s="617">
        <f t="shared" si="440"/>
        <v>0</v>
      </c>
      <c r="BB139" s="653"/>
      <c r="BC139" s="617">
        <f t="shared" si="440"/>
        <v>13724919.25</v>
      </c>
      <c r="BD139" s="617">
        <f t="shared" si="440"/>
        <v>5196889</v>
      </c>
      <c r="BE139" s="617">
        <f t="shared" si="440"/>
        <v>18921808.25</v>
      </c>
      <c r="BF139" s="617">
        <f t="shared" si="440"/>
        <v>0</v>
      </c>
      <c r="BG139" s="617"/>
      <c r="BH139" s="617">
        <f t="shared" si="440"/>
        <v>133067840.46600001</v>
      </c>
      <c r="BI139" s="617">
        <f t="shared" si="440"/>
        <v>21978843</v>
      </c>
      <c r="BJ139" s="617">
        <f t="shared" si="440"/>
        <v>155046683.46600002</v>
      </c>
      <c r="BK139" s="617">
        <f t="shared" si="262"/>
        <v>131568.35999999999</v>
      </c>
      <c r="BL139" s="596"/>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row>
    <row r="140" spans="1:179" s="9" customFormat="1" ht="64.5" customHeight="1">
      <c r="A140" s="537" t="s">
        <v>90</v>
      </c>
      <c r="B140" s="522" t="s">
        <v>340</v>
      </c>
      <c r="C140" s="618">
        <v>131276355.0477</v>
      </c>
      <c r="D140" s="618">
        <v>131276355.0477</v>
      </c>
      <c r="E140" s="618">
        <v>0</v>
      </c>
      <c r="F140" s="618">
        <v>0</v>
      </c>
      <c r="G140" s="618">
        <v>131276355.0477</v>
      </c>
      <c r="H140" s="618">
        <v>32561511</v>
      </c>
      <c r="I140" s="618">
        <v>6565077</v>
      </c>
      <c r="J140" s="618">
        <v>39126588</v>
      </c>
      <c r="K140" s="618">
        <v>52931700.229999997</v>
      </c>
      <c r="L140" s="618">
        <v>0</v>
      </c>
      <c r="M140" s="618">
        <v>0</v>
      </c>
      <c r="N140" s="618">
        <f t="shared" ref="N140:N178" si="452">M140+L140</f>
        <v>0</v>
      </c>
      <c r="O140" s="619">
        <v>4316724</v>
      </c>
      <c r="P140" s="619">
        <v>0</v>
      </c>
      <c r="Q140" s="618">
        <f t="shared" ref="Q140:Q178" si="453">P140+O140</f>
        <v>4316724</v>
      </c>
      <c r="R140" s="619">
        <f>Q140+10359773</f>
        <v>14676497</v>
      </c>
      <c r="S140" s="619">
        <v>0</v>
      </c>
      <c r="T140" s="618">
        <f t="shared" ref="T140:T178" si="454">S140+R140</f>
        <v>14676497</v>
      </c>
      <c r="U140" s="619">
        <f>T140</f>
        <v>14676497</v>
      </c>
      <c r="V140" s="619">
        <v>0</v>
      </c>
      <c r="W140" s="618">
        <f t="shared" ref="W140:W178" si="455">V140+U140</f>
        <v>14676497</v>
      </c>
      <c r="X140" s="619">
        <f>W140+3517124</f>
        <v>18193621</v>
      </c>
      <c r="Y140" s="619">
        <v>0</v>
      </c>
      <c r="Z140" s="618">
        <f t="shared" ref="Z140:Z178" si="456">Y140+X140</f>
        <v>18193621</v>
      </c>
      <c r="AA140" s="619">
        <f>Z140+2153074</f>
        <v>20346695</v>
      </c>
      <c r="AB140" s="619">
        <v>0</v>
      </c>
      <c r="AC140" s="618">
        <f t="shared" ref="AC140:AC178" si="457">AB140+AA140</f>
        <v>20346695</v>
      </c>
      <c r="AD140" s="619">
        <f>AC140</f>
        <v>20346695</v>
      </c>
      <c r="AE140" s="619">
        <v>0</v>
      </c>
      <c r="AF140" s="618">
        <f t="shared" ref="AF140:AF178" si="458">AE140+AD140</f>
        <v>20346695</v>
      </c>
      <c r="AG140" s="619">
        <f>AF140+318397</f>
        <v>20665092</v>
      </c>
      <c r="AH140" s="619">
        <v>0</v>
      </c>
      <c r="AI140" s="618">
        <f t="shared" ref="AI140:AI178" si="459">AH140+AG140</f>
        <v>20665092</v>
      </c>
      <c r="AJ140" s="619">
        <f>AI140+5321066</f>
        <v>25986158</v>
      </c>
      <c r="AK140" s="619">
        <v>0</v>
      </c>
      <c r="AL140" s="618">
        <f t="shared" ref="AL140:AL178" si="460">AK140+AJ140</f>
        <v>25986158</v>
      </c>
      <c r="AM140" s="619">
        <f>AL140</f>
        <v>25986158</v>
      </c>
      <c r="AN140" s="619">
        <v>0</v>
      </c>
      <c r="AO140" s="618">
        <f t="shared" ref="AO140:AO178" si="461">AN140+AM140</f>
        <v>25986158</v>
      </c>
      <c r="AP140" s="619">
        <f>AO140+3195360</f>
        <v>29181518</v>
      </c>
      <c r="AQ140" s="619">
        <v>0</v>
      </c>
      <c r="AR140" s="618">
        <f t="shared" ref="AR140:AR178" si="462">AQ140+AP140</f>
        <v>29181518</v>
      </c>
      <c r="AS140" s="619">
        <f>AR140+9945070</f>
        <v>39126588</v>
      </c>
      <c r="AT140" s="619">
        <v>0</v>
      </c>
      <c r="AU140" s="618">
        <f t="shared" ref="AU140:AU178" si="463">AT140+AS140</f>
        <v>39126588</v>
      </c>
      <c r="AV140" s="619">
        <v>0</v>
      </c>
      <c r="AW140" s="666"/>
      <c r="AX140" s="619">
        <v>31855143</v>
      </c>
      <c r="AY140" s="619">
        <v>0</v>
      </c>
      <c r="AZ140" s="618">
        <f t="shared" ref="AZ140:AZ178" si="464">AY140+AX140</f>
        <v>31855143</v>
      </c>
      <c r="BA140" s="619">
        <v>0</v>
      </c>
      <c r="BB140" s="654"/>
      <c r="BC140" s="619">
        <v>7362924</v>
      </c>
      <c r="BD140" s="619">
        <v>0</v>
      </c>
      <c r="BE140" s="618">
        <f t="shared" ref="BE140:BE178" si="465">BD140+BC140</f>
        <v>7362924</v>
      </c>
      <c r="BF140" s="619">
        <v>0</v>
      </c>
      <c r="BG140" s="619"/>
      <c r="BH140" s="619">
        <f>SUM(BC140,AS140,AX140)</f>
        <v>78344655</v>
      </c>
      <c r="BI140" s="619">
        <v>0</v>
      </c>
      <c r="BJ140" s="618">
        <f t="shared" ref="BJ140:BJ178" si="466">BI140+BH140</f>
        <v>78344655</v>
      </c>
      <c r="BK140" s="618">
        <f t="shared" si="262"/>
        <v>0</v>
      </c>
      <c r="BL140" s="607"/>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row>
    <row r="141" spans="1:179" s="9" customFormat="1" ht="64.5" customHeight="1">
      <c r="A141" s="537" t="s">
        <v>91</v>
      </c>
      <c r="B141" s="522" t="s">
        <v>339</v>
      </c>
      <c r="C141" s="618">
        <v>64233387.939107999</v>
      </c>
      <c r="D141" s="618">
        <v>64233387.939107999</v>
      </c>
      <c r="E141" s="618">
        <v>21978843</v>
      </c>
      <c r="F141" s="618">
        <v>21978843</v>
      </c>
      <c r="G141" s="618">
        <v>86212230.939107999</v>
      </c>
      <c r="H141" s="618">
        <v>9120375</v>
      </c>
      <c r="I141" s="618">
        <f>AU141-H141</f>
        <v>0.48000000044703484</v>
      </c>
      <c r="J141" s="618">
        <f t="shared" ref="J141:J145" si="467">H141+I141</f>
        <v>9120375.4800000004</v>
      </c>
      <c r="K141" s="618">
        <v>41206134.509999998</v>
      </c>
      <c r="L141" s="618">
        <v>0</v>
      </c>
      <c r="M141" s="618">
        <v>0</v>
      </c>
      <c r="N141" s="618">
        <f t="shared" si="452"/>
        <v>0</v>
      </c>
      <c r="O141" s="619">
        <f>N141</f>
        <v>0</v>
      </c>
      <c r="P141" s="619">
        <v>0</v>
      </c>
      <c r="Q141" s="618">
        <f t="shared" si="453"/>
        <v>0</v>
      </c>
      <c r="R141" s="619">
        <f>Q141+2835799.27</f>
        <v>2835799.27</v>
      </c>
      <c r="S141" s="619">
        <v>0</v>
      </c>
      <c r="T141" s="618">
        <f t="shared" si="454"/>
        <v>2835799.27</v>
      </c>
      <c r="U141" s="619">
        <f>T141+508255.97</f>
        <v>3344055.24</v>
      </c>
      <c r="V141" s="619">
        <v>0</v>
      </c>
      <c r="W141" s="618">
        <f t="shared" si="455"/>
        <v>3344055.24</v>
      </c>
      <c r="X141" s="619">
        <f>W141+1441032.4</f>
        <v>4785087.6400000006</v>
      </c>
      <c r="Y141" s="619">
        <v>0</v>
      </c>
      <c r="Z141" s="618">
        <f t="shared" si="456"/>
        <v>4785087.6400000006</v>
      </c>
      <c r="AA141" s="619">
        <f>Z141+911515.64</f>
        <v>5696603.2800000003</v>
      </c>
      <c r="AB141" s="619">
        <v>0</v>
      </c>
      <c r="AC141" s="618">
        <f t="shared" si="457"/>
        <v>5696603.2800000003</v>
      </c>
      <c r="AD141" s="619">
        <f>AC141+1065555.23</f>
        <v>6762158.5099999998</v>
      </c>
      <c r="AE141" s="619">
        <v>0</v>
      </c>
      <c r="AF141" s="618">
        <f t="shared" si="458"/>
        <v>6762158.5099999998</v>
      </c>
      <c r="AG141" s="619">
        <f>AF141+1608670.46</f>
        <v>8370828.9699999997</v>
      </c>
      <c r="AH141" s="619">
        <v>0</v>
      </c>
      <c r="AI141" s="618">
        <f t="shared" si="459"/>
        <v>8370828.9699999997</v>
      </c>
      <c r="AJ141" s="619">
        <f>AI141+749546.51</f>
        <v>9120375.4800000004</v>
      </c>
      <c r="AK141" s="619">
        <v>0</v>
      </c>
      <c r="AL141" s="618">
        <f t="shared" si="460"/>
        <v>9120375.4800000004</v>
      </c>
      <c r="AM141" s="619">
        <f>AL141</f>
        <v>9120375.4800000004</v>
      </c>
      <c r="AN141" s="619">
        <v>0</v>
      </c>
      <c r="AO141" s="618">
        <f t="shared" si="461"/>
        <v>9120375.4800000004</v>
      </c>
      <c r="AP141" s="619">
        <f>AO141</f>
        <v>9120375.4800000004</v>
      </c>
      <c r="AQ141" s="619">
        <v>0</v>
      </c>
      <c r="AR141" s="618">
        <f t="shared" si="462"/>
        <v>9120375.4800000004</v>
      </c>
      <c r="AS141" s="619">
        <f>AR141</f>
        <v>9120375.4800000004</v>
      </c>
      <c r="AT141" s="619">
        <v>0</v>
      </c>
      <c r="AU141" s="618">
        <f t="shared" si="463"/>
        <v>9120375.4800000004</v>
      </c>
      <c r="AV141" s="619">
        <v>118564</v>
      </c>
      <c r="AW141" s="666" t="s">
        <v>1451</v>
      </c>
      <c r="AX141" s="619">
        <v>13906878</v>
      </c>
      <c r="AY141" s="619">
        <v>16781954</v>
      </c>
      <c r="AZ141" s="618">
        <f t="shared" si="464"/>
        <v>30688832</v>
      </c>
      <c r="BA141" s="619">
        <v>0</v>
      </c>
      <c r="BB141" s="654"/>
      <c r="BC141" s="619">
        <v>0</v>
      </c>
      <c r="BD141" s="619">
        <v>5196889</v>
      </c>
      <c r="BE141" s="618">
        <f t="shared" si="465"/>
        <v>5196889</v>
      </c>
      <c r="BF141" s="619">
        <v>0</v>
      </c>
      <c r="BG141" s="619"/>
      <c r="BH141" s="619">
        <f>SUM(BC141,AS141,AX141)</f>
        <v>23027253.48</v>
      </c>
      <c r="BI141" s="619">
        <f>SUM(AT141,AY141,BD141)</f>
        <v>21978843</v>
      </c>
      <c r="BJ141" s="618">
        <f t="shared" si="466"/>
        <v>45006096.480000004</v>
      </c>
      <c r="BK141" s="618">
        <f t="shared" si="262"/>
        <v>118564</v>
      </c>
      <c r="BL141" s="607"/>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row>
    <row r="142" spans="1:179" s="9" customFormat="1" ht="84.75" customHeight="1">
      <c r="A142" s="522" t="s">
        <v>92</v>
      </c>
      <c r="B142" s="522" t="s">
        <v>338</v>
      </c>
      <c r="C142" s="618">
        <v>10116723.019199999</v>
      </c>
      <c r="D142" s="618">
        <v>10116723.019199999</v>
      </c>
      <c r="E142" s="618">
        <v>0</v>
      </c>
      <c r="F142" s="618">
        <v>0</v>
      </c>
      <c r="G142" s="618">
        <v>10116723.019199999</v>
      </c>
      <c r="H142" s="618">
        <v>160662</v>
      </c>
      <c r="I142" s="618">
        <v>458719</v>
      </c>
      <c r="J142" s="618">
        <f t="shared" si="467"/>
        <v>619381</v>
      </c>
      <c r="K142" s="618">
        <v>8839781.0500000007</v>
      </c>
      <c r="L142" s="618">
        <v>58535.35</v>
      </c>
      <c r="M142" s="618">
        <v>0</v>
      </c>
      <c r="N142" s="618">
        <f t="shared" si="452"/>
        <v>58535.35</v>
      </c>
      <c r="O142" s="619">
        <f>88364+L142</f>
        <v>146899.35</v>
      </c>
      <c r="P142" s="619">
        <v>0</v>
      </c>
      <c r="Q142" s="618">
        <f t="shared" si="453"/>
        <v>146899.35</v>
      </c>
      <c r="R142" s="619">
        <f>59368+O142</f>
        <v>206267.35</v>
      </c>
      <c r="S142" s="619">
        <v>0</v>
      </c>
      <c r="T142" s="618">
        <f t="shared" si="454"/>
        <v>206267.35</v>
      </c>
      <c r="U142" s="619">
        <f>67261+R142</f>
        <v>273528.34999999998</v>
      </c>
      <c r="V142" s="619">
        <v>0</v>
      </c>
      <c r="W142" s="618">
        <f t="shared" si="455"/>
        <v>273528.34999999998</v>
      </c>
      <c r="X142" s="619">
        <f>33778+U142</f>
        <v>307306.34999999998</v>
      </c>
      <c r="Y142" s="619">
        <v>0</v>
      </c>
      <c r="Z142" s="618">
        <f t="shared" si="456"/>
        <v>307306.34999999998</v>
      </c>
      <c r="AA142" s="619">
        <f>7194.096+X142</f>
        <v>314500.446</v>
      </c>
      <c r="AB142" s="619">
        <v>0</v>
      </c>
      <c r="AC142" s="618">
        <f t="shared" si="457"/>
        <v>314500.446</v>
      </c>
      <c r="AD142" s="619">
        <f>10515+AA142</f>
        <v>325015.446</v>
      </c>
      <c r="AE142" s="619">
        <v>0</v>
      </c>
      <c r="AF142" s="618">
        <f t="shared" si="458"/>
        <v>325015.446</v>
      </c>
      <c r="AG142" s="619">
        <f>0+AD142</f>
        <v>325015.446</v>
      </c>
      <c r="AH142" s="619">
        <v>0</v>
      </c>
      <c r="AI142" s="618">
        <f t="shared" si="459"/>
        <v>325015.446</v>
      </c>
      <c r="AJ142" s="619">
        <f>11814+AG142</f>
        <v>336829.446</v>
      </c>
      <c r="AK142" s="619">
        <v>0</v>
      </c>
      <c r="AL142" s="618">
        <f t="shared" si="460"/>
        <v>336829.446</v>
      </c>
      <c r="AM142" s="619">
        <f>56052+AJ142-13004.36</f>
        <v>379877.08600000001</v>
      </c>
      <c r="AN142" s="619">
        <v>0</v>
      </c>
      <c r="AO142" s="618">
        <f t="shared" si="461"/>
        <v>379877.08600000001</v>
      </c>
      <c r="AP142" s="619">
        <f>0+AM142</f>
        <v>379877.08600000001</v>
      </c>
      <c r="AQ142" s="619">
        <v>0</v>
      </c>
      <c r="AR142" s="618">
        <f t="shared" si="462"/>
        <v>379877.08600000001</v>
      </c>
      <c r="AS142" s="619">
        <f>0+AP142</f>
        <v>379877.08600000001</v>
      </c>
      <c r="AT142" s="619">
        <v>0</v>
      </c>
      <c r="AU142" s="618">
        <f t="shared" si="463"/>
        <v>379877.08600000001</v>
      </c>
      <c r="AV142" s="619">
        <v>13004.36</v>
      </c>
      <c r="AW142" s="666" t="s">
        <v>1548</v>
      </c>
      <c r="AX142" s="619">
        <v>0</v>
      </c>
      <c r="AY142" s="619">
        <v>0</v>
      </c>
      <c r="AZ142" s="618">
        <f t="shared" si="464"/>
        <v>0</v>
      </c>
      <c r="BA142" s="619">
        <v>0</v>
      </c>
      <c r="BB142" s="654"/>
      <c r="BC142" s="619">
        <v>0</v>
      </c>
      <c r="BD142" s="619">
        <v>0</v>
      </c>
      <c r="BE142" s="618">
        <f t="shared" si="465"/>
        <v>0</v>
      </c>
      <c r="BF142" s="619">
        <v>0</v>
      </c>
      <c r="BG142" s="619"/>
      <c r="BH142" s="619">
        <f>AS142+AX142+BC142</f>
        <v>379877.08600000001</v>
      </c>
      <c r="BI142" s="619">
        <f>AT142+AY142+BD142</f>
        <v>0</v>
      </c>
      <c r="BJ142" s="618">
        <f t="shared" si="466"/>
        <v>379877.08600000001</v>
      </c>
      <c r="BK142" s="618">
        <f t="shared" si="262"/>
        <v>13004.36</v>
      </c>
      <c r="BL142" s="551" t="s">
        <v>1442</v>
      </c>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row>
    <row r="143" spans="1:179" s="9" customFormat="1" ht="64.5" customHeight="1">
      <c r="A143" s="522" t="s">
        <v>93</v>
      </c>
      <c r="B143" s="522" t="s">
        <v>337</v>
      </c>
      <c r="C143" s="618">
        <v>8227185.2689199997</v>
      </c>
      <c r="D143" s="618">
        <v>8227185.2689199997</v>
      </c>
      <c r="E143" s="618">
        <v>0</v>
      </c>
      <c r="F143" s="618">
        <v>0</v>
      </c>
      <c r="G143" s="618">
        <v>8227185.2689199997</v>
      </c>
      <c r="H143" s="618">
        <v>1859017</v>
      </c>
      <c r="I143" s="618">
        <v>697476</v>
      </c>
      <c r="J143" s="618">
        <f t="shared" si="467"/>
        <v>2556493</v>
      </c>
      <c r="K143" s="618">
        <v>2000005.1</v>
      </c>
      <c r="L143" s="618">
        <v>0</v>
      </c>
      <c r="M143" s="618">
        <v>0</v>
      </c>
      <c r="N143" s="618">
        <f t="shared" si="452"/>
        <v>0</v>
      </c>
      <c r="O143" s="618">
        <f>0+L143</f>
        <v>0</v>
      </c>
      <c r="P143" s="619">
        <v>0</v>
      </c>
      <c r="Q143" s="618">
        <f t="shared" si="453"/>
        <v>0</v>
      </c>
      <c r="R143" s="619">
        <f>140561.7+O143</f>
        <v>140561.70000000001</v>
      </c>
      <c r="S143" s="619">
        <v>0</v>
      </c>
      <c r="T143" s="618">
        <f t="shared" si="454"/>
        <v>140561.70000000001</v>
      </c>
      <c r="U143" s="619">
        <f>300001.7+R143</f>
        <v>440563.4</v>
      </c>
      <c r="V143" s="619">
        <v>0</v>
      </c>
      <c r="W143" s="618">
        <f t="shared" si="455"/>
        <v>440563.4</v>
      </c>
      <c r="X143" s="619">
        <f>550000.85+U143</f>
        <v>990564.25</v>
      </c>
      <c r="Y143" s="619"/>
      <c r="Z143" s="618">
        <f t="shared" si="456"/>
        <v>990564.25</v>
      </c>
      <c r="AA143" s="619">
        <f>0+X143</f>
        <v>990564.25</v>
      </c>
      <c r="AB143" s="619">
        <v>0</v>
      </c>
      <c r="AC143" s="618">
        <f t="shared" si="457"/>
        <v>990564.25</v>
      </c>
      <c r="AD143" s="619">
        <f>0+AA143</f>
        <v>990564.25</v>
      </c>
      <c r="AE143" s="619">
        <v>0</v>
      </c>
      <c r="AF143" s="618">
        <f t="shared" si="458"/>
        <v>990564.25</v>
      </c>
      <c r="AG143" s="619">
        <f>0+AD143</f>
        <v>990564.25</v>
      </c>
      <c r="AH143" s="619">
        <v>0</v>
      </c>
      <c r="AI143" s="618">
        <f t="shared" si="459"/>
        <v>990564.25</v>
      </c>
      <c r="AJ143" s="619">
        <f>0+AG143</f>
        <v>990564.25</v>
      </c>
      <c r="AK143" s="619">
        <v>0</v>
      </c>
      <c r="AL143" s="618">
        <f t="shared" si="460"/>
        <v>990564.25</v>
      </c>
      <c r="AM143" s="619">
        <f>0+AJ143</f>
        <v>990564.25</v>
      </c>
      <c r="AN143" s="619">
        <v>0</v>
      </c>
      <c r="AO143" s="618">
        <f t="shared" si="461"/>
        <v>990564.25</v>
      </c>
      <c r="AP143" s="619">
        <f>0+AM143</f>
        <v>990564.25</v>
      </c>
      <c r="AQ143" s="619">
        <v>0</v>
      </c>
      <c r="AR143" s="618">
        <f t="shared" si="462"/>
        <v>990564.25</v>
      </c>
      <c r="AS143" s="619">
        <f>0+AP143</f>
        <v>990564.25</v>
      </c>
      <c r="AT143" s="619">
        <v>0</v>
      </c>
      <c r="AU143" s="618">
        <f t="shared" si="463"/>
        <v>990564.25</v>
      </c>
      <c r="AV143" s="619">
        <v>0</v>
      </c>
      <c r="AW143" s="666" t="s">
        <v>1549</v>
      </c>
      <c r="AX143" s="619">
        <v>3000003.4000000004</v>
      </c>
      <c r="AY143" s="619">
        <v>0</v>
      </c>
      <c r="AZ143" s="618">
        <f t="shared" si="464"/>
        <v>3000003.4000000004</v>
      </c>
      <c r="BA143" s="619">
        <v>0</v>
      </c>
      <c r="BB143" s="654"/>
      <c r="BC143" s="619">
        <v>2236612.25</v>
      </c>
      <c r="BD143" s="619">
        <v>0</v>
      </c>
      <c r="BE143" s="618">
        <f t="shared" si="465"/>
        <v>2236612.25</v>
      </c>
      <c r="BF143" s="619">
        <v>0</v>
      </c>
      <c r="BG143" s="619"/>
      <c r="BH143" s="619">
        <f>AS143+AX143+BC143</f>
        <v>6227179.9000000004</v>
      </c>
      <c r="BI143" s="619">
        <f>AT143+AY143+BD143</f>
        <v>0</v>
      </c>
      <c r="BJ143" s="618">
        <f t="shared" si="466"/>
        <v>6227179.9000000004</v>
      </c>
      <c r="BK143" s="618">
        <f t="shared" ref="BK143:BK202" si="468">AV143+BA143+BF143</f>
        <v>0</v>
      </c>
      <c r="BL143" s="607"/>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row>
    <row r="144" spans="1:179" s="9" customFormat="1" ht="64.5" customHeight="1">
      <c r="A144" s="522" t="s">
        <v>94</v>
      </c>
      <c r="B144" s="522" t="s">
        <v>336</v>
      </c>
      <c r="C144" s="618">
        <v>3473578.5494280001</v>
      </c>
      <c r="D144" s="618">
        <v>3473578.5494280001</v>
      </c>
      <c r="E144" s="618">
        <v>0</v>
      </c>
      <c r="F144" s="618">
        <v>0</v>
      </c>
      <c r="G144" s="618">
        <v>3473578.5494280001</v>
      </c>
      <c r="H144" s="618">
        <v>0</v>
      </c>
      <c r="I144" s="618">
        <f>AU144-H144</f>
        <v>0</v>
      </c>
      <c r="J144" s="618">
        <f t="shared" si="467"/>
        <v>0</v>
      </c>
      <c r="K144" s="618">
        <v>3473577.68</v>
      </c>
      <c r="L144" s="618">
        <v>0</v>
      </c>
      <c r="M144" s="618">
        <v>0</v>
      </c>
      <c r="N144" s="618">
        <f t="shared" si="452"/>
        <v>0</v>
      </c>
      <c r="O144" s="619">
        <v>0</v>
      </c>
      <c r="P144" s="619">
        <v>0</v>
      </c>
      <c r="Q144" s="618">
        <f t="shared" si="453"/>
        <v>0</v>
      </c>
      <c r="R144" s="619">
        <v>0</v>
      </c>
      <c r="S144" s="619">
        <v>0</v>
      </c>
      <c r="T144" s="618">
        <f t="shared" si="454"/>
        <v>0</v>
      </c>
      <c r="U144" s="619">
        <v>0</v>
      </c>
      <c r="V144" s="619">
        <v>0</v>
      </c>
      <c r="W144" s="618">
        <f t="shared" si="455"/>
        <v>0</v>
      </c>
      <c r="X144" s="619">
        <v>0</v>
      </c>
      <c r="Y144" s="619">
        <v>0</v>
      </c>
      <c r="Z144" s="618">
        <f t="shared" si="456"/>
        <v>0</v>
      </c>
      <c r="AA144" s="619">
        <v>0</v>
      </c>
      <c r="AB144" s="619">
        <v>0</v>
      </c>
      <c r="AC144" s="618">
        <f t="shared" si="457"/>
        <v>0</v>
      </c>
      <c r="AD144" s="619">
        <v>0</v>
      </c>
      <c r="AE144" s="619">
        <v>0</v>
      </c>
      <c r="AF144" s="618">
        <f t="shared" si="458"/>
        <v>0</v>
      </c>
      <c r="AG144" s="619">
        <v>0</v>
      </c>
      <c r="AH144" s="619">
        <v>0</v>
      </c>
      <c r="AI144" s="618">
        <f t="shared" si="459"/>
        <v>0</v>
      </c>
      <c r="AJ144" s="619">
        <v>0</v>
      </c>
      <c r="AK144" s="619">
        <v>0</v>
      </c>
      <c r="AL144" s="618">
        <f t="shared" si="460"/>
        <v>0</v>
      </c>
      <c r="AM144" s="619">
        <v>0</v>
      </c>
      <c r="AN144" s="619">
        <v>0</v>
      </c>
      <c r="AO144" s="618">
        <f t="shared" si="461"/>
        <v>0</v>
      </c>
      <c r="AP144" s="619">
        <v>0</v>
      </c>
      <c r="AQ144" s="619">
        <v>0</v>
      </c>
      <c r="AR144" s="618">
        <f t="shared" si="462"/>
        <v>0</v>
      </c>
      <c r="AS144" s="619">
        <v>0</v>
      </c>
      <c r="AT144" s="619">
        <v>0</v>
      </c>
      <c r="AU144" s="618">
        <f t="shared" si="463"/>
        <v>0</v>
      </c>
      <c r="AV144" s="619">
        <v>0</v>
      </c>
      <c r="AW144" s="666"/>
      <c r="AX144" s="619">
        <v>0</v>
      </c>
      <c r="AY144" s="619">
        <v>0</v>
      </c>
      <c r="AZ144" s="618">
        <f t="shared" si="464"/>
        <v>0</v>
      </c>
      <c r="BA144" s="619">
        <v>0</v>
      </c>
      <c r="BB144" s="654"/>
      <c r="BC144" s="619">
        <v>0</v>
      </c>
      <c r="BD144" s="619">
        <v>0</v>
      </c>
      <c r="BE144" s="618">
        <f t="shared" si="465"/>
        <v>0</v>
      </c>
      <c r="BF144" s="619">
        <v>0</v>
      </c>
      <c r="BG144" s="619"/>
      <c r="BH144" s="619">
        <v>0</v>
      </c>
      <c r="BI144" s="619">
        <v>0</v>
      </c>
      <c r="BJ144" s="618">
        <f t="shared" si="466"/>
        <v>0</v>
      </c>
      <c r="BK144" s="618">
        <f t="shared" si="468"/>
        <v>0</v>
      </c>
      <c r="BL144" s="607"/>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row>
    <row r="145" spans="1:179" s="9" customFormat="1" ht="39">
      <c r="A145" s="522" t="s">
        <v>95</v>
      </c>
      <c r="B145" s="522" t="s">
        <v>335</v>
      </c>
      <c r="C145" s="618">
        <v>14056080</v>
      </c>
      <c r="D145" s="618">
        <v>14056080</v>
      </c>
      <c r="E145" s="618">
        <v>0</v>
      </c>
      <c r="F145" s="618">
        <v>0</v>
      </c>
      <c r="G145" s="618">
        <v>14056080</v>
      </c>
      <c r="H145" s="618">
        <v>4603335</v>
      </c>
      <c r="I145" s="618">
        <f>AU145-H145</f>
        <v>0</v>
      </c>
      <c r="J145" s="618">
        <f t="shared" si="467"/>
        <v>4603335</v>
      </c>
      <c r="K145" s="618">
        <v>5155937.95</v>
      </c>
      <c r="L145" s="618">
        <v>0</v>
      </c>
      <c r="M145" s="618">
        <v>0</v>
      </c>
      <c r="N145" s="618">
        <f t="shared" si="452"/>
        <v>0</v>
      </c>
      <c r="O145" s="619"/>
      <c r="P145" s="619">
        <v>0</v>
      </c>
      <c r="Q145" s="618">
        <f t="shared" si="453"/>
        <v>0</v>
      </c>
      <c r="R145" s="619">
        <f>Q145</f>
        <v>0</v>
      </c>
      <c r="S145" s="619">
        <v>0</v>
      </c>
      <c r="T145" s="618">
        <f t="shared" si="454"/>
        <v>0</v>
      </c>
      <c r="U145" s="618">
        <f>T145</f>
        <v>0</v>
      </c>
      <c r="V145" s="619">
        <v>0</v>
      </c>
      <c r="W145" s="618">
        <f t="shared" si="455"/>
        <v>0</v>
      </c>
      <c r="X145" s="619">
        <f>W145+773754</f>
        <v>773754</v>
      </c>
      <c r="Y145" s="619">
        <v>0</v>
      </c>
      <c r="Z145" s="618">
        <f t="shared" si="456"/>
        <v>773754</v>
      </c>
      <c r="AA145" s="619">
        <f>Z145+1626600</f>
        <v>2400354</v>
      </c>
      <c r="AB145" s="619">
        <v>0</v>
      </c>
      <c r="AC145" s="618">
        <f t="shared" si="457"/>
        <v>2400354</v>
      </c>
      <c r="AD145" s="619">
        <f>AC145+1461988</f>
        <v>3862342</v>
      </c>
      <c r="AE145" s="619">
        <v>0</v>
      </c>
      <c r="AF145" s="618">
        <f t="shared" si="458"/>
        <v>3862342</v>
      </c>
      <c r="AG145" s="619">
        <f>AF145+597404</f>
        <v>4459746</v>
      </c>
      <c r="AH145" s="619">
        <v>0</v>
      </c>
      <c r="AI145" s="618">
        <f t="shared" si="459"/>
        <v>4459746</v>
      </c>
      <c r="AJ145" s="619">
        <f>AI145+143589</f>
        <v>4603335</v>
      </c>
      <c r="AK145" s="619">
        <v>0</v>
      </c>
      <c r="AL145" s="618">
        <f t="shared" si="460"/>
        <v>4603335</v>
      </c>
      <c r="AM145" s="619">
        <f>AL145</f>
        <v>4603335</v>
      </c>
      <c r="AN145" s="619">
        <v>0</v>
      </c>
      <c r="AO145" s="618">
        <f t="shared" si="461"/>
        <v>4603335</v>
      </c>
      <c r="AP145" s="619">
        <f>AO145</f>
        <v>4603335</v>
      </c>
      <c r="AQ145" s="619">
        <v>0</v>
      </c>
      <c r="AR145" s="618">
        <f t="shared" si="462"/>
        <v>4603335</v>
      </c>
      <c r="AS145" s="619">
        <f>AR145</f>
        <v>4603335</v>
      </c>
      <c r="AT145" s="619">
        <v>0</v>
      </c>
      <c r="AU145" s="618">
        <f t="shared" si="463"/>
        <v>4603335</v>
      </c>
      <c r="AV145" s="619">
        <v>0</v>
      </c>
      <c r="AW145" s="666"/>
      <c r="AX145" s="619">
        <v>4296807</v>
      </c>
      <c r="AY145" s="619">
        <v>0</v>
      </c>
      <c r="AZ145" s="618">
        <f t="shared" si="464"/>
        <v>4296807</v>
      </c>
      <c r="BA145" s="619">
        <v>0</v>
      </c>
      <c r="BB145" s="654"/>
      <c r="BC145" s="619">
        <v>0</v>
      </c>
      <c r="BD145" s="619">
        <v>0</v>
      </c>
      <c r="BE145" s="618">
        <f t="shared" si="465"/>
        <v>0</v>
      </c>
      <c r="BF145" s="619">
        <v>0</v>
      </c>
      <c r="BG145" s="619"/>
      <c r="BH145" s="619">
        <f>SUM(BC145,AS145,AX145)</f>
        <v>8900142</v>
      </c>
      <c r="BI145" s="619">
        <v>0</v>
      </c>
      <c r="BJ145" s="618">
        <f t="shared" si="466"/>
        <v>8900142</v>
      </c>
      <c r="BK145" s="618">
        <f t="shared" si="468"/>
        <v>0</v>
      </c>
      <c r="BL145" s="607"/>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row>
    <row r="146" spans="1:179" s="9" customFormat="1" ht="132" customHeight="1">
      <c r="A146" s="522" t="s">
        <v>96</v>
      </c>
      <c r="B146" s="522" t="s">
        <v>334</v>
      </c>
      <c r="C146" s="618">
        <v>16188733.115567999</v>
      </c>
      <c r="D146" s="618">
        <v>16188733.115567999</v>
      </c>
      <c r="E146" s="618">
        <v>0</v>
      </c>
      <c r="F146" s="618">
        <v>0</v>
      </c>
      <c r="G146" s="618">
        <v>16188733.115567999</v>
      </c>
      <c r="H146" s="618">
        <v>4705475</v>
      </c>
      <c r="I146" s="618">
        <v>0</v>
      </c>
      <c r="J146" s="618">
        <f t="shared" ref="J146:J178" si="469">H146+I146</f>
        <v>4705475</v>
      </c>
      <c r="K146" s="618">
        <v>0</v>
      </c>
      <c r="L146" s="618">
        <v>0</v>
      </c>
      <c r="M146" s="618">
        <v>0</v>
      </c>
      <c r="N146" s="618">
        <f t="shared" si="452"/>
        <v>0</v>
      </c>
      <c r="O146" s="619">
        <v>199674</v>
      </c>
      <c r="P146" s="619">
        <v>0</v>
      </c>
      <c r="Q146" s="618">
        <f t="shared" si="453"/>
        <v>199674</v>
      </c>
      <c r="R146" s="619">
        <v>199674</v>
      </c>
      <c r="S146" s="619">
        <v>0</v>
      </c>
      <c r="T146" s="618">
        <f t="shared" si="454"/>
        <v>199674</v>
      </c>
      <c r="U146" s="619">
        <v>199674</v>
      </c>
      <c r="V146" s="619">
        <v>0</v>
      </c>
      <c r="W146" s="618">
        <f t="shared" si="455"/>
        <v>199674</v>
      </c>
      <c r="X146" s="619">
        <v>568322</v>
      </c>
      <c r="Y146" s="619">
        <v>0</v>
      </c>
      <c r="Z146" s="618">
        <f t="shared" si="456"/>
        <v>568322</v>
      </c>
      <c r="AA146" s="619">
        <v>568322</v>
      </c>
      <c r="AB146" s="619">
        <v>0</v>
      </c>
      <c r="AC146" s="618">
        <f t="shared" si="457"/>
        <v>568322</v>
      </c>
      <c r="AD146" s="619">
        <v>568322</v>
      </c>
      <c r="AE146" s="619">
        <v>0</v>
      </c>
      <c r="AF146" s="618">
        <f t="shared" si="458"/>
        <v>568322</v>
      </c>
      <c r="AG146" s="619">
        <v>2178256</v>
      </c>
      <c r="AH146" s="619">
        <v>0</v>
      </c>
      <c r="AI146" s="618">
        <f t="shared" si="459"/>
        <v>2178256</v>
      </c>
      <c r="AJ146" s="619">
        <v>2178256</v>
      </c>
      <c r="AK146" s="619">
        <v>0</v>
      </c>
      <c r="AL146" s="618">
        <f t="shared" si="460"/>
        <v>2178256</v>
      </c>
      <c r="AM146" s="619">
        <v>2178256</v>
      </c>
      <c r="AN146" s="619">
        <v>0</v>
      </c>
      <c r="AO146" s="618">
        <f t="shared" si="461"/>
        <v>2178256</v>
      </c>
      <c r="AP146" s="619">
        <v>4705475</v>
      </c>
      <c r="AQ146" s="619">
        <v>0</v>
      </c>
      <c r="AR146" s="618">
        <f t="shared" si="462"/>
        <v>4705475</v>
      </c>
      <c r="AS146" s="619">
        <v>4705475</v>
      </c>
      <c r="AT146" s="619">
        <v>0</v>
      </c>
      <c r="AU146" s="618">
        <f t="shared" si="463"/>
        <v>4705475</v>
      </c>
      <c r="AV146" s="619">
        <v>0</v>
      </c>
      <c r="AW146" s="666" t="s">
        <v>468</v>
      </c>
      <c r="AX146" s="619">
        <v>7357875</v>
      </c>
      <c r="AY146" s="619">
        <v>0</v>
      </c>
      <c r="AZ146" s="618">
        <f t="shared" si="464"/>
        <v>7357875</v>
      </c>
      <c r="BA146" s="619">
        <v>0</v>
      </c>
      <c r="BB146" s="654" t="s">
        <v>468</v>
      </c>
      <c r="BC146" s="619">
        <v>4125383</v>
      </c>
      <c r="BD146" s="619">
        <v>0</v>
      </c>
      <c r="BE146" s="618">
        <f t="shared" si="465"/>
        <v>4125383</v>
      </c>
      <c r="BF146" s="619">
        <v>0</v>
      </c>
      <c r="BG146" s="619" t="s">
        <v>468</v>
      </c>
      <c r="BH146" s="642">
        <v>16188733</v>
      </c>
      <c r="BI146" s="642">
        <v>0</v>
      </c>
      <c r="BJ146" s="618">
        <f t="shared" si="466"/>
        <v>16188733</v>
      </c>
      <c r="BK146" s="618">
        <f t="shared" si="468"/>
        <v>0</v>
      </c>
      <c r="BL146" s="604" t="s">
        <v>468</v>
      </c>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row>
    <row r="147" spans="1:179" s="9" customFormat="1" ht="97.5" hidden="1" outlineLevel="1">
      <c r="A147" s="522" t="s">
        <v>97</v>
      </c>
      <c r="B147" s="522" t="s">
        <v>333</v>
      </c>
      <c r="C147" s="618">
        <v>0</v>
      </c>
      <c r="D147" s="618">
        <v>0</v>
      </c>
      <c r="E147" s="618">
        <v>0</v>
      </c>
      <c r="F147" s="618">
        <v>0</v>
      </c>
      <c r="G147" s="618">
        <v>0</v>
      </c>
      <c r="H147" s="618">
        <v>0</v>
      </c>
      <c r="I147" s="618">
        <v>0</v>
      </c>
      <c r="J147" s="618">
        <f t="shared" si="469"/>
        <v>0</v>
      </c>
      <c r="K147" s="618">
        <v>0</v>
      </c>
      <c r="L147" s="618">
        <v>0</v>
      </c>
      <c r="M147" s="618">
        <v>0</v>
      </c>
      <c r="N147" s="618">
        <f t="shared" si="452"/>
        <v>0</v>
      </c>
      <c r="O147" s="619">
        <v>0</v>
      </c>
      <c r="P147" s="619">
        <v>0</v>
      </c>
      <c r="Q147" s="618">
        <f t="shared" si="453"/>
        <v>0</v>
      </c>
      <c r="R147" s="619">
        <v>0</v>
      </c>
      <c r="S147" s="619">
        <v>0</v>
      </c>
      <c r="T147" s="618">
        <f t="shared" si="454"/>
        <v>0</v>
      </c>
      <c r="U147" s="619">
        <v>0</v>
      </c>
      <c r="V147" s="619">
        <v>0</v>
      </c>
      <c r="W147" s="618">
        <f t="shared" si="455"/>
        <v>0</v>
      </c>
      <c r="X147" s="619">
        <v>0</v>
      </c>
      <c r="Y147" s="619">
        <v>0</v>
      </c>
      <c r="Z147" s="618">
        <f t="shared" si="456"/>
        <v>0</v>
      </c>
      <c r="AA147" s="619">
        <v>0</v>
      </c>
      <c r="AB147" s="619">
        <v>0</v>
      </c>
      <c r="AC147" s="618">
        <f t="shared" si="457"/>
        <v>0</v>
      </c>
      <c r="AD147" s="619">
        <v>0</v>
      </c>
      <c r="AE147" s="619">
        <v>0</v>
      </c>
      <c r="AF147" s="618">
        <f t="shared" si="458"/>
        <v>0</v>
      </c>
      <c r="AG147" s="619">
        <v>0</v>
      </c>
      <c r="AH147" s="619">
        <v>0</v>
      </c>
      <c r="AI147" s="618">
        <f t="shared" si="459"/>
        <v>0</v>
      </c>
      <c r="AJ147" s="619">
        <v>0</v>
      </c>
      <c r="AK147" s="619">
        <v>0</v>
      </c>
      <c r="AL147" s="618">
        <f t="shared" si="460"/>
        <v>0</v>
      </c>
      <c r="AM147" s="619">
        <v>0</v>
      </c>
      <c r="AN147" s="619">
        <v>0</v>
      </c>
      <c r="AO147" s="618">
        <f t="shared" si="461"/>
        <v>0</v>
      </c>
      <c r="AP147" s="619">
        <v>0</v>
      </c>
      <c r="AQ147" s="619">
        <v>0</v>
      </c>
      <c r="AR147" s="618">
        <f t="shared" si="462"/>
        <v>0</v>
      </c>
      <c r="AS147" s="619">
        <v>0</v>
      </c>
      <c r="AT147" s="619">
        <v>0</v>
      </c>
      <c r="AU147" s="618">
        <f t="shared" si="463"/>
        <v>0</v>
      </c>
      <c r="AV147" s="619">
        <v>0</v>
      </c>
      <c r="AW147" s="654" t="s">
        <v>468</v>
      </c>
      <c r="AX147" s="619">
        <v>0</v>
      </c>
      <c r="AY147" s="619">
        <v>0</v>
      </c>
      <c r="AZ147" s="618">
        <f t="shared" si="464"/>
        <v>0</v>
      </c>
      <c r="BA147" s="619">
        <v>0</v>
      </c>
      <c r="BB147" s="654" t="s">
        <v>468</v>
      </c>
      <c r="BC147" s="619">
        <v>0</v>
      </c>
      <c r="BD147" s="619">
        <v>0</v>
      </c>
      <c r="BE147" s="618">
        <f t="shared" si="465"/>
        <v>0</v>
      </c>
      <c r="BF147" s="619">
        <v>0</v>
      </c>
      <c r="BG147" s="619" t="s">
        <v>468</v>
      </c>
      <c r="BH147" s="642">
        <v>0</v>
      </c>
      <c r="BI147" s="642">
        <v>0</v>
      </c>
      <c r="BJ147" s="618">
        <f t="shared" si="466"/>
        <v>0</v>
      </c>
      <c r="BK147" s="618">
        <f t="shared" si="468"/>
        <v>0</v>
      </c>
      <c r="BL147" s="604" t="s">
        <v>468</v>
      </c>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row>
    <row r="148" spans="1:179" s="9" customFormat="1" ht="87.75" hidden="1" customHeight="1" outlineLevel="1">
      <c r="A148" s="522" t="s">
        <v>98</v>
      </c>
      <c r="B148" s="522" t="s">
        <v>332</v>
      </c>
      <c r="C148" s="618">
        <v>0</v>
      </c>
      <c r="D148" s="618">
        <v>0</v>
      </c>
      <c r="E148" s="618">
        <v>0</v>
      </c>
      <c r="F148" s="618">
        <v>0</v>
      </c>
      <c r="G148" s="618">
        <v>0</v>
      </c>
      <c r="H148" s="618">
        <v>0</v>
      </c>
      <c r="I148" s="618">
        <v>0</v>
      </c>
      <c r="J148" s="618">
        <f t="shared" si="469"/>
        <v>0</v>
      </c>
      <c r="K148" s="618">
        <v>0</v>
      </c>
      <c r="L148" s="618">
        <v>0</v>
      </c>
      <c r="M148" s="618">
        <v>0</v>
      </c>
      <c r="N148" s="618">
        <f t="shared" si="452"/>
        <v>0</v>
      </c>
      <c r="O148" s="619">
        <v>0</v>
      </c>
      <c r="P148" s="619">
        <v>0</v>
      </c>
      <c r="Q148" s="618">
        <f t="shared" si="453"/>
        <v>0</v>
      </c>
      <c r="R148" s="619">
        <v>0</v>
      </c>
      <c r="S148" s="619">
        <v>0</v>
      </c>
      <c r="T148" s="618">
        <f t="shared" si="454"/>
        <v>0</v>
      </c>
      <c r="U148" s="619">
        <v>0</v>
      </c>
      <c r="V148" s="619">
        <v>0</v>
      </c>
      <c r="W148" s="618">
        <f t="shared" si="455"/>
        <v>0</v>
      </c>
      <c r="X148" s="619">
        <v>0</v>
      </c>
      <c r="Y148" s="619">
        <v>0</v>
      </c>
      <c r="Z148" s="618">
        <f t="shared" si="456"/>
        <v>0</v>
      </c>
      <c r="AA148" s="619">
        <v>0</v>
      </c>
      <c r="AB148" s="619">
        <v>0</v>
      </c>
      <c r="AC148" s="618">
        <f t="shared" si="457"/>
        <v>0</v>
      </c>
      <c r="AD148" s="619">
        <v>0</v>
      </c>
      <c r="AE148" s="619">
        <v>0</v>
      </c>
      <c r="AF148" s="618">
        <f t="shared" si="458"/>
        <v>0</v>
      </c>
      <c r="AG148" s="619">
        <v>0</v>
      </c>
      <c r="AH148" s="619">
        <v>0</v>
      </c>
      <c r="AI148" s="618">
        <f t="shared" si="459"/>
        <v>0</v>
      </c>
      <c r="AJ148" s="619">
        <v>0</v>
      </c>
      <c r="AK148" s="619">
        <v>0</v>
      </c>
      <c r="AL148" s="618">
        <f t="shared" si="460"/>
        <v>0</v>
      </c>
      <c r="AM148" s="619">
        <v>0</v>
      </c>
      <c r="AN148" s="619">
        <v>0</v>
      </c>
      <c r="AO148" s="618">
        <f t="shared" si="461"/>
        <v>0</v>
      </c>
      <c r="AP148" s="619">
        <v>0</v>
      </c>
      <c r="AQ148" s="619">
        <v>0</v>
      </c>
      <c r="AR148" s="618">
        <f t="shared" si="462"/>
        <v>0</v>
      </c>
      <c r="AS148" s="619">
        <v>0</v>
      </c>
      <c r="AT148" s="619">
        <v>0</v>
      </c>
      <c r="AU148" s="618">
        <f t="shared" si="463"/>
        <v>0</v>
      </c>
      <c r="AV148" s="619">
        <v>0</v>
      </c>
      <c r="AW148" s="654" t="s">
        <v>468</v>
      </c>
      <c r="AX148" s="619">
        <v>0</v>
      </c>
      <c r="AY148" s="619">
        <v>0</v>
      </c>
      <c r="AZ148" s="618">
        <f t="shared" si="464"/>
        <v>0</v>
      </c>
      <c r="BA148" s="619">
        <v>0</v>
      </c>
      <c r="BB148" s="654" t="s">
        <v>468</v>
      </c>
      <c r="BC148" s="619">
        <v>0</v>
      </c>
      <c r="BD148" s="619">
        <v>0</v>
      </c>
      <c r="BE148" s="618">
        <f t="shared" si="465"/>
        <v>0</v>
      </c>
      <c r="BF148" s="619">
        <v>0</v>
      </c>
      <c r="BG148" s="619" t="s">
        <v>468</v>
      </c>
      <c r="BH148" s="642">
        <v>0</v>
      </c>
      <c r="BI148" s="642">
        <v>0</v>
      </c>
      <c r="BJ148" s="618">
        <f t="shared" si="466"/>
        <v>0</v>
      </c>
      <c r="BK148" s="618">
        <f t="shared" si="468"/>
        <v>0</v>
      </c>
      <c r="BL148" s="604" t="s">
        <v>468</v>
      </c>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row>
    <row r="149" spans="1:179" s="2" customFormat="1" ht="64.5" customHeight="1" collapsed="1">
      <c r="A149" s="523"/>
      <c r="B149" s="521" t="s">
        <v>331</v>
      </c>
      <c r="C149" s="617">
        <f t="shared" ref="C149:AE149" si="470">SUM(C150:C161)</f>
        <v>452200135.1013</v>
      </c>
      <c r="D149" s="617">
        <f t="shared" si="470"/>
        <v>452200135.1013</v>
      </c>
      <c r="E149" s="617">
        <f t="shared" si="470"/>
        <v>66588922</v>
      </c>
      <c r="F149" s="617">
        <f t="shared" si="470"/>
        <v>66588922</v>
      </c>
      <c r="G149" s="617">
        <f t="shared" si="470"/>
        <v>518789057.1013</v>
      </c>
      <c r="H149" s="617">
        <f t="shared" si="470"/>
        <v>47600792</v>
      </c>
      <c r="I149" s="617">
        <f t="shared" si="470"/>
        <v>48140765</v>
      </c>
      <c r="J149" s="617">
        <f t="shared" si="470"/>
        <v>95741557</v>
      </c>
      <c r="K149" s="617">
        <f t="shared" si="470"/>
        <v>276114680.69</v>
      </c>
      <c r="L149" s="617">
        <f t="shared" si="470"/>
        <v>1995269.09</v>
      </c>
      <c r="M149" s="617">
        <f t="shared" si="470"/>
        <v>0</v>
      </c>
      <c r="N149" s="617">
        <f t="shared" si="470"/>
        <v>1995269.09</v>
      </c>
      <c r="O149" s="617">
        <f t="shared" si="470"/>
        <v>9175497.1400000006</v>
      </c>
      <c r="P149" s="617">
        <f t="shared" si="470"/>
        <v>0</v>
      </c>
      <c r="Q149" s="617">
        <f t="shared" ref="Q149" si="471">SUM(Q150:Q161)</f>
        <v>9175497.1400000006</v>
      </c>
      <c r="R149" s="617">
        <f t="shared" si="470"/>
        <v>14513740.254000001</v>
      </c>
      <c r="S149" s="617">
        <f t="shared" si="470"/>
        <v>0</v>
      </c>
      <c r="T149" s="617">
        <f t="shared" ref="T149" si="472">SUM(T150:T161)</f>
        <v>14513740.254000001</v>
      </c>
      <c r="U149" s="617">
        <f t="shared" si="470"/>
        <v>16054097.664000001</v>
      </c>
      <c r="V149" s="617">
        <f t="shared" si="470"/>
        <v>0</v>
      </c>
      <c r="W149" s="617">
        <f t="shared" ref="W149" si="473">SUM(W150:W161)</f>
        <v>16054097.664000001</v>
      </c>
      <c r="X149" s="617">
        <f t="shared" si="470"/>
        <v>21734450.524</v>
      </c>
      <c r="Y149" s="617">
        <f t="shared" si="470"/>
        <v>0</v>
      </c>
      <c r="Z149" s="617">
        <f t="shared" ref="Z149" si="474">SUM(Z150:Z161)</f>
        <v>21734450.524</v>
      </c>
      <c r="AA149" s="617">
        <f t="shared" si="470"/>
        <v>25623616.644000001</v>
      </c>
      <c r="AB149" s="617">
        <f t="shared" si="470"/>
        <v>0</v>
      </c>
      <c r="AC149" s="617">
        <f t="shared" ref="AC149" si="475">SUM(AC150:AC161)</f>
        <v>25623616.644000001</v>
      </c>
      <c r="AD149" s="617">
        <f t="shared" si="470"/>
        <v>33763669.544000007</v>
      </c>
      <c r="AE149" s="617">
        <f t="shared" si="470"/>
        <v>1653727</v>
      </c>
      <c r="AF149" s="617">
        <f t="shared" ref="AF149" si="476">SUM(AF150:AF161)</f>
        <v>35417396.544000007</v>
      </c>
      <c r="AG149" s="617">
        <f t="shared" ref="AG149:BI149" si="477">SUM(AG150:AG161)</f>
        <v>38646550.174000002</v>
      </c>
      <c r="AH149" s="617">
        <f t="shared" si="477"/>
        <v>2631061</v>
      </c>
      <c r="AI149" s="617">
        <f t="shared" si="477"/>
        <v>41277611.174000002</v>
      </c>
      <c r="AJ149" s="617">
        <f t="shared" si="477"/>
        <v>40279036.294</v>
      </c>
      <c r="AK149" s="617">
        <f t="shared" si="477"/>
        <v>2631061</v>
      </c>
      <c r="AL149" s="617">
        <f t="shared" si="477"/>
        <v>42910097.294</v>
      </c>
      <c r="AM149" s="617">
        <f t="shared" si="477"/>
        <v>43759691.357999995</v>
      </c>
      <c r="AN149" s="617">
        <f t="shared" si="477"/>
        <v>12175393.789999999</v>
      </c>
      <c r="AO149" s="617">
        <f t="shared" si="477"/>
        <v>55935085.147999994</v>
      </c>
      <c r="AP149" s="617">
        <f t="shared" si="477"/>
        <v>54808484.408</v>
      </c>
      <c r="AQ149" s="617">
        <f t="shared" si="477"/>
        <v>14454309.52</v>
      </c>
      <c r="AR149" s="617">
        <f t="shared" si="477"/>
        <v>69262793.928000003</v>
      </c>
      <c r="AS149" s="617">
        <f t="shared" si="477"/>
        <v>60901343.279999994</v>
      </c>
      <c r="AT149" s="617">
        <f t="shared" si="477"/>
        <v>17349651.949999999</v>
      </c>
      <c r="AU149" s="617">
        <f t="shared" si="477"/>
        <v>78250995.230000004</v>
      </c>
      <c r="AV149" s="617">
        <f t="shared" si="477"/>
        <v>2812553.3952859999</v>
      </c>
      <c r="AW149" s="653"/>
      <c r="AX149" s="617">
        <f t="shared" si="477"/>
        <v>63292362.995999999</v>
      </c>
      <c r="AY149" s="617">
        <f t="shared" si="477"/>
        <v>29187221.889999997</v>
      </c>
      <c r="AZ149" s="617">
        <f t="shared" ref="AZ149:BA149" si="478">SUM(AZ150:AZ161)</f>
        <v>92479584.885999992</v>
      </c>
      <c r="BA149" s="617">
        <f t="shared" si="478"/>
        <v>668630.848444</v>
      </c>
      <c r="BB149" s="653"/>
      <c r="BC149" s="617">
        <f t="shared" si="477"/>
        <v>48138172.468000002</v>
      </c>
      <c r="BD149" s="617">
        <f t="shared" si="477"/>
        <v>20854023.490000002</v>
      </c>
      <c r="BE149" s="617">
        <f t="shared" ref="BE149:BF149" si="479">SUM(BE150:BE161)</f>
        <v>68992195.958000004</v>
      </c>
      <c r="BF149" s="617">
        <f t="shared" si="479"/>
        <v>338795.04773200001</v>
      </c>
      <c r="BG149" s="617"/>
      <c r="BH149" s="617">
        <f t="shared" si="477"/>
        <v>172331878.74400002</v>
      </c>
      <c r="BI149" s="617">
        <f t="shared" si="477"/>
        <v>67390897.329999998</v>
      </c>
      <c r="BJ149" s="617">
        <f t="shared" ref="BJ149" si="480">SUM(BJ150:BJ161)</f>
        <v>239722776.074</v>
      </c>
      <c r="BK149" s="617">
        <f t="shared" si="468"/>
        <v>3819979.2914619995</v>
      </c>
      <c r="BL149" s="596"/>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row>
    <row r="150" spans="1:179" s="9" customFormat="1" ht="113.25" customHeight="1">
      <c r="A150" s="522" t="s">
        <v>99</v>
      </c>
      <c r="B150" s="522" t="s">
        <v>330</v>
      </c>
      <c r="C150" s="618">
        <v>100848003.261924</v>
      </c>
      <c r="D150" s="618">
        <v>100848003.261924</v>
      </c>
      <c r="E150" s="618">
        <v>0</v>
      </c>
      <c r="F150" s="618">
        <v>0</v>
      </c>
      <c r="G150" s="618">
        <v>100848003.261924</v>
      </c>
      <c r="H150" s="643">
        <v>8253291</v>
      </c>
      <c r="I150" s="618">
        <v>6387493</v>
      </c>
      <c r="J150" s="618">
        <f t="shared" si="469"/>
        <v>14640784</v>
      </c>
      <c r="K150" s="618">
        <v>52040354.409999996</v>
      </c>
      <c r="L150" s="622">
        <v>507192</v>
      </c>
      <c r="M150" s="622">
        <v>0</v>
      </c>
      <c r="N150" s="618">
        <f t="shared" si="452"/>
        <v>507192</v>
      </c>
      <c r="O150" s="623">
        <v>2027662</v>
      </c>
      <c r="P150" s="623">
        <v>0</v>
      </c>
      <c r="Q150" s="618">
        <f t="shared" si="453"/>
        <v>2027662</v>
      </c>
      <c r="R150" s="623">
        <v>2830359</v>
      </c>
      <c r="S150" s="623">
        <v>0</v>
      </c>
      <c r="T150" s="618">
        <f t="shared" si="454"/>
        <v>2830359</v>
      </c>
      <c r="U150" s="623">
        <v>3924533</v>
      </c>
      <c r="V150" s="623">
        <v>0</v>
      </c>
      <c r="W150" s="618">
        <f t="shared" si="455"/>
        <v>3924533</v>
      </c>
      <c r="X150" s="623">
        <v>5782081</v>
      </c>
      <c r="Y150" s="623">
        <v>0</v>
      </c>
      <c r="Z150" s="618">
        <f t="shared" si="456"/>
        <v>5782081</v>
      </c>
      <c r="AA150" s="623">
        <v>7959200</v>
      </c>
      <c r="AB150" s="623">
        <v>0</v>
      </c>
      <c r="AC150" s="618">
        <f t="shared" si="457"/>
        <v>7959200</v>
      </c>
      <c r="AD150" s="623">
        <v>9245933</v>
      </c>
      <c r="AE150" s="623">
        <v>0</v>
      </c>
      <c r="AF150" s="618">
        <f t="shared" si="458"/>
        <v>9245933</v>
      </c>
      <c r="AG150" s="623">
        <v>9944064</v>
      </c>
      <c r="AH150" s="623">
        <v>0</v>
      </c>
      <c r="AI150" s="618">
        <f t="shared" si="459"/>
        <v>9944064</v>
      </c>
      <c r="AJ150" s="623">
        <v>10203877</v>
      </c>
      <c r="AK150" s="623">
        <v>0</v>
      </c>
      <c r="AL150" s="618">
        <f t="shared" si="460"/>
        <v>10203877</v>
      </c>
      <c r="AM150" s="623">
        <f>10407911+387515.87</f>
        <v>10795426.869999999</v>
      </c>
      <c r="AN150" s="623">
        <v>0</v>
      </c>
      <c r="AO150" s="618">
        <f t="shared" si="461"/>
        <v>10795426.869999999</v>
      </c>
      <c r="AP150" s="623">
        <f>10666516+1259426.59</f>
        <v>11925942.59</v>
      </c>
      <c r="AQ150" s="623">
        <v>0</v>
      </c>
      <c r="AR150" s="618">
        <f t="shared" si="462"/>
        <v>11925942.59</v>
      </c>
      <c r="AS150" s="538">
        <f>10934389+1937579.36</f>
        <v>12871968.359999999</v>
      </c>
      <c r="AT150" s="623">
        <v>0</v>
      </c>
      <c r="AU150" s="618">
        <f t="shared" si="463"/>
        <v>12871968.359999999</v>
      </c>
      <c r="AV150" s="623">
        <v>1526324.5</v>
      </c>
      <c r="AW150" s="667" t="s">
        <v>1499</v>
      </c>
      <c r="AX150" s="623">
        <f>3608856-455000+2215913.46+9134302.72</f>
        <v>14504072.18</v>
      </c>
      <c r="AY150" s="623">
        <v>0</v>
      </c>
      <c r="AZ150" s="618">
        <f t="shared" si="464"/>
        <v>14504072.18</v>
      </c>
      <c r="BA150" s="623">
        <v>0</v>
      </c>
      <c r="BB150" s="667" t="s">
        <v>1500</v>
      </c>
      <c r="BC150" s="623">
        <v>16607823.140000001</v>
      </c>
      <c r="BD150" s="623">
        <v>0</v>
      </c>
      <c r="BE150" s="618">
        <f t="shared" si="465"/>
        <v>16607823.140000001</v>
      </c>
      <c r="BF150" s="623">
        <v>0</v>
      </c>
      <c r="BG150" s="623"/>
      <c r="BH150" s="622">
        <f t="shared" ref="BH150:BI156" si="481">AS150+AX150+BC150</f>
        <v>43983863.68</v>
      </c>
      <c r="BI150" s="622">
        <f t="shared" si="481"/>
        <v>0</v>
      </c>
      <c r="BJ150" s="618">
        <f t="shared" si="466"/>
        <v>43983863.68</v>
      </c>
      <c r="BK150" s="618">
        <f t="shared" si="468"/>
        <v>1526324.5</v>
      </c>
      <c r="BL150" s="552" t="s">
        <v>1456</v>
      </c>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row>
    <row r="151" spans="1:179" s="9" customFormat="1" ht="78">
      <c r="A151" s="522" t="s">
        <v>100</v>
      </c>
      <c r="B151" s="522" t="s">
        <v>329</v>
      </c>
      <c r="C151" s="618">
        <v>2124999.5800080001</v>
      </c>
      <c r="D151" s="618">
        <v>2124999.5800080001</v>
      </c>
      <c r="E151" s="618">
        <v>0</v>
      </c>
      <c r="F151" s="618">
        <v>0</v>
      </c>
      <c r="G151" s="618">
        <v>2124999.5800080001</v>
      </c>
      <c r="H151" s="643">
        <v>1008340</v>
      </c>
      <c r="I151" s="618">
        <v>0</v>
      </c>
      <c r="J151" s="618">
        <f t="shared" si="469"/>
        <v>1008340</v>
      </c>
      <c r="K151" s="618">
        <v>0</v>
      </c>
      <c r="L151" s="622">
        <v>0</v>
      </c>
      <c r="M151" s="622">
        <v>0</v>
      </c>
      <c r="N151" s="618">
        <f t="shared" si="452"/>
        <v>0</v>
      </c>
      <c r="O151" s="622">
        <v>0</v>
      </c>
      <c r="P151" s="622">
        <v>0</v>
      </c>
      <c r="Q151" s="618">
        <f t="shared" si="453"/>
        <v>0</v>
      </c>
      <c r="R151" s="622">
        <v>0</v>
      </c>
      <c r="S151" s="622">
        <v>0</v>
      </c>
      <c r="T151" s="618">
        <f t="shared" si="454"/>
        <v>0</v>
      </c>
      <c r="U151" s="622">
        <v>0</v>
      </c>
      <c r="V151" s="622">
        <v>0</v>
      </c>
      <c r="W151" s="618">
        <f t="shared" si="455"/>
        <v>0</v>
      </c>
      <c r="X151" s="623">
        <v>177083.25</v>
      </c>
      <c r="Y151" s="622">
        <v>0</v>
      </c>
      <c r="Z151" s="618">
        <f t="shared" si="456"/>
        <v>177083.25</v>
      </c>
      <c r="AA151" s="623">
        <f>0+X151</f>
        <v>177083.25</v>
      </c>
      <c r="AB151" s="622">
        <v>0</v>
      </c>
      <c r="AC151" s="618">
        <f t="shared" si="457"/>
        <v>177083.25</v>
      </c>
      <c r="AD151" s="623">
        <f>0+AA151</f>
        <v>177083.25</v>
      </c>
      <c r="AE151" s="622">
        <v>0</v>
      </c>
      <c r="AF151" s="618">
        <f t="shared" si="458"/>
        <v>177083.25</v>
      </c>
      <c r="AG151" s="623">
        <f>177083.25+AD151</f>
        <v>354166.5</v>
      </c>
      <c r="AH151" s="622">
        <v>0</v>
      </c>
      <c r="AI151" s="618">
        <f t="shared" si="459"/>
        <v>354166.5</v>
      </c>
      <c r="AJ151" s="623">
        <f>177083.25+AG151</f>
        <v>531249.75</v>
      </c>
      <c r="AK151" s="622">
        <v>0</v>
      </c>
      <c r="AL151" s="618">
        <f t="shared" si="460"/>
        <v>531249.75</v>
      </c>
      <c r="AM151" s="623">
        <f>177084.25+AJ151</f>
        <v>708334</v>
      </c>
      <c r="AN151" s="622">
        <v>0</v>
      </c>
      <c r="AO151" s="618">
        <f t="shared" si="461"/>
        <v>708334</v>
      </c>
      <c r="AP151" s="623">
        <f>177084.25+AM151</f>
        <v>885418.25</v>
      </c>
      <c r="AQ151" s="622">
        <v>0</v>
      </c>
      <c r="AR151" s="618">
        <f t="shared" si="462"/>
        <v>885418.25</v>
      </c>
      <c r="AS151" s="623">
        <f>122918.75+AP151</f>
        <v>1008337</v>
      </c>
      <c r="AT151" s="622">
        <v>0</v>
      </c>
      <c r="AU151" s="618">
        <f t="shared" si="463"/>
        <v>1008337</v>
      </c>
      <c r="AV151" s="623">
        <v>0</v>
      </c>
      <c r="AW151" s="655" t="s">
        <v>1457</v>
      </c>
      <c r="AX151" s="623">
        <v>1116662</v>
      </c>
      <c r="AY151" s="623">
        <v>0</v>
      </c>
      <c r="AZ151" s="618">
        <f t="shared" si="464"/>
        <v>1116662</v>
      </c>
      <c r="BA151" s="623">
        <v>0</v>
      </c>
      <c r="BB151" s="655" t="s">
        <v>1457</v>
      </c>
      <c r="BC151" s="623">
        <v>0</v>
      </c>
      <c r="BD151" s="623">
        <v>0</v>
      </c>
      <c r="BE151" s="618">
        <f t="shared" si="465"/>
        <v>0</v>
      </c>
      <c r="BF151" s="623">
        <v>0</v>
      </c>
      <c r="BG151" s="623"/>
      <c r="BH151" s="622">
        <f t="shared" si="481"/>
        <v>2124999</v>
      </c>
      <c r="BI151" s="622">
        <f t="shared" si="481"/>
        <v>0</v>
      </c>
      <c r="BJ151" s="618">
        <f t="shared" si="466"/>
        <v>2124999</v>
      </c>
      <c r="BK151" s="618">
        <f t="shared" si="468"/>
        <v>0</v>
      </c>
      <c r="BL151" s="605" t="s">
        <v>1458</v>
      </c>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row>
    <row r="152" spans="1:179" s="9" customFormat="1" ht="64.5" customHeight="1">
      <c r="A152" s="522" t="s">
        <v>101</v>
      </c>
      <c r="B152" s="522" t="s">
        <v>328</v>
      </c>
      <c r="C152" s="618">
        <v>23368233</v>
      </c>
      <c r="D152" s="618">
        <v>23368233</v>
      </c>
      <c r="E152" s="618">
        <v>0</v>
      </c>
      <c r="F152" s="618">
        <v>0</v>
      </c>
      <c r="G152" s="618">
        <v>23368233</v>
      </c>
      <c r="H152" s="618">
        <v>3144608</v>
      </c>
      <c r="I152" s="618">
        <v>1198930</v>
      </c>
      <c r="J152" s="618">
        <f t="shared" si="469"/>
        <v>4343538</v>
      </c>
      <c r="K152" s="618">
        <v>7766594.21</v>
      </c>
      <c r="L152" s="622">
        <v>0</v>
      </c>
      <c r="M152" s="622">
        <v>0</v>
      </c>
      <c r="N152" s="618">
        <f t="shared" si="452"/>
        <v>0</v>
      </c>
      <c r="O152" s="623">
        <v>0</v>
      </c>
      <c r="P152" s="623">
        <v>0</v>
      </c>
      <c r="Q152" s="618">
        <f t="shared" si="453"/>
        <v>0</v>
      </c>
      <c r="R152" s="623">
        <v>461976.25399999972</v>
      </c>
      <c r="S152" s="623">
        <v>0</v>
      </c>
      <c r="T152" s="618">
        <f t="shared" si="454"/>
        <v>461976.25399999972</v>
      </c>
      <c r="U152" s="623">
        <f>R152</f>
        <v>461976.25399999972</v>
      </c>
      <c r="V152" s="623">
        <v>0</v>
      </c>
      <c r="W152" s="618">
        <f t="shared" si="455"/>
        <v>461976.25399999972</v>
      </c>
      <c r="X152" s="623">
        <f>U152</f>
        <v>461976.25399999972</v>
      </c>
      <c r="Y152" s="623">
        <v>0</v>
      </c>
      <c r="Z152" s="618">
        <f t="shared" si="456"/>
        <v>461976.25399999972</v>
      </c>
      <c r="AA152" s="623">
        <f>X152</f>
        <v>461976.25399999972</v>
      </c>
      <c r="AB152" s="623">
        <v>0</v>
      </c>
      <c r="AC152" s="618">
        <f t="shared" si="457"/>
        <v>461976.25399999972</v>
      </c>
      <c r="AD152" s="623">
        <v>1414596.1139999996</v>
      </c>
      <c r="AE152" s="623">
        <v>0</v>
      </c>
      <c r="AF152" s="618">
        <f t="shared" si="458"/>
        <v>1414596.1139999996</v>
      </c>
      <c r="AG152" s="623">
        <f>AD152</f>
        <v>1414596.1139999996</v>
      </c>
      <c r="AH152" s="623">
        <v>0</v>
      </c>
      <c r="AI152" s="618">
        <f t="shared" si="459"/>
        <v>1414596.1139999996</v>
      </c>
      <c r="AJ152" s="623">
        <f>AG152</f>
        <v>1414596.1139999996</v>
      </c>
      <c r="AK152" s="623">
        <v>0</v>
      </c>
      <c r="AL152" s="618">
        <f t="shared" si="460"/>
        <v>1414596.1139999996</v>
      </c>
      <c r="AM152" s="623">
        <v>2910679.0479999995</v>
      </c>
      <c r="AN152" s="623">
        <v>0</v>
      </c>
      <c r="AO152" s="618">
        <f t="shared" si="461"/>
        <v>2910679.0479999995</v>
      </c>
      <c r="AP152" s="623">
        <f>AM152</f>
        <v>2910679.0479999995</v>
      </c>
      <c r="AQ152" s="623">
        <v>0</v>
      </c>
      <c r="AR152" s="618">
        <f t="shared" si="462"/>
        <v>2910679.0479999995</v>
      </c>
      <c r="AS152" s="623">
        <v>3498007.25</v>
      </c>
      <c r="AT152" s="623">
        <v>0</v>
      </c>
      <c r="AU152" s="618">
        <f t="shared" si="463"/>
        <v>3498007.25</v>
      </c>
      <c r="AV152" s="623">
        <v>0</v>
      </c>
      <c r="AW152" s="655" t="s">
        <v>1457</v>
      </c>
      <c r="AX152" s="623">
        <v>4946829.04</v>
      </c>
      <c r="AY152" s="623">
        <v>0</v>
      </c>
      <c r="AZ152" s="618">
        <f t="shared" si="464"/>
        <v>4946829.04</v>
      </c>
      <c r="BA152" s="623">
        <v>0</v>
      </c>
      <c r="BB152" s="655" t="s">
        <v>1459</v>
      </c>
      <c r="BC152" s="623">
        <v>7156802.5</v>
      </c>
      <c r="BD152" s="623">
        <v>0</v>
      </c>
      <c r="BE152" s="618">
        <f t="shared" si="465"/>
        <v>7156802.5</v>
      </c>
      <c r="BF152" s="623">
        <v>0</v>
      </c>
      <c r="BG152" s="622" t="s">
        <v>1459</v>
      </c>
      <c r="BH152" s="622">
        <f t="shared" si="481"/>
        <v>15601638.789999999</v>
      </c>
      <c r="BI152" s="622">
        <f t="shared" si="481"/>
        <v>0</v>
      </c>
      <c r="BJ152" s="618">
        <f t="shared" si="466"/>
        <v>15601638.789999999</v>
      </c>
      <c r="BK152" s="618">
        <f t="shared" si="468"/>
        <v>0</v>
      </c>
      <c r="BL152" s="605" t="s">
        <v>1458</v>
      </c>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row>
    <row r="153" spans="1:179" s="9" customFormat="1" ht="121.5">
      <c r="A153" s="522" t="s">
        <v>102</v>
      </c>
      <c r="B153" s="522" t="s">
        <v>380</v>
      </c>
      <c r="C153" s="618">
        <v>7028040</v>
      </c>
      <c r="D153" s="618">
        <v>7028040</v>
      </c>
      <c r="E153" s="618">
        <v>0</v>
      </c>
      <c r="F153" s="618">
        <v>0</v>
      </c>
      <c r="G153" s="618">
        <v>7028040</v>
      </c>
      <c r="H153" s="618">
        <v>1426339</v>
      </c>
      <c r="I153" s="618">
        <v>264634</v>
      </c>
      <c r="J153" s="618">
        <f t="shared" si="469"/>
        <v>1690973</v>
      </c>
      <c r="K153" s="618">
        <v>2305146.9899999998</v>
      </c>
      <c r="L153" s="622">
        <v>0</v>
      </c>
      <c r="M153" s="622">
        <v>0</v>
      </c>
      <c r="N153" s="618">
        <f t="shared" si="452"/>
        <v>0</v>
      </c>
      <c r="O153" s="622">
        <v>0</v>
      </c>
      <c r="P153" s="622">
        <v>0</v>
      </c>
      <c r="Q153" s="618">
        <f t="shared" si="453"/>
        <v>0</v>
      </c>
      <c r="R153" s="623">
        <v>226661.86</v>
      </c>
      <c r="S153" s="623">
        <v>0</v>
      </c>
      <c r="T153" s="618">
        <f t="shared" si="454"/>
        <v>226661.86</v>
      </c>
      <c r="U153" s="623">
        <f>49849.13+R153</f>
        <v>276510.99</v>
      </c>
      <c r="V153" s="623">
        <v>0</v>
      </c>
      <c r="W153" s="618">
        <f t="shared" si="455"/>
        <v>276510.99</v>
      </c>
      <c r="X153" s="623">
        <f>216719.05+U153</f>
        <v>493230.04</v>
      </c>
      <c r="Y153" s="623">
        <v>0</v>
      </c>
      <c r="Z153" s="618">
        <f t="shared" si="456"/>
        <v>493230.04</v>
      </c>
      <c r="AA153" s="623">
        <f>216756.22+X153</f>
        <v>709986.26</v>
      </c>
      <c r="AB153" s="623">
        <v>0</v>
      </c>
      <c r="AC153" s="618">
        <f t="shared" si="457"/>
        <v>709986.26</v>
      </c>
      <c r="AD153" s="623">
        <f>226232.38+AA153</f>
        <v>936218.64</v>
      </c>
      <c r="AE153" s="623">
        <v>0</v>
      </c>
      <c r="AF153" s="618">
        <f t="shared" si="458"/>
        <v>936218.64</v>
      </c>
      <c r="AG153" s="623">
        <f>155654+AD153</f>
        <v>1091872.6400000001</v>
      </c>
      <c r="AH153" s="623">
        <v>0</v>
      </c>
      <c r="AI153" s="618">
        <f t="shared" si="459"/>
        <v>1091872.6400000001</v>
      </c>
      <c r="AJ153" s="623">
        <f>176550.82+AG153</f>
        <v>1268423.4600000002</v>
      </c>
      <c r="AK153" s="623">
        <v>0</v>
      </c>
      <c r="AL153" s="618">
        <f t="shared" si="460"/>
        <v>1268423.4600000002</v>
      </c>
      <c r="AM153" s="623">
        <f>189520.56+AJ153</f>
        <v>1457944.0200000003</v>
      </c>
      <c r="AN153" s="623">
        <v>0</v>
      </c>
      <c r="AO153" s="618">
        <f t="shared" si="461"/>
        <v>1457944.0200000003</v>
      </c>
      <c r="AP153" s="623">
        <f>133175.13+AM153</f>
        <v>1591119.1500000004</v>
      </c>
      <c r="AQ153" s="623">
        <v>0</v>
      </c>
      <c r="AR153" s="618">
        <f t="shared" si="462"/>
        <v>1591119.1500000004</v>
      </c>
      <c r="AS153" s="623">
        <f>192598.33+AP153</f>
        <v>1783717.4800000004</v>
      </c>
      <c r="AT153" s="623">
        <v>0</v>
      </c>
      <c r="AU153" s="618">
        <f t="shared" si="463"/>
        <v>1783717.4800000004</v>
      </c>
      <c r="AV153" s="623">
        <v>0</v>
      </c>
      <c r="AW153" s="655" t="s">
        <v>1460</v>
      </c>
      <c r="AX153" s="623">
        <v>1907336.46</v>
      </c>
      <c r="AY153" s="623">
        <v>0</v>
      </c>
      <c r="AZ153" s="618">
        <f t="shared" si="464"/>
        <v>1907336.46</v>
      </c>
      <c r="BA153" s="623">
        <v>0</v>
      </c>
      <c r="BB153" s="655" t="s">
        <v>1459</v>
      </c>
      <c r="BC153" s="623">
        <v>1031839.07</v>
      </c>
      <c r="BD153" s="623">
        <v>0</v>
      </c>
      <c r="BE153" s="618">
        <f t="shared" si="465"/>
        <v>1031839.07</v>
      </c>
      <c r="BF153" s="623">
        <v>0</v>
      </c>
      <c r="BG153" s="622" t="s">
        <v>1459</v>
      </c>
      <c r="BH153" s="622">
        <f t="shared" si="481"/>
        <v>4722893.0100000007</v>
      </c>
      <c r="BI153" s="622">
        <f t="shared" si="481"/>
        <v>0</v>
      </c>
      <c r="BJ153" s="618">
        <f t="shared" si="466"/>
        <v>4722893.0100000007</v>
      </c>
      <c r="BK153" s="618">
        <f t="shared" si="468"/>
        <v>0</v>
      </c>
      <c r="BL153" s="605" t="s">
        <v>1458</v>
      </c>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row>
    <row r="154" spans="1:179" s="9" customFormat="1" ht="109.5" customHeight="1">
      <c r="A154" s="522" t="s">
        <v>103</v>
      </c>
      <c r="B154" s="522" t="s">
        <v>327</v>
      </c>
      <c r="C154" s="618">
        <v>3514020</v>
      </c>
      <c r="D154" s="618">
        <v>3514020</v>
      </c>
      <c r="E154" s="618">
        <v>0</v>
      </c>
      <c r="F154" s="618">
        <v>0</v>
      </c>
      <c r="G154" s="618">
        <v>3514020</v>
      </c>
      <c r="H154" s="618">
        <v>173873</v>
      </c>
      <c r="I154" s="618">
        <v>0</v>
      </c>
      <c r="J154" s="618">
        <f t="shared" si="469"/>
        <v>173873</v>
      </c>
      <c r="K154" s="618">
        <v>2008889.06</v>
      </c>
      <c r="L154" s="622">
        <v>0</v>
      </c>
      <c r="M154" s="622">
        <v>0</v>
      </c>
      <c r="N154" s="618">
        <f t="shared" si="452"/>
        <v>0</v>
      </c>
      <c r="O154" s="623">
        <v>36710</v>
      </c>
      <c r="P154" s="623">
        <v>0</v>
      </c>
      <c r="Q154" s="618">
        <f t="shared" si="453"/>
        <v>36710</v>
      </c>
      <c r="R154" s="623">
        <v>36710</v>
      </c>
      <c r="S154" s="623">
        <v>0</v>
      </c>
      <c r="T154" s="618">
        <f t="shared" si="454"/>
        <v>36710</v>
      </c>
      <c r="U154" s="623">
        <v>36710</v>
      </c>
      <c r="V154" s="623">
        <v>0</v>
      </c>
      <c r="W154" s="618">
        <f t="shared" si="455"/>
        <v>36710</v>
      </c>
      <c r="X154" s="623">
        <v>36710</v>
      </c>
      <c r="Y154" s="623">
        <v>0</v>
      </c>
      <c r="Z154" s="618">
        <f t="shared" si="456"/>
        <v>36710</v>
      </c>
      <c r="AA154" s="623">
        <v>36710</v>
      </c>
      <c r="AB154" s="623">
        <v>0</v>
      </c>
      <c r="AC154" s="618">
        <f t="shared" si="457"/>
        <v>36710</v>
      </c>
      <c r="AD154" s="623">
        <v>36710</v>
      </c>
      <c r="AE154" s="623">
        <v>0</v>
      </c>
      <c r="AF154" s="618">
        <f t="shared" si="458"/>
        <v>36710</v>
      </c>
      <c r="AG154" s="623">
        <v>36710</v>
      </c>
      <c r="AH154" s="623">
        <v>0</v>
      </c>
      <c r="AI154" s="618">
        <f t="shared" si="459"/>
        <v>36710</v>
      </c>
      <c r="AJ154" s="623">
        <v>36710</v>
      </c>
      <c r="AK154" s="623">
        <v>0</v>
      </c>
      <c r="AL154" s="618">
        <f t="shared" si="460"/>
        <v>36710</v>
      </c>
      <c r="AM154" s="623">
        <v>77271.41</v>
      </c>
      <c r="AN154" s="623">
        <v>0</v>
      </c>
      <c r="AO154" s="618">
        <f t="shared" si="461"/>
        <v>77271.41</v>
      </c>
      <c r="AP154" s="623">
        <f>77271.41+177399.31</f>
        <v>254670.72</v>
      </c>
      <c r="AQ154" s="623">
        <v>0</v>
      </c>
      <c r="AR154" s="618">
        <f t="shared" si="462"/>
        <v>254670.72</v>
      </c>
      <c r="AS154" s="623">
        <f>77271.41+402045.78</f>
        <v>479317.19000000006</v>
      </c>
      <c r="AT154" s="623">
        <v>0</v>
      </c>
      <c r="AU154" s="618">
        <f t="shared" si="463"/>
        <v>479317.19000000006</v>
      </c>
      <c r="AV154" s="623">
        <v>0</v>
      </c>
      <c r="AW154" s="655" t="s">
        <v>1461</v>
      </c>
      <c r="AX154" s="623">
        <v>886996.57</v>
      </c>
      <c r="AY154" s="623">
        <v>0</v>
      </c>
      <c r="AZ154" s="618">
        <f t="shared" si="464"/>
        <v>886996.57</v>
      </c>
      <c r="BA154" s="623">
        <v>0</v>
      </c>
      <c r="BB154" s="655" t="s">
        <v>1462</v>
      </c>
      <c r="BC154" s="623">
        <v>138817.18</v>
      </c>
      <c r="BD154" s="623">
        <v>0</v>
      </c>
      <c r="BE154" s="618">
        <f t="shared" si="465"/>
        <v>138817.18</v>
      </c>
      <c r="BF154" s="623">
        <v>0</v>
      </c>
      <c r="BG154" s="622" t="s">
        <v>1462</v>
      </c>
      <c r="BH154" s="622">
        <f t="shared" si="481"/>
        <v>1505130.94</v>
      </c>
      <c r="BI154" s="622">
        <f t="shared" si="481"/>
        <v>0</v>
      </c>
      <c r="BJ154" s="618">
        <f t="shared" si="466"/>
        <v>1505130.94</v>
      </c>
      <c r="BK154" s="618">
        <f t="shared" si="468"/>
        <v>0</v>
      </c>
      <c r="BL154" s="605" t="s">
        <v>1458</v>
      </c>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row>
    <row r="155" spans="1:179" s="9" customFormat="1" ht="115.5" customHeight="1">
      <c r="A155" s="539" t="s">
        <v>104</v>
      </c>
      <c r="B155" s="522" t="s">
        <v>326</v>
      </c>
      <c r="C155" s="618">
        <v>21079828.678776</v>
      </c>
      <c r="D155" s="618">
        <v>21079828.678776</v>
      </c>
      <c r="E155" s="618">
        <v>11220767</v>
      </c>
      <c r="F155" s="618">
        <v>11220767</v>
      </c>
      <c r="G155" s="618">
        <v>32300595.678776</v>
      </c>
      <c r="H155" s="618">
        <v>326166</v>
      </c>
      <c r="I155" s="618">
        <v>2502476</v>
      </c>
      <c r="J155" s="618">
        <f t="shared" si="469"/>
        <v>2828642</v>
      </c>
      <c r="K155" s="618">
        <v>20517107.280000001</v>
      </c>
      <c r="L155" s="622">
        <v>0</v>
      </c>
      <c r="M155" s="622">
        <v>0</v>
      </c>
      <c r="N155" s="618">
        <f t="shared" si="452"/>
        <v>0</v>
      </c>
      <c r="O155" s="623">
        <f>L155+32336.88</f>
        <v>32336.880000000001</v>
      </c>
      <c r="P155" s="623">
        <v>0</v>
      </c>
      <c r="Q155" s="618">
        <f t="shared" si="453"/>
        <v>32336.880000000001</v>
      </c>
      <c r="R155" s="623">
        <f>O155+565378.18</f>
        <v>597715.06000000006</v>
      </c>
      <c r="S155" s="623">
        <v>0</v>
      </c>
      <c r="T155" s="618">
        <f t="shared" si="454"/>
        <v>597715.06000000006</v>
      </c>
      <c r="U155" s="623">
        <f>R155+47128.89+23884</f>
        <v>668727.95000000007</v>
      </c>
      <c r="V155" s="623">
        <v>0</v>
      </c>
      <c r="W155" s="618">
        <f t="shared" si="455"/>
        <v>668727.95000000007</v>
      </c>
      <c r="X155" s="623">
        <f>U155+0</f>
        <v>668727.95000000007</v>
      </c>
      <c r="Y155" s="623">
        <f>V155+0</f>
        <v>0</v>
      </c>
      <c r="Z155" s="618">
        <f t="shared" si="456"/>
        <v>668727.95000000007</v>
      </c>
      <c r="AA155" s="623">
        <f>X155+18955.15</f>
        <v>687683.10000000009</v>
      </c>
      <c r="AB155" s="623">
        <f>Y155+0</f>
        <v>0</v>
      </c>
      <c r="AC155" s="618">
        <f t="shared" si="457"/>
        <v>687683.10000000009</v>
      </c>
      <c r="AD155" s="623">
        <f>AA155+34000</f>
        <v>721683.10000000009</v>
      </c>
      <c r="AE155" s="623">
        <v>1653727</v>
      </c>
      <c r="AF155" s="618">
        <f t="shared" si="458"/>
        <v>2375410.1</v>
      </c>
      <c r="AG155" s="623">
        <f>AD155+0+11105</f>
        <v>732788.10000000009</v>
      </c>
      <c r="AH155" s="623">
        <f>AE155+977334</f>
        <v>2631061</v>
      </c>
      <c r="AI155" s="618">
        <f t="shared" si="459"/>
        <v>3363849.1</v>
      </c>
      <c r="AJ155" s="623">
        <f>AG155+0+11105</f>
        <v>743893.10000000009</v>
      </c>
      <c r="AK155" s="623">
        <f>AH155+0</f>
        <v>2631061</v>
      </c>
      <c r="AL155" s="618">
        <f t="shared" si="460"/>
        <v>3374954.1</v>
      </c>
      <c r="AM155" s="623">
        <f>AJ155+106197.98+11105</f>
        <v>861196.08000000007</v>
      </c>
      <c r="AN155" s="623">
        <f>AK155+1779289</f>
        <v>4410350</v>
      </c>
      <c r="AO155" s="618">
        <f t="shared" si="461"/>
        <v>5271546.08</v>
      </c>
      <c r="AP155" s="623">
        <f>AM155+0+11105</f>
        <v>872301.08000000007</v>
      </c>
      <c r="AQ155" s="623">
        <f>AN155+0</f>
        <v>4410350</v>
      </c>
      <c r="AR155" s="618">
        <f t="shared" si="462"/>
        <v>5282651.08</v>
      </c>
      <c r="AS155" s="623">
        <f>AP155+0+11105</f>
        <v>883406.08000000007</v>
      </c>
      <c r="AT155" s="623">
        <f>AQ155+1034493</f>
        <v>5444843</v>
      </c>
      <c r="AU155" s="618">
        <f t="shared" si="463"/>
        <v>6328249.0800000001</v>
      </c>
      <c r="AV155" s="623">
        <v>10100</v>
      </c>
      <c r="AW155" s="655" t="s">
        <v>1463</v>
      </c>
      <c r="AX155" s="623">
        <v>222324.97</v>
      </c>
      <c r="AY155" s="623">
        <v>4975615.01</v>
      </c>
      <c r="AZ155" s="618">
        <f t="shared" si="464"/>
        <v>5197939.9799999995</v>
      </c>
      <c r="BA155" s="623">
        <v>10100</v>
      </c>
      <c r="BB155" s="655" t="s">
        <v>1463</v>
      </c>
      <c r="BC155" s="623">
        <v>0</v>
      </c>
      <c r="BD155" s="623">
        <v>800308.99</v>
      </c>
      <c r="BE155" s="618">
        <f t="shared" si="465"/>
        <v>800308.99</v>
      </c>
      <c r="BF155" s="623">
        <v>0</v>
      </c>
      <c r="BG155" s="622" t="s">
        <v>1464</v>
      </c>
      <c r="BH155" s="622">
        <f t="shared" si="481"/>
        <v>1105731.05</v>
      </c>
      <c r="BI155" s="622">
        <f t="shared" si="481"/>
        <v>11220767</v>
      </c>
      <c r="BJ155" s="618">
        <f t="shared" si="466"/>
        <v>12326498.050000001</v>
      </c>
      <c r="BK155" s="618">
        <f t="shared" si="468"/>
        <v>20200</v>
      </c>
      <c r="BL155" s="600" t="s">
        <v>1465</v>
      </c>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row>
    <row r="156" spans="1:179" s="9" customFormat="1" ht="78">
      <c r="A156" s="539" t="s">
        <v>165</v>
      </c>
      <c r="B156" s="522" t="s">
        <v>325</v>
      </c>
      <c r="C156" s="618">
        <v>1818222.119988</v>
      </c>
      <c r="D156" s="618">
        <v>1818222.119988</v>
      </c>
      <c r="E156" s="618">
        <v>0</v>
      </c>
      <c r="F156" s="618">
        <v>0</v>
      </c>
      <c r="G156" s="618">
        <v>1818222.119988</v>
      </c>
      <c r="H156" s="618">
        <v>0</v>
      </c>
      <c r="I156" s="618">
        <v>0</v>
      </c>
      <c r="J156" s="618">
        <f t="shared" si="469"/>
        <v>0</v>
      </c>
      <c r="K156" s="618">
        <v>1803828.69</v>
      </c>
      <c r="L156" s="622">
        <v>0</v>
      </c>
      <c r="M156" s="622">
        <v>0</v>
      </c>
      <c r="N156" s="618">
        <f t="shared" si="452"/>
        <v>0</v>
      </c>
      <c r="O156" s="622">
        <v>0</v>
      </c>
      <c r="P156" s="622">
        <v>0</v>
      </c>
      <c r="Q156" s="618">
        <f t="shared" si="453"/>
        <v>0</v>
      </c>
      <c r="R156" s="622">
        <v>0</v>
      </c>
      <c r="S156" s="622">
        <v>0</v>
      </c>
      <c r="T156" s="618">
        <f t="shared" si="454"/>
        <v>0</v>
      </c>
      <c r="U156" s="622">
        <v>0</v>
      </c>
      <c r="V156" s="622">
        <v>0</v>
      </c>
      <c r="W156" s="618">
        <f t="shared" si="455"/>
        <v>0</v>
      </c>
      <c r="X156" s="622">
        <v>0</v>
      </c>
      <c r="Y156" s="622">
        <v>0</v>
      </c>
      <c r="Z156" s="618">
        <f t="shared" si="456"/>
        <v>0</v>
      </c>
      <c r="AA156" s="622">
        <v>0</v>
      </c>
      <c r="AB156" s="622">
        <v>0</v>
      </c>
      <c r="AC156" s="618">
        <f t="shared" si="457"/>
        <v>0</v>
      </c>
      <c r="AD156" s="622">
        <v>0</v>
      </c>
      <c r="AE156" s="622">
        <v>0</v>
      </c>
      <c r="AF156" s="618">
        <f t="shared" si="458"/>
        <v>0</v>
      </c>
      <c r="AG156" s="622">
        <v>0</v>
      </c>
      <c r="AH156" s="622">
        <v>0</v>
      </c>
      <c r="AI156" s="618">
        <f t="shared" si="459"/>
        <v>0</v>
      </c>
      <c r="AJ156" s="622">
        <v>0</v>
      </c>
      <c r="AK156" s="622">
        <v>0</v>
      </c>
      <c r="AL156" s="618">
        <f t="shared" si="460"/>
        <v>0</v>
      </c>
      <c r="AM156" s="622">
        <v>0</v>
      </c>
      <c r="AN156" s="622">
        <v>0</v>
      </c>
      <c r="AO156" s="618">
        <f t="shared" si="461"/>
        <v>0</v>
      </c>
      <c r="AP156" s="622">
        <v>0</v>
      </c>
      <c r="AQ156" s="622">
        <v>0</v>
      </c>
      <c r="AR156" s="618">
        <f t="shared" si="462"/>
        <v>0</v>
      </c>
      <c r="AS156" s="622">
        <v>0</v>
      </c>
      <c r="AT156" s="622">
        <v>0</v>
      </c>
      <c r="AU156" s="618">
        <f t="shared" si="463"/>
        <v>0</v>
      </c>
      <c r="AV156" s="623">
        <v>0</v>
      </c>
      <c r="AW156" s="668" t="s">
        <v>1453</v>
      </c>
      <c r="AX156" s="622">
        <v>0</v>
      </c>
      <c r="AY156" s="622">
        <v>0</v>
      </c>
      <c r="AZ156" s="618">
        <f t="shared" si="464"/>
        <v>0</v>
      </c>
      <c r="BA156" s="623">
        <v>0</v>
      </c>
      <c r="BB156" s="668" t="s">
        <v>1453</v>
      </c>
      <c r="BC156" s="622">
        <v>0</v>
      </c>
      <c r="BD156" s="622">
        <v>0</v>
      </c>
      <c r="BE156" s="618">
        <f t="shared" si="465"/>
        <v>0</v>
      </c>
      <c r="BF156" s="623">
        <v>0</v>
      </c>
      <c r="BG156" s="669" t="s">
        <v>1453</v>
      </c>
      <c r="BH156" s="622">
        <f t="shared" si="481"/>
        <v>0</v>
      </c>
      <c r="BI156" s="622">
        <f t="shared" si="481"/>
        <v>0</v>
      </c>
      <c r="BJ156" s="618">
        <f t="shared" si="466"/>
        <v>0</v>
      </c>
      <c r="BK156" s="618">
        <f t="shared" si="468"/>
        <v>0</v>
      </c>
      <c r="BL156" s="605" t="s">
        <v>1466</v>
      </c>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row>
    <row r="157" spans="1:179" s="9" customFormat="1" ht="104.25" customHeight="1">
      <c r="A157" s="522" t="s">
        <v>105</v>
      </c>
      <c r="B157" s="522" t="s">
        <v>324</v>
      </c>
      <c r="C157" s="618">
        <v>96944797.816080004</v>
      </c>
      <c r="D157" s="618">
        <v>96944797.816080004</v>
      </c>
      <c r="E157" s="618">
        <v>11806612</v>
      </c>
      <c r="F157" s="618">
        <v>11806612</v>
      </c>
      <c r="G157" s="618">
        <v>108751409.81608</v>
      </c>
      <c r="H157" s="618">
        <v>12109719</v>
      </c>
      <c r="I157" s="618">
        <v>13393181</v>
      </c>
      <c r="J157" s="618">
        <f t="shared" si="469"/>
        <v>25502900</v>
      </c>
      <c r="K157" s="618">
        <v>40752218.479999997</v>
      </c>
      <c r="L157" s="618">
        <v>1388076.33</v>
      </c>
      <c r="M157" s="618">
        <v>0</v>
      </c>
      <c r="N157" s="618">
        <f t="shared" si="452"/>
        <v>1388076.33</v>
      </c>
      <c r="O157" s="619">
        <v>2004645.57</v>
      </c>
      <c r="P157" s="619">
        <v>0</v>
      </c>
      <c r="Q157" s="618">
        <f t="shared" si="453"/>
        <v>2004645.57</v>
      </c>
      <c r="R157" s="619">
        <v>3171488.5700000003</v>
      </c>
      <c r="S157" s="619">
        <v>0</v>
      </c>
      <c r="T157" s="618">
        <f t="shared" si="454"/>
        <v>3171488.5700000003</v>
      </c>
      <c r="U157" s="619">
        <v>3375847.5700000003</v>
      </c>
      <c r="V157" s="619">
        <v>0</v>
      </c>
      <c r="W157" s="618">
        <f t="shared" si="455"/>
        <v>3375847.5700000003</v>
      </c>
      <c r="X157" s="619">
        <v>4025702.5700000003</v>
      </c>
      <c r="Y157" s="619">
        <v>0</v>
      </c>
      <c r="Z157" s="618">
        <f t="shared" si="456"/>
        <v>4025702.5700000003</v>
      </c>
      <c r="AA157" s="619">
        <v>4614382.57</v>
      </c>
      <c r="AB157" s="619">
        <v>0</v>
      </c>
      <c r="AC157" s="618">
        <f t="shared" si="457"/>
        <v>4614382.57</v>
      </c>
      <c r="AD157" s="619">
        <v>5973821.5700000003</v>
      </c>
      <c r="AE157" s="619">
        <v>0</v>
      </c>
      <c r="AF157" s="618">
        <f t="shared" si="458"/>
        <v>5973821.5700000003</v>
      </c>
      <c r="AG157" s="619">
        <v>6582987.5700000003</v>
      </c>
      <c r="AH157" s="619">
        <v>0</v>
      </c>
      <c r="AI157" s="618">
        <f t="shared" si="459"/>
        <v>6582987.5700000003</v>
      </c>
      <c r="AJ157" s="619">
        <v>6932987.5700000003</v>
      </c>
      <c r="AK157" s="619">
        <v>0</v>
      </c>
      <c r="AL157" s="618">
        <f t="shared" si="460"/>
        <v>6932987.5700000003</v>
      </c>
      <c r="AM157" s="619">
        <v>7085860.5700000003</v>
      </c>
      <c r="AN157" s="619">
        <v>846000</v>
      </c>
      <c r="AO157" s="618">
        <f t="shared" si="461"/>
        <v>7931860.5700000003</v>
      </c>
      <c r="AP157" s="619">
        <v>8444318.9900000002</v>
      </c>
      <c r="AQ157" s="619">
        <v>1198500</v>
      </c>
      <c r="AR157" s="618">
        <f t="shared" si="462"/>
        <v>9642818.9900000002</v>
      </c>
      <c r="AS157" s="619">
        <v>11186858.290000001</v>
      </c>
      <c r="AT157" s="619">
        <v>1903500</v>
      </c>
      <c r="AU157" s="618">
        <f t="shared" si="463"/>
        <v>13090358.290000001</v>
      </c>
      <c r="AV157" s="619">
        <v>635128.89528599998</v>
      </c>
      <c r="AW157" s="654" t="s">
        <v>1447</v>
      </c>
      <c r="AX157" s="623">
        <f>22276245-338531-635129+8017678.17</f>
        <v>29320263.170000002</v>
      </c>
      <c r="AY157" s="622">
        <v>5735975.4000000004</v>
      </c>
      <c r="AZ157" s="618">
        <f t="shared" si="464"/>
        <v>35056238.57</v>
      </c>
      <c r="BA157" s="619">
        <v>338530.848444</v>
      </c>
      <c r="BB157" s="654"/>
      <c r="BC157" s="623">
        <f>5289279.9+8699602.708</f>
        <v>13988882.608000001</v>
      </c>
      <c r="BD157" s="622">
        <v>4167136.6</v>
      </c>
      <c r="BE157" s="618">
        <f t="shared" si="465"/>
        <v>18156019.208000001</v>
      </c>
      <c r="BF157" s="619">
        <v>114295.04773200001</v>
      </c>
      <c r="BG157" s="619"/>
      <c r="BH157" s="622">
        <f t="shared" ref="BH157:BI161" si="482">AS157+AX157+BC157</f>
        <v>54496004.068000004</v>
      </c>
      <c r="BI157" s="622">
        <f t="shared" si="482"/>
        <v>11806612</v>
      </c>
      <c r="BJ157" s="618">
        <f t="shared" si="466"/>
        <v>66302616.068000004</v>
      </c>
      <c r="BK157" s="618">
        <f t="shared" si="468"/>
        <v>1087954.791462</v>
      </c>
      <c r="BL157" s="605" t="s">
        <v>1448</v>
      </c>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row>
    <row r="158" spans="1:179" s="9" customFormat="1" ht="64.5" customHeight="1">
      <c r="A158" s="522" t="s">
        <v>106</v>
      </c>
      <c r="B158" s="522" t="s">
        <v>323</v>
      </c>
      <c r="C158" s="618">
        <v>2550000.6204960002</v>
      </c>
      <c r="D158" s="618">
        <v>2550000.6204960002</v>
      </c>
      <c r="E158" s="618">
        <v>0</v>
      </c>
      <c r="F158" s="618">
        <v>0</v>
      </c>
      <c r="G158" s="618">
        <v>2550000.6204960002</v>
      </c>
      <c r="H158" s="618">
        <v>0</v>
      </c>
      <c r="I158" s="618">
        <v>0</v>
      </c>
      <c r="J158" s="618">
        <f t="shared" si="469"/>
        <v>0</v>
      </c>
      <c r="K158" s="618">
        <v>0</v>
      </c>
      <c r="L158" s="618">
        <v>0</v>
      </c>
      <c r="M158" s="618">
        <v>0</v>
      </c>
      <c r="N158" s="618">
        <f t="shared" si="452"/>
        <v>0</v>
      </c>
      <c r="O158" s="619">
        <v>0</v>
      </c>
      <c r="P158" s="619">
        <v>0</v>
      </c>
      <c r="Q158" s="618">
        <f t="shared" si="453"/>
        <v>0</v>
      </c>
      <c r="R158" s="619">
        <v>0</v>
      </c>
      <c r="S158" s="619">
        <v>0</v>
      </c>
      <c r="T158" s="618">
        <f t="shared" si="454"/>
        <v>0</v>
      </c>
      <c r="U158" s="619">
        <v>0</v>
      </c>
      <c r="V158" s="619">
        <v>0</v>
      </c>
      <c r="W158" s="618">
        <f t="shared" si="455"/>
        <v>0</v>
      </c>
      <c r="X158" s="619">
        <v>0</v>
      </c>
      <c r="Y158" s="619">
        <v>0</v>
      </c>
      <c r="Z158" s="618">
        <f t="shared" si="456"/>
        <v>0</v>
      </c>
      <c r="AA158" s="619">
        <v>0</v>
      </c>
      <c r="AB158" s="619">
        <v>0</v>
      </c>
      <c r="AC158" s="618">
        <f t="shared" si="457"/>
        <v>0</v>
      </c>
      <c r="AD158" s="619">
        <v>0</v>
      </c>
      <c r="AE158" s="619">
        <v>0</v>
      </c>
      <c r="AF158" s="618">
        <f t="shared" si="458"/>
        <v>0</v>
      </c>
      <c r="AG158" s="619">
        <v>0</v>
      </c>
      <c r="AH158" s="619">
        <v>0</v>
      </c>
      <c r="AI158" s="618">
        <f t="shared" si="459"/>
        <v>0</v>
      </c>
      <c r="AJ158" s="619">
        <v>0</v>
      </c>
      <c r="AK158" s="619">
        <v>0</v>
      </c>
      <c r="AL158" s="618">
        <f t="shared" si="460"/>
        <v>0</v>
      </c>
      <c r="AM158" s="619">
        <v>0</v>
      </c>
      <c r="AN158" s="619">
        <v>0</v>
      </c>
      <c r="AO158" s="618">
        <f t="shared" si="461"/>
        <v>0</v>
      </c>
      <c r="AP158" s="619">
        <v>0</v>
      </c>
      <c r="AQ158" s="619">
        <v>0</v>
      </c>
      <c r="AR158" s="618">
        <f t="shared" si="462"/>
        <v>0</v>
      </c>
      <c r="AS158" s="619">
        <v>0</v>
      </c>
      <c r="AT158" s="619">
        <v>0</v>
      </c>
      <c r="AU158" s="618">
        <f t="shared" si="463"/>
        <v>0</v>
      </c>
      <c r="AV158" s="619">
        <v>0</v>
      </c>
      <c r="AW158" s="654" t="s">
        <v>468</v>
      </c>
      <c r="AX158" s="619">
        <v>1402500</v>
      </c>
      <c r="AY158" s="619">
        <v>0</v>
      </c>
      <c r="AZ158" s="618">
        <f t="shared" si="464"/>
        <v>1402500</v>
      </c>
      <c r="BA158" s="619">
        <v>0</v>
      </c>
      <c r="BB158" s="654" t="s">
        <v>1449</v>
      </c>
      <c r="BC158" s="619">
        <v>1147500</v>
      </c>
      <c r="BD158" s="619">
        <v>0</v>
      </c>
      <c r="BE158" s="618">
        <f t="shared" si="465"/>
        <v>1147500</v>
      </c>
      <c r="BF158" s="619">
        <v>0</v>
      </c>
      <c r="BG158" s="618" t="s">
        <v>1449</v>
      </c>
      <c r="BH158" s="622">
        <f t="shared" si="482"/>
        <v>2550000</v>
      </c>
      <c r="BI158" s="622">
        <f t="shared" si="482"/>
        <v>0</v>
      </c>
      <c r="BJ158" s="618">
        <f t="shared" si="466"/>
        <v>2550000</v>
      </c>
      <c r="BK158" s="618">
        <f t="shared" si="468"/>
        <v>0</v>
      </c>
      <c r="BL158" s="604" t="s">
        <v>468</v>
      </c>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row>
    <row r="159" spans="1:179" s="9" customFormat="1" ht="123.75" customHeight="1">
      <c r="A159" s="522" t="s">
        <v>107</v>
      </c>
      <c r="B159" s="522" t="s">
        <v>322</v>
      </c>
      <c r="C159" s="618">
        <v>177834211.14194399</v>
      </c>
      <c r="D159" s="618">
        <v>177834211.14194399</v>
      </c>
      <c r="E159" s="618">
        <v>25685543</v>
      </c>
      <c r="F159" s="618">
        <v>25685543</v>
      </c>
      <c r="G159" s="618">
        <v>203519754.14194399</v>
      </c>
      <c r="H159" s="618">
        <v>15508622</v>
      </c>
      <c r="I159" s="618">
        <v>18105637</v>
      </c>
      <c r="J159" s="618">
        <f t="shared" si="469"/>
        <v>33614259</v>
      </c>
      <c r="K159" s="618">
        <v>144244221.56999999</v>
      </c>
      <c r="L159" s="622">
        <v>100000.76</v>
      </c>
      <c r="M159" s="622"/>
      <c r="N159" s="618">
        <f t="shared" si="452"/>
        <v>100000.76</v>
      </c>
      <c r="O159" s="623">
        <f>L159+3782546.83</f>
        <v>3882547.59</v>
      </c>
      <c r="P159" s="623"/>
      <c r="Q159" s="618">
        <f t="shared" si="453"/>
        <v>3882547.59</v>
      </c>
      <c r="R159" s="623">
        <f>O159+2114686.82</f>
        <v>5997234.4100000001</v>
      </c>
      <c r="S159" s="623"/>
      <c r="T159" s="618">
        <f t="shared" si="454"/>
        <v>5997234.4100000001</v>
      </c>
      <c r="U159" s="623">
        <f>R159+120962.39</f>
        <v>6118196.7999999998</v>
      </c>
      <c r="V159" s="623"/>
      <c r="W159" s="618">
        <f t="shared" si="455"/>
        <v>6118196.7999999998</v>
      </c>
      <c r="X159" s="623">
        <f>U159+1971167.32</f>
        <v>8089364.1200000001</v>
      </c>
      <c r="Y159" s="623"/>
      <c r="Z159" s="618">
        <f t="shared" si="456"/>
        <v>8089364.1200000001</v>
      </c>
      <c r="AA159" s="623">
        <f>X159+887655.75</f>
        <v>8977019.870000001</v>
      </c>
      <c r="AB159" s="623"/>
      <c r="AC159" s="618">
        <f t="shared" si="457"/>
        <v>8977019.870000001</v>
      </c>
      <c r="AD159" s="623">
        <f>AA159+2634307.3</f>
        <v>11611327.170000002</v>
      </c>
      <c r="AE159" s="623"/>
      <c r="AF159" s="618">
        <f t="shared" si="458"/>
        <v>11611327.170000002</v>
      </c>
      <c r="AG159" s="623">
        <f>AD159+2838238.45</f>
        <v>14449565.620000001</v>
      </c>
      <c r="AH159" s="623"/>
      <c r="AI159" s="618">
        <f t="shared" si="459"/>
        <v>14449565.620000001</v>
      </c>
      <c r="AJ159" s="623">
        <f>AG159+508410.42</f>
        <v>14957976.040000001</v>
      </c>
      <c r="AK159" s="623"/>
      <c r="AL159" s="618">
        <f t="shared" si="460"/>
        <v>14957976.040000001</v>
      </c>
      <c r="AM159" s="623">
        <f>AJ159+545795.31</f>
        <v>15503771.350000001</v>
      </c>
      <c r="AN159" s="623">
        <v>770566.29</v>
      </c>
      <c r="AO159" s="618">
        <f t="shared" si="461"/>
        <v>16274337.640000001</v>
      </c>
      <c r="AP159" s="623">
        <f>AM159+5515408.67</f>
        <v>21019180.020000003</v>
      </c>
      <c r="AQ159" s="623">
        <v>2696982.02</v>
      </c>
      <c r="AR159" s="618">
        <f t="shared" si="462"/>
        <v>23716162.040000003</v>
      </c>
      <c r="AS159" s="623">
        <f>AP159+1208693.3</f>
        <v>22227873.320000004</v>
      </c>
      <c r="AT159" s="623">
        <v>3852831.4499999993</v>
      </c>
      <c r="AU159" s="618">
        <f t="shared" si="463"/>
        <v>26080704.770000003</v>
      </c>
      <c r="AV159" s="623">
        <v>600000</v>
      </c>
      <c r="AW159" s="655" t="s">
        <v>1463</v>
      </c>
      <c r="AX159" s="623">
        <v>7213790.2059999993</v>
      </c>
      <c r="AY159" s="623">
        <v>11558494.35</v>
      </c>
      <c r="AZ159" s="618">
        <f t="shared" si="464"/>
        <v>18772284.555999998</v>
      </c>
      <c r="BA159" s="623">
        <v>300000</v>
      </c>
      <c r="BB159" s="655" t="s">
        <v>1463</v>
      </c>
      <c r="BC159" s="623">
        <v>7261663.8099999996</v>
      </c>
      <c r="BD159" s="623">
        <v>10274217.200000001</v>
      </c>
      <c r="BE159" s="618">
        <f t="shared" si="465"/>
        <v>17535881.010000002</v>
      </c>
      <c r="BF159" s="623">
        <v>219500</v>
      </c>
      <c r="BG159" s="622" t="s">
        <v>1463</v>
      </c>
      <c r="BH159" s="622">
        <f t="shared" si="482"/>
        <v>36703327.336000003</v>
      </c>
      <c r="BI159" s="622">
        <f t="shared" si="482"/>
        <v>25685543</v>
      </c>
      <c r="BJ159" s="618">
        <f t="shared" si="466"/>
        <v>62388870.336000003</v>
      </c>
      <c r="BK159" s="618">
        <f t="shared" si="468"/>
        <v>1119500</v>
      </c>
      <c r="BL159" s="600" t="s">
        <v>1467</v>
      </c>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row>
    <row r="160" spans="1:179" s="9" customFormat="1" ht="64.5" customHeight="1">
      <c r="A160" s="522" t="s">
        <v>108</v>
      </c>
      <c r="B160" s="522" t="s">
        <v>321</v>
      </c>
      <c r="C160" s="618">
        <v>7028040</v>
      </c>
      <c r="D160" s="618">
        <v>7028040</v>
      </c>
      <c r="E160" s="618">
        <v>0</v>
      </c>
      <c r="F160" s="618">
        <v>0</v>
      </c>
      <c r="G160" s="618">
        <v>7028040</v>
      </c>
      <c r="H160" s="618">
        <v>5410578</v>
      </c>
      <c r="I160" s="618">
        <v>0</v>
      </c>
      <c r="J160" s="618">
        <f t="shared" si="469"/>
        <v>5410578</v>
      </c>
      <c r="K160" s="618">
        <v>1536297.12</v>
      </c>
      <c r="L160" s="622">
        <v>0</v>
      </c>
      <c r="M160" s="622">
        <v>0</v>
      </c>
      <c r="N160" s="618">
        <f t="shared" si="452"/>
        <v>0</v>
      </c>
      <c r="O160" s="623">
        <f>L160+549592.22</f>
        <v>549592.22</v>
      </c>
      <c r="P160" s="623">
        <v>0</v>
      </c>
      <c r="Q160" s="618">
        <f t="shared" si="453"/>
        <v>549592.22</v>
      </c>
      <c r="R160" s="623">
        <f>O160</f>
        <v>549592.22</v>
      </c>
      <c r="S160" s="623">
        <v>0</v>
      </c>
      <c r="T160" s="618">
        <f t="shared" si="454"/>
        <v>549592.22</v>
      </c>
      <c r="U160" s="623">
        <f>R160+0</f>
        <v>549592.22</v>
      </c>
      <c r="V160" s="623">
        <v>0</v>
      </c>
      <c r="W160" s="618">
        <f t="shared" si="455"/>
        <v>549592.22</v>
      </c>
      <c r="X160" s="623">
        <f>U160+691512.81</f>
        <v>1241105.03</v>
      </c>
      <c r="Y160" s="623">
        <v>0</v>
      </c>
      <c r="Z160" s="618">
        <f t="shared" si="456"/>
        <v>1241105.03</v>
      </c>
      <c r="AA160" s="623">
        <f>X160+0</f>
        <v>1241105.03</v>
      </c>
      <c r="AB160" s="623">
        <v>0</v>
      </c>
      <c r="AC160" s="618">
        <f t="shared" si="457"/>
        <v>1241105.03</v>
      </c>
      <c r="AD160" s="623">
        <f>AA160+1570705.65</f>
        <v>2811810.6799999997</v>
      </c>
      <c r="AE160" s="623">
        <v>0</v>
      </c>
      <c r="AF160" s="618">
        <f t="shared" si="458"/>
        <v>2811810.6799999997</v>
      </c>
      <c r="AG160" s="623">
        <f>AD160+0</f>
        <v>2811810.6799999997</v>
      </c>
      <c r="AH160" s="623">
        <v>0</v>
      </c>
      <c r="AI160" s="618">
        <f t="shared" si="459"/>
        <v>2811810.6799999997</v>
      </c>
      <c r="AJ160" s="623">
        <f>AG160+0</f>
        <v>2811810.6799999997</v>
      </c>
      <c r="AK160" s="623">
        <v>0</v>
      </c>
      <c r="AL160" s="618">
        <f t="shared" si="460"/>
        <v>2811810.6799999997</v>
      </c>
      <c r="AM160" s="623">
        <f>AJ160+0</f>
        <v>2811810.6799999997</v>
      </c>
      <c r="AN160" s="623">
        <v>0</v>
      </c>
      <c r="AO160" s="618">
        <f t="shared" si="461"/>
        <v>2811810.6799999997</v>
      </c>
      <c r="AP160" s="623">
        <f>AM160+2417740.4</f>
        <v>5229551.08</v>
      </c>
      <c r="AQ160" s="623"/>
      <c r="AR160" s="618">
        <f t="shared" si="462"/>
        <v>5229551.08</v>
      </c>
      <c r="AS160" s="623">
        <f>AP160+0</f>
        <v>5229551.08</v>
      </c>
      <c r="AT160" s="623">
        <v>0</v>
      </c>
      <c r="AU160" s="618">
        <f t="shared" si="463"/>
        <v>5229551.08</v>
      </c>
      <c r="AV160" s="623">
        <v>11000</v>
      </c>
      <c r="AW160" s="655" t="s">
        <v>1468</v>
      </c>
      <c r="AX160" s="623">
        <v>244000</v>
      </c>
      <c r="AY160" s="623">
        <v>0</v>
      </c>
      <c r="AZ160" s="618">
        <f t="shared" si="464"/>
        <v>244000</v>
      </c>
      <c r="BA160" s="623">
        <v>0</v>
      </c>
      <c r="BB160" s="655" t="s">
        <v>1468</v>
      </c>
      <c r="BC160" s="623">
        <v>0</v>
      </c>
      <c r="BD160" s="623">
        <v>0</v>
      </c>
      <c r="BE160" s="618">
        <f t="shared" si="465"/>
        <v>0</v>
      </c>
      <c r="BF160" s="623">
        <v>0</v>
      </c>
      <c r="BG160" s="669" t="s">
        <v>1453</v>
      </c>
      <c r="BH160" s="622">
        <f t="shared" si="482"/>
        <v>5473551.0800000001</v>
      </c>
      <c r="BI160" s="622">
        <f t="shared" si="482"/>
        <v>0</v>
      </c>
      <c r="BJ160" s="618">
        <f t="shared" si="466"/>
        <v>5473551.0800000001</v>
      </c>
      <c r="BK160" s="618">
        <f t="shared" si="468"/>
        <v>11000</v>
      </c>
      <c r="BL160" s="605" t="s">
        <v>1469</v>
      </c>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row>
    <row r="161" spans="1:179" s="9" customFormat="1" ht="64.5" customHeight="1">
      <c r="A161" s="540" t="s">
        <v>138</v>
      </c>
      <c r="B161" s="540" t="s">
        <v>315</v>
      </c>
      <c r="C161" s="618">
        <v>8061738.8820839999</v>
      </c>
      <c r="D161" s="618">
        <v>8061738.8820839999</v>
      </c>
      <c r="E161" s="618">
        <v>17876000</v>
      </c>
      <c r="F161" s="618">
        <v>17876000</v>
      </c>
      <c r="G161" s="618">
        <v>25937738.882084001</v>
      </c>
      <c r="H161" s="618">
        <v>239256</v>
      </c>
      <c r="I161" s="618">
        <v>6288414</v>
      </c>
      <c r="J161" s="618">
        <f t="shared" si="469"/>
        <v>6527670</v>
      </c>
      <c r="K161" s="618">
        <v>3140022.88</v>
      </c>
      <c r="L161" s="622">
        <v>0</v>
      </c>
      <c r="M161" s="622">
        <v>0</v>
      </c>
      <c r="N161" s="618">
        <f t="shared" si="452"/>
        <v>0</v>
      </c>
      <c r="O161" s="623">
        <f>L161+642002.88</f>
        <v>642002.88</v>
      </c>
      <c r="P161" s="623">
        <v>0</v>
      </c>
      <c r="Q161" s="618">
        <f t="shared" si="453"/>
        <v>642002.88</v>
      </c>
      <c r="R161" s="623">
        <f>O161+0</f>
        <v>642002.88</v>
      </c>
      <c r="S161" s="623">
        <v>0</v>
      </c>
      <c r="T161" s="618">
        <f t="shared" si="454"/>
        <v>642002.88</v>
      </c>
      <c r="U161" s="623">
        <f>R161+0</f>
        <v>642002.88</v>
      </c>
      <c r="V161" s="623">
        <v>0</v>
      </c>
      <c r="W161" s="618">
        <f t="shared" si="455"/>
        <v>642002.88</v>
      </c>
      <c r="X161" s="623">
        <f>U161+116467.43</f>
        <v>758470.31</v>
      </c>
      <c r="Y161" s="623">
        <v>0</v>
      </c>
      <c r="Z161" s="618">
        <f t="shared" si="456"/>
        <v>758470.31</v>
      </c>
      <c r="AA161" s="623">
        <f>X161+0</f>
        <v>758470.31</v>
      </c>
      <c r="AB161" s="623">
        <v>0</v>
      </c>
      <c r="AC161" s="618">
        <f t="shared" si="457"/>
        <v>758470.31</v>
      </c>
      <c r="AD161" s="623">
        <f>AA161+76015.71</f>
        <v>834486.02</v>
      </c>
      <c r="AE161" s="623">
        <v>0</v>
      </c>
      <c r="AF161" s="618">
        <f t="shared" si="458"/>
        <v>834486.02</v>
      </c>
      <c r="AG161" s="623">
        <f>AD161+230639.93+162863</f>
        <v>1227988.95</v>
      </c>
      <c r="AH161" s="623">
        <v>0</v>
      </c>
      <c r="AI161" s="618">
        <f t="shared" si="459"/>
        <v>1227988.95</v>
      </c>
      <c r="AJ161" s="623">
        <f>AI161+92519.88+57003.75</f>
        <v>1377512.58</v>
      </c>
      <c r="AK161" s="623">
        <v>0</v>
      </c>
      <c r="AL161" s="618">
        <f t="shared" si="460"/>
        <v>1377512.58</v>
      </c>
      <c r="AM161" s="623">
        <f>AJ161+112881+57003.75</f>
        <v>1547397.33</v>
      </c>
      <c r="AN161" s="623">
        <v>6148477.5</v>
      </c>
      <c r="AO161" s="618">
        <f t="shared" si="461"/>
        <v>7695874.8300000001</v>
      </c>
      <c r="AP161" s="623">
        <f>AM161+70902.4+57003.75</f>
        <v>1675303.48</v>
      </c>
      <c r="AQ161" s="623">
        <f>AN161+0</f>
        <v>6148477.5</v>
      </c>
      <c r="AR161" s="618">
        <f t="shared" si="462"/>
        <v>7823780.9800000004</v>
      </c>
      <c r="AS161" s="623">
        <f>AP161+0+57003.75</f>
        <v>1732307.23</v>
      </c>
      <c r="AT161" s="623">
        <f>AQ161+0</f>
        <v>6148477.5</v>
      </c>
      <c r="AU161" s="618">
        <f t="shared" si="463"/>
        <v>7880784.7300000004</v>
      </c>
      <c r="AV161" s="623">
        <v>30000</v>
      </c>
      <c r="AW161" s="655" t="s">
        <v>1463</v>
      </c>
      <c r="AX161" s="623">
        <v>1527588.4000000001</v>
      </c>
      <c r="AY161" s="623">
        <v>6917137.1299999999</v>
      </c>
      <c r="AZ161" s="618">
        <f t="shared" si="464"/>
        <v>8444725.5299999993</v>
      </c>
      <c r="BA161" s="623">
        <v>20000</v>
      </c>
      <c r="BB161" s="655" t="s">
        <v>1463</v>
      </c>
      <c r="BC161" s="623">
        <v>804844.16</v>
      </c>
      <c r="BD161" s="623">
        <v>5612360.7000000002</v>
      </c>
      <c r="BE161" s="618">
        <f t="shared" si="465"/>
        <v>6417204.8600000003</v>
      </c>
      <c r="BF161" s="623">
        <v>5000</v>
      </c>
      <c r="BG161" s="622" t="s">
        <v>1463</v>
      </c>
      <c r="BH161" s="622">
        <f t="shared" si="482"/>
        <v>4064739.79</v>
      </c>
      <c r="BI161" s="622">
        <f t="shared" si="482"/>
        <v>18677975.329999998</v>
      </c>
      <c r="BJ161" s="618">
        <f t="shared" si="466"/>
        <v>22742715.119999997</v>
      </c>
      <c r="BK161" s="618">
        <f t="shared" si="468"/>
        <v>55000</v>
      </c>
      <c r="BL161" s="605" t="s">
        <v>1470</v>
      </c>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row>
    <row r="162" spans="1:179" s="5" customFormat="1">
      <c r="A162" s="523"/>
      <c r="B162" s="524" t="s">
        <v>316</v>
      </c>
      <c r="C162" s="621">
        <f t="shared" ref="C162:J162" si="483">SUM(C163:C167)</f>
        <v>145516627.32562801</v>
      </c>
      <c r="D162" s="621">
        <f t="shared" si="483"/>
        <v>145516627.32562801</v>
      </c>
      <c r="E162" s="621">
        <f t="shared" si="483"/>
        <v>10600000</v>
      </c>
      <c r="F162" s="621">
        <f t="shared" si="483"/>
        <v>9456260</v>
      </c>
      <c r="G162" s="621">
        <f t="shared" si="483"/>
        <v>154972887.32562801</v>
      </c>
      <c r="H162" s="621">
        <f t="shared" si="483"/>
        <v>26907917</v>
      </c>
      <c r="I162" s="621">
        <f t="shared" si="483"/>
        <v>4383192</v>
      </c>
      <c r="J162" s="621">
        <f t="shared" si="483"/>
        <v>31291109</v>
      </c>
      <c r="K162" s="621">
        <f t="shared" ref="K162:BJ162" si="484">SUM(K163:K167)</f>
        <v>91451099.840000004</v>
      </c>
      <c r="L162" s="621">
        <f t="shared" si="484"/>
        <v>1515724.7</v>
      </c>
      <c r="M162" s="621">
        <f t="shared" si="484"/>
        <v>0</v>
      </c>
      <c r="N162" s="621">
        <f t="shared" si="484"/>
        <v>1515724.7</v>
      </c>
      <c r="O162" s="621">
        <f t="shared" si="484"/>
        <v>2555898.0699999998</v>
      </c>
      <c r="P162" s="621">
        <f t="shared" si="484"/>
        <v>0</v>
      </c>
      <c r="Q162" s="621">
        <f t="shared" ref="Q162" si="485">SUM(Q163:Q167)</f>
        <v>2555898.0699999998</v>
      </c>
      <c r="R162" s="621">
        <f t="shared" si="484"/>
        <v>2988958.81</v>
      </c>
      <c r="S162" s="621">
        <f t="shared" si="484"/>
        <v>0</v>
      </c>
      <c r="T162" s="621">
        <f t="shared" ref="T162" si="486">SUM(T163:T167)</f>
        <v>2988958.81</v>
      </c>
      <c r="U162" s="621">
        <f t="shared" ref="U162:BA162" si="487">SUM(U163:U167)</f>
        <v>5326700.0999999996</v>
      </c>
      <c r="V162" s="621">
        <f t="shared" si="484"/>
        <v>0</v>
      </c>
      <c r="W162" s="621">
        <f t="shared" ref="W162" si="488">SUM(W163:W167)</f>
        <v>5326700.0999999996</v>
      </c>
      <c r="X162" s="621">
        <f t="shared" si="484"/>
        <v>6657646.6199999992</v>
      </c>
      <c r="Y162" s="621">
        <f t="shared" si="484"/>
        <v>0</v>
      </c>
      <c r="Z162" s="621">
        <f t="shared" ref="Z162" si="489">SUM(Z163:Z167)</f>
        <v>6657646.6199999992</v>
      </c>
      <c r="AA162" s="621">
        <f t="shared" si="484"/>
        <v>7977847.75</v>
      </c>
      <c r="AB162" s="621">
        <f t="shared" si="487"/>
        <v>0</v>
      </c>
      <c r="AC162" s="621">
        <f t="shared" si="487"/>
        <v>7977847.75</v>
      </c>
      <c r="AD162" s="621">
        <f t="shared" si="484"/>
        <v>9307901</v>
      </c>
      <c r="AE162" s="621">
        <f t="shared" si="484"/>
        <v>0</v>
      </c>
      <c r="AF162" s="621">
        <f t="shared" ref="AF162" si="490">SUM(AF163:AF167)</f>
        <v>9307901</v>
      </c>
      <c r="AG162" s="621">
        <f t="shared" si="484"/>
        <v>11735832.91</v>
      </c>
      <c r="AH162" s="621">
        <f t="shared" si="484"/>
        <v>0</v>
      </c>
      <c r="AI162" s="621">
        <f t="shared" ref="AI162" si="491">SUM(AI163:AI167)</f>
        <v>11735832.91</v>
      </c>
      <c r="AJ162" s="621">
        <f t="shared" si="484"/>
        <v>12875135.489999998</v>
      </c>
      <c r="AK162" s="621">
        <f t="shared" si="484"/>
        <v>0</v>
      </c>
      <c r="AL162" s="621">
        <f t="shared" ref="AL162" si="492">SUM(AL163:AL167)</f>
        <v>12875135.489999998</v>
      </c>
      <c r="AM162" s="621">
        <f t="shared" si="484"/>
        <v>14806603.279999999</v>
      </c>
      <c r="AN162" s="621">
        <f t="shared" si="484"/>
        <v>0</v>
      </c>
      <c r="AO162" s="621">
        <f t="shared" ref="AO162" si="493">SUM(AO163:AO167)</f>
        <v>14806603.279999999</v>
      </c>
      <c r="AP162" s="621">
        <f t="shared" si="487"/>
        <v>17823322.82</v>
      </c>
      <c r="AQ162" s="621">
        <f t="shared" si="484"/>
        <v>1067316.52</v>
      </c>
      <c r="AR162" s="621">
        <f t="shared" ref="AR162" si="494">SUM(AR163:AR167)</f>
        <v>18890639.34</v>
      </c>
      <c r="AS162" s="621">
        <f t="shared" si="484"/>
        <v>20675291.079999998</v>
      </c>
      <c r="AT162" s="621">
        <f t="shared" si="484"/>
        <v>1670564.53</v>
      </c>
      <c r="AU162" s="621">
        <f t="shared" ref="AU162:AV162" si="495">SUM(AU163:AU167)</f>
        <v>22345855.609999999</v>
      </c>
      <c r="AV162" s="621">
        <f t="shared" si="495"/>
        <v>271111.48</v>
      </c>
      <c r="AW162" s="653"/>
      <c r="AX162" s="621">
        <f t="shared" si="484"/>
        <v>16747807.200084001</v>
      </c>
      <c r="AY162" s="621">
        <f t="shared" si="487"/>
        <v>3065690.23</v>
      </c>
      <c r="AZ162" s="621">
        <f t="shared" si="487"/>
        <v>19813497.430083998</v>
      </c>
      <c r="BA162" s="621">
        <f t="shared" si="487"/>
        <v>251767.03</v>
      </c>
      <c r="BB162" s="653"/>
      <c r="BC162" s="621">
        <f t="shared" si="484"/>
        <v>15687006.810000001</v>
      </c>
      <c r="BD162" s="621">
        <f t="shared" si="484"/>
        <v>4654516.74</v>
      </c>
      <c r="BE162" s="621">
        <f t="shared" si="484"/>
        <v>20341523.550000001</v>
      </c>
      <c r="BF162" s="621">
        <f t="shared" si="484"/>
        <v>305257.3</v>
      </c>
      <c r="BG162" s="621"/>
      <c r="BH162" s="621">
        <f t="shared" si="484"/>
        <v>53110105.090084001</v>
      </c>
      <c r="BI162" s="621">
        <f t="shared" si="484"/>
        <v>9390771.5</v>
      </c>
      <c r="BJ162" s="621">
        <f t="shared" si="484"/>
        <v>62500876.590084001</v>
      </c>
      <c r="BK162" s="621">
        <f t="shared" si="468"/>
        <v>828135.81</v>
      </c>
      <c r="BL162" s="599"/>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row>
    <row r="163" spans="1:179" s="9" customFormat="1" ht="64.5" customHeight="1">
      <c r="A163" s="539" t="s">
        <v>109</v>
      </c>
      <c r="B163" s="522" t="s">
        <v>320</v>
      </c>
      <c r="C163" s="618">
        <v>3552899.820084</v>
      </c>
      <c r="D163" s="618">
        <v>3552899.820084</v>
      </c>
      <c r="E163" s="618">
        <v>0</v>
      </c>
      <c r="F163" s="618">
        <v>0</v>
      </c>
      <c r="G163" s="618">
        <v>3552899.820084</v>
      </c>
      <c r="H163" s="618">
        <v>1333838</v>
      </c>
      <c r="I163" s="618">
        <v>560508</v>
      </c>
      <c r="J163" s="618">
        <f t="shared" si="469"/>
        <v>1894346</v>
      </c>
      <c r="K163" s="618">
        <v>564250.94999999995</v>
      </c>
      <c r="L163" s="618">
        <v>4395</v>
      </c>
      <c r="M163" s="618"/>
      <c r="N163" s="618">
        <f t="shared" si="452"/>
        <v>4395</v>
      </c>
      <c r="O163" s="619">
        <v>33737.050000000003</v>
      </c>
      <c r="P163" s="619"/>
      <c r="Q163" s="618">
        <f t="shared" si="453"/>
        <v>33737.050000000003</v>
      </c>
      <c r="R163" s="619">
        <v>72194.790000000008</v>
      </c>
      <c r="S163" s="619"/>
      <c r="T163" s="618">
        <f t="shared" si="454"/>
        <v>72194.790000000008</v>
      </c>
      <c r="U163" s="619">
        <v>146080.07</v>
      </c>
      <c r="V163" s="619"/>
      <c r="W163" s="618">
        <f t="shared" si="455"/>
        <v>146080.07</v>
      </c>
      <c r="X163" s="619">
        <v>268503.59000000003</v>
      </c>
      <c r="Y163" s="619"/>
      <c r="Z163" s="618">
        <f t="shared" si="456"/>
        <v>268503.59000000003</v>
      </c>
      <c r="AA163" s="619">
        <v>404303.72000000003</v>
      </c>
      <c r="AB163" s="619"/>
      <c r="AC163" s="618">
        <f t="shared" si="457"/>
        <v>404303.72000000003</v>
      </c>
      <c r="AD163" s="619">
        <v>524219.97000000003</v>
      </c>
      <c r="AE163" s="619"/>
      <c r="AF163" s="618">
        <f t="shared" si="458"/>
        <v>524219.97000000003</v>
      </c>
      <c r="AG163" s="619">
        <v>636667.05000000005</v>
      </c>
      <c r="AH163" s="619"/>
      <c r="AI163" s="618">
        <f t="shared" si="459"/>
        <v>636667.05000000005</v>
      </c>
      <c r="AJ163" s="619">
        <v>749114.13</v>
      </c>
      <c r="AK163" s="619"/>
      <c r="AL163" s="618">
        <f t="shared" si="460"/>
        <v>749114.13</v>
      </c>
      <c r="AM163" s="619">
        <v>870506.82000000007</v>
      </c>
      <c r="AN163" s="619"/>
      <c r="AO163" s="618">
        <f t="shared" si="461"/>
        <v>870506.82000000007</v>
      </c>
      <c r="AP163" s="619">
        <v>992651.94000000006</v>
      </c>
      <c r="AQ163" s="619"/>
      <c r="AR163" s="618">
        <f t="shared" si="462"/>
        <v>992651.94000000006</v>
      </c>
      <c r="AS163" s="619">
        <v>1117055.2</v>
      </c>
      <c r="AT163" s="619"/>
      <c r="AU163" s="618">
        <f t="shared" si="463"/>
        <v>1117055.2</v>
      </c>
      <c r="AV163" s="619">
        <v>16256.4</v>
      </c>
      <c r="AW163" s="654" t="s">
        <v>1482</v>
      </c>
      <c r="AX163" s="619">
        <v>1844502.6000840003</v>
      </c>
      <c r="AY163" s="619">
        <v>0</v>
      </c>
      <c r="AZ163" s="618">
        <f t="shared" si="464"/>
        <v>1844502.6000840003</v>
      </c>
      <c r="BA163" s="619">
        <v>10834.67</v>
      </c>
      <c r="BB163" s="654" t="s">
        <v>1483</v>
      </c>
      <c r="BC163" s="619">
        <v>0</v>
      </c>
      <c r="BD163" s="619">
        <v>0</v>
      </c>
      <c r="BE163" s="618">
        <f t="shared" si="465"/>
        <v>0</v>
      </c>
      <c r="BF163" s="619">
        <v>0</v>
      </c>
      <c r="BG163" s="619"/>
      <c r="BH163" s="619">
        <f t="shared" ref="BH163:BH165" si="496">AS163+AX163+BC163</f>
        <v>2961557.8000840005</v>
      </c>
      <c r="BI163" s="642">
        <v>0</v>
      </c>
      <c r="BJ163" s="618">
        <f t="shared" si="466"/>
        <v>2961557.8000840005</v>
      </c>
      <c r="BK163" s="618">
        <f t="shared" si="468"/>
        <v>27091.07</v>
      </c>
      <c r="BL163" s="605" t="s">
        <v>1484</v>
      </c>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row>
    <row r="164" spans="1:179" s="9" customFormat="1" ht="64.5" customHeight="1">
      <c r="A164" s="539" t="s">
        <v>110</v>
      </c>
      <c r="B164" s="522" t="s">
        <v>319</v>
      </c>
      <c r="C164" s="618">
        <v>4104801.962028</v>
      </c>
      <c r="D164" s="618">
        <v>4104801.962028</v>
      </c>
      <c r="E164" s="618">
        <v>0</v>
      </c>
      <c r="F164" s="618">
        <v>0</v>
      </c>
      <c r="G164" s="618">
        <v>4104801.962028</v>
      </c>
      <c r="H164" s="618">
        <v>12250</v>
      </c>
      <c r="I164" s="618">
        <v>0</v>
      </c>
      <c r="J164" s="618">
        <f t="shared" si="469"/>
        <v>12250</v>
      </c>
      <c r="K164" s="618">
        <v>3935578.96</v>
      </c>
      <c r="L164" s="618">
        <v>0</v>
      </c>
      <c r="M164" s="618"/>
      <c r="N164" s="618">
        <f t="shared" si="452"/>
        <v>0</v>
      </c>
      <c r="O164" s="619">
        <v>0</v>
      </c>
      <c r="P164" s="619"/>
      <c r="Q164" s="618">
        <f t="shared" si="453"/>
        <v>0</v>
      </c>
      <c r="R164" s="619">
        <v>0</v>
      </c>
      <c r="S164" s="619"/>
      <c r="T164" s="618">
        <f t="shared" si="454"/>
        <v>0</v>
      </c>
      <c r="U164" s="619">
        <v>12249.91</v>
      </c>
      <c r="V164" s="619"/>
      <c r="W164" s="618">
        <f t="shared" si="455"/>
        <v>12249.91</v>
      </c>
      <c r="X164" s="619">
        <v>12249.91</v>
      </c>
      <c r="Y164" s="619"/>
      <c r="Z164" s="618">
        <f t="shared" si="456"/>
        <v>12249.91</v>
      </c>
      <c r="AA164" s="619">
        <v>12249.91</v>
      </c>
      <c r="AB164" s="619"/>
      <c r="AC164" s="618">
        <f t="shared" si="457"/>
        <v>12249.91</v>
      </c>
      <c r="AD164" s="619">
        <v>12249.91</v>
      </c>
      <c r="AE164" s="619"/>
      <c r="AF164" s="618">
        <f t="shared" si="458"/>
        <v>12249.91</v>
      </c>
      <c r="AG164" s="619">
        <v>12249.91</v>
      </c>
      <c r="AH164" s="619"/>
      <c r="AI164" s="618">
        <f t="shared" si="459"/>
        <v>12249.91</v>
      </c>
      <c r="AJ164" s="619">
        <v>12249.91</v>
      </c>
      <c r="AK164" s="619"/>
      <c r="AL164" s="618">
        <f t="shared" si="460"/>
        <v>12249.91</v>
      </c>
      <c r="AM164" s="619">
        <v>12249.91</v>
      </c>
      <c r="AN164" s="619"/>
      <c r="AO164" s="618">
        <f t="shared" si="461"/>
        <v>12249.91</v>
      </c>
      <c r="AP164" s="619">
        <v>12249.91</v>
      </c>
      <c r="AQ164" s="619"/>
      <c r="AR164" s="618">
        <f t="shared" si="462"/>
        <v>12249.91</v>
      </c>
      <c r="AS164" s="619">
        <v>12249.91</v>
      </c>
      <c r="AT164" s="619"/>
      <c r="AU164" s="618">
        <f t="shared" si="463"/>
        <v>12249.91</v>
      </c>
      <c r="AV164" s="619">
        <v>0</v>
      </c>
      <c r="AW164" s="654"/>
      <c r="AX164" s="619">
        <v>0</v>
      </c>
      <c r="AY164" s="619">
        <v>0</v>
      </c>
      <c r="AZ164" s="618">
        <f t="shared" si="464"/>
        <v>0</v>
      </c>
      <c r="BA164" s="619">
        <v>0</v>
      </c>
      <c r="BB164" s="654"/>
      <c r="BC164" s="619">
        <v>0</v>
      </c>
      <c r="BD164" s="619">
        <v>0</v>
      </c>
      <c r="BE164" s="618">
        <f t="shared" si="465"/>
        <v>0</v>
      </c>
      <c r="BF164" s="619">
        <v>40142.31</v>
      </c>
      <c r="BG164" s="618" t="s">
        <v>1485</v>
      </c>
      <c r="BH164" s="619">
        <f t="shared" si="496"/>
        <v>12249.91</v>
      </c>
      <c r="BI164" s="642">
        <v>0</v>
      </c>
      <c r="BJ164" s="618">
        <f t="shared" si="466"/>
        <v>12249.91</v>
      </c>
      <c r="BK164" s="618">
        <f t="shared" si="468"/>
        <v>40142.31</v>
      </c>
      <c r="BL164" s="605" t="s">
        <v>1486</v>
      </c>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row>
    <row r="165" spans="1:179" s="9" customFormat="1" ht="81" customHeight="1">
      <c r="A165" s="539" t="s">
        <v>111</v>
      </c>
      <c r="B165" s="522" t="s">
        <v>314</v>
      </c>
      <c r="C165" s="618">
        <v>9526644.5639759991</v>
      </c>
      <c r="D165" s="618">
        <v>9526644.5639759991</v>
      </c>
      <c r="E165" s="618">
        <v>10600000</v>
      </c>
      <c r="F165" s="618">
        <v>9456260</v>
      </c>
      <c r="G165" s="618">
        <v>18982904.563975997</v>
      </c>
      <c r="H165" s="618">
        <v>949442</v>
      </c>
      <c r="I165" s="618">
        <v>3822684</v>
      </c>
      <c r="J165" s="618">
        <f t="shared" si="469"/>
        <v>4772126</v>
      </c>
      <c r="K165" s="618">
        <v>7113449.9000000004</v>
      </c>
      <c r="L165" s="618">
        <v>0</v>
      </c>
      <c r="M165" s="618"/>
      <c r="N165" s="618">
        <f t="shared" ref="N165" si="497">L165+M165</f>
        <v>0</v>
      </c>
      <c r="O165" s="619">
        <v>0</v>
      </c>
      <c r="P165" s="619"/>
      <c r="Q165" s="619">
        <f t="shared" ref="Q165" si="498">O165+P165</f>
        <v>0</v>
      </c>
      <c r="R165" s="619">
        <v>0</v>
      </c>
      <c r="S165" s="619"/>
      <c r="T165" s="619">
        <f t="shared" ref="T165" si="499">R165+S165</f>
        <v>0</v>
      </c>
      <c r="U165" s="619">
        <v>1736883.0999999999</v>
      </c>
      <c r="V165" s="619"/>
      <c r="W165" s="619">
        <f t="shared" ref="W165" si="500">U165+V165</f>
        <v>1736883.0999999999</v>
      </c>
      <c r="X165" s="619">
        <v>1736883.0999999999</v>
      </c>
      <c r="Y165" s="619"/>
      <c r="Z165" s="619">
        <f t="shared" ref="Z165" si="501">X165+Y165</f>
        <v>1736883.0999999999</v>
      </c>
      <c r="AA165" s="619">
        <v>1736883.0999999999</v>
      </c>
      <c r="AB165" s="619"/>
      <c r="AC165" s="619">
        <f t="shared" ref="AC165" si="502">AA165+AB165</f>
        <v>1736883.0999999999</v>
      </c>
      <c r="AD165" s="619">
        <v>1736883.0999999999</v>
      </c>
      <c r="AE165" s="619"/>
      <c r="AF165" s="619">
        <f t="shared" ref="AF165" si="503">AD165+AE165</f>
        <v>1736883.0999999999</v>
      </c>
      <c r="AG165" s="619">
        <v>1993475.93</v>
      </c>
      <c r="AH165" s="619"/>
      <c r="AI165" s="619">
        <f t="shared" ref="AI165" si="504">AG165+AH165</f>
        <v>1993475.93</v>
      </c>
      <c r="AJ165" s="619">
        <v>1993475.93</v>
      </c>
      <c r="AK165" s="619"/>
      <c r="AL165" s="619">
        <f t="shared" ref="AL165" si="505">AJ165+AK165</f>
        <v>1993475.93</v>
      </c>
      <c r="AM165" s="619">
        <v>1993475.93</v>
      </c>
      <c r="AN165" s="619"/>
      <c r="AO165" s="619">
        <f t="shared" ref="AO165" si="506">AM165+AN165</f>
        <v>1993475.93</v>
      </c>
      <c r="AP165" s="619">
        <v>2388552.9499999997</v>
      </c>
      <c r="AQ165" s="619">
        <v>1067316.52</v>
      </c>
      <c r="AR165" s="619">
        <f>AP165+AQ165</f>
        <v>3455869.4699999997</v>
      </c>
      <c r="AS165" s="619">
        <v>2388552.9499999997</v>
      </c>
      <c r="AT165" s="619">
        <v>1670564.53</v>
      </c>
      <c r="AU165" s="619">
        <f>AS165+AT165</f>
        <v>4059117.4799999995</v>
      </c>
      <c r="AV165" s="619">
        <v>27869.919999999998</v>
      </c>
      <c r="AW165" s="654" t="s">
        <v>1487</v>
      </c>
      <c r="AX165" s="619">
        <v>0</v>
      </c>
      <c r="AY165" s="619">
        <v>3065690.23</v>
      </c>
      <c r="AZ165" s="619">
        <f t="shared" ref="AZ165" si="507">AX165+AY165</f>
        <v>3065690.23</v>
      </c>
      <c r="BA165" s="619">
        <v>24723.31</v>
      </c>
      <c r="BB165" s="654" t="s">
        <v>1488</v>
      </c>
      <c r="BC165" s="619">
        <v>0</v>
      </c>
      <c r="BD165" s="619">
        <v>4654516.74</v>
      </c>
      <c r="BE165" s="619">
        <f t="shared" ref="BE165" si="508">BC165+BD165</f>
        <v>4654516.74</v>
      </c>
      <c r="BF165" s="619">
        <v>37536.42</v>
      </c>
      <c r="BG165" s="618" t="s">
        <v>1489</v>
      </c>
      <c r="BH165" s="619">
        <f t="shared" si="496"/>
        <v>2388552.9499999997</v>
      </c>
      <c r="BI165" s="619">
        <f>AT165+AY165+BD165</f>
        <v>9390771.5</v>
      </c>
      <c r="BJ165" s="619">
        <f>BH165+BI165</f>
        <v>11779324.449999999</v>
      </c>
      <c r="BK165" s="619">
        <f t="shared" si="468"/>
        <v>90129.65</v>
      </c>
      <c r="BL165" s="551" t="s">
        <v>1490</v>
      </c>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row>
    <row r="166" spans="1:179" s="9" customFormat="1" ht="64.5" customHeight="1">
      <c r="A166" s="539" t="s">
        <v>112</v>
      </c>
      <c r="B166" s="522" t="s">
        <v>313</v>
      </c>
      <c r="C166" s="618">
        <v>120075088.088232</v>
      </c>
      <c r="D166" s="618">
        <v>120075088.088232</v>
      </c>
      <c r="E166" s="618">
        <v>0</v>
      </c>
      <c r="F166" s="618">
        <v>0</v>
      </c>
      <c r="G166" s="618">
        <v>120075088.088232</v>
      </c>
      <c r="H166" s="618">
        <v>24612387</v>
      </c>
      <c r="I166" s="618">
        <v>0</v>
      </c>
      <c r="J166" s="618">
        <f t="shared" si="469"/>
        <v>24612387</v>
      </c>
      <c r="K166" s="618">
        <v>71580627.609999999</v>
      </c>
      <c r="L166" s="618">
        <v>1511329.7</v>
      </c>
      <c r="M166" s="618"/>
      <c r="N166" s="618">
        <f t="shared" si="452"/>
        <v>1511329.7</v>
      </c>
      <c r="O166" s="619">
        <v>2522161.02</v>
      </c>
      <c r="P166" s="619"/>
      <c r="Q166" s="618">
        <f t="shared" si="453"/>
        <v>2522161.02</v>
      </c>
      <c r="R166" s="619">
        <v>2916764.02</v>
      </c>
      <c r="S166" s="619"/>
      <c r="T166" s="618">
        <f t="shared" si="454"/>
        <v>2916764.02</v>
      </c>
      <c r="U166" s="619">
        <v>3431487.02</v>
      </c>
      <c r="V166" s="619"/>
      <c r="W166" s="618">
        <f t="shared" si="455"/>
        <v>3431487.02</v>
      </c>
      <c r="X166" s="619">
        <v>4640010.0199999996</v>
      </c>
      <c r="Y166" s="619"/>
      <c r="Z166" s="618">
        <f t="shared" si="456"/>
        <v>4640010.0199999996</v>
      </c>
      <c r="AA166" s="619">
        <v>5824411.0199999996</v>
      </c>
      <c r="AB166" s="619"/>
      <c r="AC166" s="618">
        <f t="shared" si="457"/>
        <v>5824411.0199999996</v>
      </c>
      <c r="AD166" s="619">
        <v>7034548.0199999996</v>
      </c>
      <c r="AE166" s="619"/>
      <c r="AF166" s="618">
        <f t="shared" si="458"/>
        <v>7034548.0199999996</v>
      </c>
      <c r="AG166" s="619">
        <v>9093440.0199999996</v>
      </c>
      <c r="AH166" s="619"/>
      <c r="AI166" s="618">
        <f t="shared" si="459"/>
        <v>9093440.0199999996</v>
      </c>
      <c r="AJ166" s="619">
        <v>10120295.52</v>
      </c>
      <c r="AK166" s="619"/>
      <c r="AL166" s="618">
        <f t="shared" si="460"/>
        <v>10120295.52</v>
      </c>
      <c r="AM166" s="619">
        <v>11930370.619999999</v>
      </c>
      <c r="AN166" s="619"/>
      <c r="AO166" s="618">
        <f t="shared" si="461"/>
        <v>11930370.619999999</v>
      </c>
      <c r="AP166" s="619">
        <v>14429868.02</v>
      </c>
      <c r="AQ166" s="619">
        <v>0</v>
      </c>
      <c r="AR166" s="618">
        <f t="shared" si="462"/>
        <v>14429868.02</v>
      </c>
      <c r="AS166" s="619">
        <v>17157433.02</v>
      </c>
      <c r="AT166" s="619">
        <v>0</v>
      </c>
      <c r="AU166" s="618">
        <f t="shared" si="463"/>
        <v>17157433.02</v>
      </c>
      <c r="AV166" s="619">
        <v>226985.16</v>
      </c>
      <c r="AW166" s="654" t="s">
        <v>1491</v>
      </c>
      <c r="AX166" s="619">
        <v>14903304.6</v>
      </c>
      <c r="AY166" s="619"/>
      <c r="AZ166" s="618">
        <f t="shared" si="464"/>
        <v>14903304.6</v>
      </c>
      <c r="BA166" s="619">
        <v>216209.05</v>
      </c>
      <c r="BB166" s="654" t="s">
        <v>1492</v>
      </c>
      <c r="BC166" s="619">
        <v>15687006.810000001</v>
      </c>
      <c r="BD166" s="619"/>
      <c r="BE166" s="618">
        <f t="shared" si="465"/>
        <v>15687006.810000001</v>
      </c>
      <c r="BF166" s="619">
        <v>227578.57</v>
      </c>
      <c r="BG166" s="618" t="s">
        <v>1493</v>
      </c>
      <c r="BH166" s="642">
        <v>47747744.43</v>
      </c>
      <c r="BI166" s="642">
        <v>0</v>
      </c>
      <c r="BJ166" s="618">
        <f t="shared" si="466"/>
        <v>47747744.43</v>
      </c>
      <c r="BK166" s="618">
        <f t="shared" si="468"/>
        <v>670772.78</v>
      </c>
      <c r="BL166" s="605" t="s">
        <v>1490</v>
      </c>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row>
    <row r="167" spans="1:179" s="9" customFormat="1" ht="78">
      <c r="A167" s="539" t="s">
        <v>113</v>
      </c>
      <c r="B167" s="522" t="s">
        <v>312</v>
      </c>
      <c r="C167" s="618">
        <v>8257192.8913079994</v>
      </c>
      <c r="D167" s="618">
        <v>8257192.8913079994</v>
      </c>
      <c r="E167" s="618">
        <v>0</v>
      </c>
      <c r="F167" s="618">
        <v>0</v>
      </c>
      <c r="G167" s="618">
        <v>8257192.8913079994</v>
      </c>
      <c r="H167" s="618">
        <v>0</v>
      </c>
      <c r="I167" s="618">
        <v>0</v>
      </c>
      <c r="J167" s="618">
        <f t="shared" si="469"/>
        <v>0</v>
      </c>
      <c r="K167" s="618">
        <v>8257192.4199999999</v>
      </c>
      <c r="L167" s="618">
        <v>0</v>
      </c>
      <c r="M167" s="618"/>
      <c r="N167" s="618">
        <f t="shared" si="452"/>
        <v>0</v>
      </c>
      <c r="O167" s="619">
        <v>0</v>
      </c>
      <c r="P167" s="619"/>
      <c r="Q167" s="618">
        <f t="shared" si="453"/>
        <v>0</v>
      </c>
      <c r="R167" s="619">
        <v>0</v>
      </c>
      <c r="S167" s="619"/>
      <c r="T167" s="618">
        <f t="shared" si="454"/>
        <v>0</v>
      </c>
      <c r="U167" s="619">
        <v>0</v>
      </c>
      <c r="V167" s="619"/>
      <c r="W167" s="618">
        <f t="shared" si="455"/>
        <v>0</v>
      </c>
      <c r="X167" s="619">
        <v>0</v>
      </c>
      <c r="Y167" s="619"/>
      <c r="Z167" s="618">
        <f t="shared" si="456"/>
        <v>0</v>
      </c>
      <c r="AA167" s="619">
        <v>0</v>
      </c>
      <c r="AB167" s="619"/>
      <c r="AC167" s="618">
        <f t="shared" si="457"/>
        <v>0</v>
      </c>
      <c r="AD167" s="619"/>
      <c r="AE167" s="619"/>
      <c r="AF167" s="618">
        <f t="shared" si="458"/>
        <v>0</v>
      </c>
      <c r="AG167" s="619">
        <v>0</v>
      </c>
      <c r="AH167" s="619"/>
      <c r="AI167" s="618">
        <f t="shared" si="459"/>
        <v>0</v>
      </c>
      <c r="AJ167" s="619">
        <v>0</v>
      </c>
      <c r="AK167" s="619"/>
      <c r="AL167" s="618">
        <f t="shared" si="460"/>
        <v>0</v>
      </c>
      <c r="AM167" s="619">
        <v>0</v>
      </c>
      <c r="AN167" s="619"/>
      <c r="AO167" s="618">
        <f t="shared" si="461"/>
        <v>0</v>
      </c>
      <c r="AP167" s="619">
        <v>0</v>
      </c>
      <c r="AQ167" s="619"/>
      <c r="AR167" s="618">
        <f t="shared" si="462"/>
        <v>0</v>
      </c>
      <c r="AS167" s="619">
        <v>0</v>
      </c>
      <c r="AT167" s="619"/>
      <c r="AU167" s="618">
        <f t="shared" si="463"/>
        <v>0</v>
      </c>
      <c r="AV167" s="619"/>
      <c r="AW167" s="654"/>
      <c r="AX167" s="619">
        <v>0</v>
      </c>
      <c r="AY167" s="619"/>
      <c r="AZ167" s="618">
        <f t="shared" si="464"/>
        <v>0</v>
      </c>
      <c r="BA167" s="619"/>
      <c r="BB167" s="654"/>
      <c r="BC167" s="619"/>
      <c r="BD167" s="619"/>
      <c r="BE167" s="618">
        <f t="shared" si="465"/>
        <v>0</v>
      </c>
      <c r="BF167" s="619"/>
      <c r="BG167" s="619"/>
      <c r="BH167" s="642">
        <v>0</v>
      </c>
      <c r="BI167" s="642">
        <v>0</v>
      </c>
      <c r="BJ167" s="618">
        <f t="shared" si="466"/>
        <v>0</v>
      </c>
      <c r="BK167" s="618">
        <f t="shared" si="468"/>
        <v>0</v>
      </c>
      <c r="BL167" s="605"/>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row>
    <row r="168" spans="1:179" s="2" customFormat="1" ht="40.5">
      <c r="A168" s="523"/>
      <c r="B168" s="521" t="s">
        <v>317</v>
      </c>
      <c r="C168" s="617">
        <f t="shared" ref="C168:J168" si="509">SUM(C169:C171)</f>
        <v>25335213.425843999</v>
      </c>
      <c r="D168" s="617">
        <f t="shared" si="509"/>
        <v>25335213.425843999</v>
      </c>
      <c r="E168" s="617">
        <f t="shared" si="509"/>
        <v>12000000</v>
      </c>
      <c r="F168" s="617">
        <f t="shared" si="509"/>
        <v>12000000</v>
      </c>
      <c r="G168" s="617">
        <f t="shared" si="509"/>
        <v>37335213.425843999</v>
      </c>
      <c r="H168" s="617">
        <f t="shared" si="509"/>
        <v>5594196</v>
      </c>
      <c r="I168" s="617">
        <f t="shared" si="509"/>
        <v>2064470</v>
      </c>
      <c r="J168" s="617">
        <f t="shared" si="509"/>
        <v>7658666</v>
      </c>
      <c r="K168" s="617">
        <f t="shared" ref="K168:BJ168" si="510">SUM(K169:K171)</f>
        <v>11695311.630000001</v>
      </c>
      <c r="L168" s="617">
        <f t="shared" si="510"/>
        <v>220460.42</v>
      </c>
      <c r="M168" s="617">
        <f t="shared" si="510"/>
        <v>0</v>
      </c>
      <c r="N168" s="617">
        <f t="shared" si="510"/>
        <v>220460.42</v>
      </c>
      <c r="O168" s="617">
        <f t="shared" si="510"/>
        <v>858301.42</v>
      </c>
      <c r="P168" s="617">
        <f t="shared" si="510"/>
        <v>0</v>
      </c>
      <c r="Q168" s="617">
        <f t="shared" ref="Q168" si="511">SUM(Q169:Q171)</f>
        <v>858301.42</v>
      </c>
      <c r="R168" s="617">
        <f t="shared" si="510"/>
        <v>1077502.42</v>
      </c>
      <c r="S168" s="617">
        <f t="shared" si="510"/>
        <v>0</v>
      </c>
      <c r="T168" s="617">
        <f t="shared" ref="T168" si="512">SUM(T169:T171)</f>
        <v>1077502.42</v>
      </c>
      <c r="U168" s="617">
        <f t="shared" ref="U168:BA168" si="513">SUM(U169:U171)</f>
        <v>1468431.42</v>
      </c>
      <c r="V168" s="617">
        <f t="shared" si="510"/>
        <v>1599811.81</v>
      </c>
      <c r="W168" s="617">
        <f t="shared" ref="W168" si="514">SUM(W169:W171)</f>
        <v>3068243.23</v>
      </c>
      <c r="X168" s="617">
        <f t="shared" si="510"/>
        <v>1837775.42</v>
      </c>
      <c r="Y168" s="617">
        <f t="shared" si="510"/>
        <v>1599811.81</v>
      </c>
      <c r="Z168" s="617">
        <f t="shared" ref="Z168" si="515">SUM(Z169:Z171)</f>
        <v>3437587.23</v>
      </c>
      <c r="AA168" s="617">
        <f t="shared" si="510"/>
        <v>2289246.42</v>
      </c>
      <c r="AB168" s="617">
        <f t="shared" si="513"/>
        <v>1599811.81</v>
      </c>
      <c r="AC168" s="617">
        <f t="shared" si="513"/>
        <v>3889058.23</v>
      </c>
      <c r="AD168" s="617">
        <f t="shared" si="510"/>
        <v>2964627.42</v>
      </c>
      <c r="AE168" s="617">
        <f t="shared" si="510"/>
        <v>1599811.81</v>
      </c>
      <c r="AF168" s="617">
        <f t="shared" ref="AF168" si="516">SUM(AF169:AF171)</f>
        <v>4564439.2300000004</v>
      </c>
      <c r="AG168" s="617">
        <f t="shared" si="510"/>
        <v>3369851.42</v>
      </c>
      <c r="AH168" s="617">
        <f t="shared" si="510"/>
        <v>1599811.81</v>
      </c>
      <c r="AI168" s="617">
        <f t="shared" ref="AI168" si="517">SUM(AI169:AI171)</f>
        <v>4969663.2300000004</v>
      </c>
      <c r="AJ168" s="617">
        <f t="shared" si="510"/>
        <v>3497682.42</v>
      </c>
      <c r="AK168" s="617">
        <f t="shared" si="510"/>
        <v>1599811.81</v>
      </c>
      <c r="AL168" s="617">
        <f t="shared" ref="AL168" si="518">SUM(AL169:AL171)</f>
        <v>5097494.2300000004</v>
      </c>
      <c r="AM168" s="617">
        <f t="shared" si="510"/>
        <v>3967603.42</v>
      </c>
      <c r="AN168" s="617">
        <f t="shared" si="510"/>
        <v>2228641.81</v>
      </c>
      <c r="AO168" s="617">
        <f t="shared" ref="AO168" si="519">SUM(AO169:AO171)</f>
        <v>6196245.2300000004</v>
      </c>
      <c r="AP168" s="617">
        <f t="shared" si="513"/>
        <v>4576688.42</v>
      </c>
      <c r="AQ168" s="617">
        <f t="shared" si="510"/>
        <v>2228641.81</v>
      </c>
      <c r="AR168" s="617">
        <f t="shared" ref="AR168" si="520">SUM(AR169:AR171)</f>
        <v>6805330.2300000004</v>
      </c>
      <c r="AS168" s="617">
        <f t="shared" si="510"/>
        <v>4578563.42</v>
      </c>
      <c r="AT168" s="617">
        <f t="shared" si="510"/>
        <v>2228641.81</v>
      </c>
      <c r="AU168" s="617">
        <f t="shared" ref="AU168:AV168" si="521">SUM(AU169:AU171)</f>
        <v>6807205.2300000004</v>
      </c>
      <c r="AV168" s="617">
        <f t="shared" si="521"/>
        <v>15297.942297000001</v>
      </c>
      <c r="AW168" s="653"/>
      <c r="AX168" s="617">
        <f t="shared" si="510"/>
        <v>5576550</v>
      </c>
      <c r="AY168" s="617">
        <f t="shared" si="513"/>
        <v>5444377</v>
      </c>
      <c r="AZ168" s="617">
        <f t="shared" si="513"/>
        <v>11020927</v>
      </c>
      <c r="BA168" s="617">
        <f t="shared" si="513"/>
        <v>23369.9136492</v>
      </c>
      <c r="BB168" s="653"/>
      <c r="BC168" s="617">
        <f t="shared" si="510"/>
        <v>2527971.1800000002</v>
      </c>
      <c r="BD168" s="617">
        <f t="shared" si="510"/>
        <v>4326039.7</v>
      </c>
      <c r="BE168" s="617">
        <f t="shared" si="510"/>
        <v>6854010.8800000008</v>
      </c>
      <c r="BF168" s="617">
        <f t="shared" si="510"/>
        <v>19225.007455999999</v>
      </c>
      <c r="BG168" s="617"/>
      <c r="BH168" s="617">
        <f t="shared" si="510"/>
        <v>12683084.6</v>
      </c>
      <c r="BI168" s="617">
        <f t="shared" si="510"/>
        <v>11999058.510000002</v>
      </c>
      <c r="BJ168" s="617">
        <f t="shared" si="510"/>
        <v>24682143.109999999</v>
      </c>
      <c r="BK168" s="617">
        <f t="shared" si="468"/>
        <v>57892.863402199997</v>
      </c>
      <c r="BL168" s="596"/>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row>
    <row r="169" spans="1:179" s="9" customFormat="1" ht="91.5" customHeight="1">
      <c r="A169" s="522" t="s">
        <v>114</v>
      </c>
      <c r="B169" s="522" t="s">
        <v>311</v>
      </c>
      <c r="C169" s="618">
        <v>14890142.486256</v>
      </c>
      <c r="D169" s="618">
        <v>14890142.486256</v>
      </c>
      <c r="E169" s="618">
        <v>0</v>
      </c>
      <c r="F169" s="618">
        <v>0</v>
      </c>
      <c r="G169" s="618">
        <v>14890142.486256</v>
      </c>
      <c r="H169" s="618">
        <f>3353884-464076</f>
        <v>2889808</v>
      </c>
      <c r="I169" s="618">
        <v>0</v>
      </c>
      <c r="J169" s="618">
        <f t="shared" si="469"/>
        <v>2889808</v>
      </c>
      <c r="K169" s="618">
        <v>6777953.9199999999</v>
      </c>
      <c r="L169" s="618">
        <v>179922.67</v>
      </c>
      <c r="M169" s="618">
        <v>0</v>
      </c>
      <c r="N169" s="618">
        <f t="shared" si="452"/>
        <v>179922.67</v>
      </c>
      <c r="O169" s="619">
        <v>646286.67000000004</v>
      </c>
      <c r="P169" s="619">
        <v>0</v>
      </c>
      <c r="Q169" s="618">
        <f t="shared" si="453"/>
        <v>646286.67000000004</v>
      </c>
      <c r="R169" s="619">
        <v>842306.67</v>
      </c>
      <c r="S169" s="619">
        <v>0</v>
      </c>
      <c r="T169" s="618">
        <f t="shared" si="454"/>
        <v>842306.67</v>
      </c>
      <c r="U169" s="619">
        <v>842306.67</v>
      </c>
      <c r="V169" s="619">
        <v>0</v>
      </c>
      <c r="W169" s="618">
        <f t="shared" si="455"/>
        <v>842306.67</v>
      </c>
      <c r="X169" s="619">
        <v>1196562.67</v>
      </c>
      <c r="Y169" s="619">
        <v>0</v>
      </c>
      <c r="Z169" s="618">
        <f t="shared" si="456"/>
        <v>1196562.67</v>
      </c>
      <c r="AA169" s="619">
        <v>1457922.67</v>
      </c>
      <c r="AB169" s="619">
        <v>0</v>
      </c>
      <c r="AC169" s="618">
        <f t="shared" si="457"/>
        <v>1457922.67</v>
      </c>
      <c r="AD169" s="619">
        <v>2049573.67</v>
      </c>
      <c r="AE169" s="619">
        <v>0</v>
      </c>
      <c r="AF169" s="618">
        <f t="shared" si="458"/>
        <v>2049573.67</v>
      </c>
      <c r="AG169" s="619">
        <v>2191773.67</v>
      </c>
      <c r="AH169" s="619">
        <v>0</v>
      </c>
      <c r="AI169" s="618">
        <f t="shared" si="459"/>
        <v>2191773.67</v>
      </c>
      <c r="AJ169" s="619">
        <v>2191773.67</v>
      </c>
      <c r="AK169" s="619">
        <v>0</v>
      </c>
      <c r="AL169" s="618">
        <f t="shared" si="460"/>
        <v>2191773.67</v>
      </c>
      <c r="AM169" s="619">
        <v>2557521.67</v>
      </c>
      <c r="AN169" s="619">
        <v>0</v>
      </c>
      <c r="AO169" s="618">
        <f t="shared" si="461"/>
        <v>2557521.67</v>
      </c>
      <c r="AP169" s="619">
        <v>2719193.67</v>
      </c>
      <c r="AQ169" s="619">
        <v>0</v>
      </c>
      <c r="AR169" s="618">
        <f t="shared" si="462"/>
        <v>2719193.67</v>
      </c>
      <c r="AS169" s="619">
        <v>2716014.67</v>
      </c>
      <c r="AT169" s="619">
        <v>0</v>
      </c>
      <c r="AU169" s="618">
        <f t="shared" si="463"/>
        <v>2716014.67</v>
      </c>
      <c r="AV169" s="619">
        <v>3179</v>
      </c>
      <c r="AW169" s="654" t="s">
        <v>1441</v>
      </c>
      <c r="AX169" s="619">
        <v>2909841</v>
      </c>
      <c r="AY169" s="619">
        <v>0</v>
      </c>
      <c r="AZ169" s="618">
        <f t="shared" si="464"/>
        <v>2909841</v>
      </c>
      <c r="BA169" s="619">
        <v>3204</v>
      </c>
      <c r="BB169" s="654"/>
      <c r="BC169" s="619">
        <v>2477196</v>
      </c>
      <c r="BD169" s="619">
        <v>0</v>
      </c>
      <c r="BE169" s="618">
        <f t="shared" si="465"/>
        <v>2477196</v>
      </c>
      <c r="BF169" s="619">
        <v>2536</v>
      </c>
      <c r="BG169" s="619"/>
      <c r="BH169" s="642">
        <v>8103051.6699999999</v>
      </c>
      <c r="BI169" s="642">
        <v>0</v>
      </c>
      <c r="BJ169" s="618">
        <f t="shared" si="466"/>
        <v>8103051.6699999999</v>
      </c>
      <c r="BK169" s="618">
        <f t="shared" si="468"/>
        <v>8919</v>
      </c>
      <c r="BL169" s="605" t="s">
        <v>1442</v>
      </c>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row>
    <row r="170" spans="1:179" s="9" customFormat="1" ht="117" customHeight="1">
      <c r="A170" s="522" t="s">
        <v>115</v>
      </c>
      <c r="B170" s="522" t="s">
        <v>310</v>
      </c>
      <c r="C170" s="618">
        <v>6445071.8128439998</v>
      </c>
      <c r="D170" s="618">
        <v>6445071.8128439998</v>
      </c>
      <c r="E170" s="618">
        <v>8000000</v>
      </c>
      <c r="F170" s="618">
        <v>8000000</v>
      </c>
      <c r="G170" s="618">
        <v>14445071.812844001</v>
      </c>
      <c r="H170" s="618">
        <v>2488417</v>
      </c>
      <c r="I170" s="618">
        <v>750000</v>
      </c>
      <c r="J170" s="618">
        <f t="shared" si="469"/>
        <v>3238417</v>
      </c>
      <c r="K170" s="618">
        <v>3185689.98</v>
      </c>
      <c r="L170" s="618">
        <v>0</v>
      </c>
      <c r="M170" s="618">
        <v>0</v>
      </c>
      <c r="N170" s="618">
        <f t="shared" ref="N170" si="522">L170+M170</f>
        <v>0</v>
      </c>
      <c r="O170" s="619">
        <f>95652+L170</f>
        <v>95652</v>
      </c>
      <c r="P170" s="619">
        <v>0</v>
      </c>
      <c r="Q170" s="618">
        <f t="shared" ref="Q170" si="523">O170+P170</f>
        <v>95652</v>
      </c>
      <c r="R170" s="619">
        <f>O170</f>
        <v>95652</v>
      </c>
      <c r="S170" s="619">
        <f>0+P170</f>
        <v>0</v>
      </c>
      <c r="T170" s="618">
        <f>R170+S170</f>
        <v>95652</v>
      </c>
      <c r="U170" s="619">
        <f>285236+R170</f>
        <v>380888</v>
      </c>
      <c r="V170" s="619">
        <f>S170+1599811.81</f>
        <v>1599811.81</v>
      </c>
      <c r="W170" s="618">
        <f>U170+V170</f>
        <v>1980699.81</v>
      </c>
      <c r="X170" s="619">
        <f>U170</f>
        <v>380888</v>
      </c>
      <c r="Y170" s="619">
        <f>0+V170</f>
        <v>1599811.81</v>
      </c>
      <c r="Z170" s="618">
        <f>X170+Y170</f>
        <v>1980699.81</v>
      </c>
      <c r="AA170" s="619">
        <f>155427+X170</f>
        <v>536315</v>
      </c>
      <c r="AB170" s="619">
        <f>0+Y170</f>
        <v>1599811.81</v>
      </c>
      <c r="AC170" s="618">
        <f>AA170+AB170</f>
        <v>2136126.81</v>
      </c>
      <c r="AD170" s="619">
        <f>59046+AA170</f>
        <v>595361</v>
      </c>
      <c r="AE170" s="619">
        <f>0+AB170</f>
        <v>1599811.81</v>
      </c>
      <c r="AF170" s="618">
        <f>AD170+AE170</f>
        <v>2195172.81</v>
      </c>
      <c r="AG170" s="619">
        <f>157236+AD170</f>
        <v>752597</v>
      </c>
      <c r="AH170" s="619">
        <f>0+AE170</f>
        <v>1599811.81</v>
      </c>
      <c r="AI170" s="618">
        <f>AG170+AH170</f>
        <v>2352408.81</v>
      </c>
      <c r="AJ170" s="619">
        <f>69207+AG170</f>
        <v>821804</v>
      </c>
      <c r="AK170" s="619">
        <f>0+AH170</f>
        <v>1599811.81</v>
      </c>
      <c r="AL170" s="618">
        <f>AJ170+AK170</f>
        <v>2421615.81</v>
      </c>
      <c r="AM170" s="619">
        <f>78888+AJ170</f>
        <v>900692</v>
      </c>
      <c r="AN170" s="619">
        <f>0+AK170</f>
        <v>1599811.81</v>
      </c>
      <c r="AO170" s="618">
        <f>AM170+AN170</f>
        <v>2500503.81</v>
      </c>
      <c r="AP170" s="619">
        <f>143255+AM170-10047</f>
        <v>1033900</v>
      </c>
      <c r="AQ170" s="619">
        <f>0+AN170</f>
        <v>1599811.81</v>
      </c>
      <c r="AR170" s="618">
        <f>AP170+AQ170</f>
        <v>2633711.81</v>
      </c>
      <c r="AS170" s="619">
        <f>0+AP170</f>
        <v>1033900</v>
      </c>
      <c r="AT170" s="619">
        <f>0+AQ170</f>
        <v>1599811.81</v>
      </c>
      <c r="AU170" s="618">
        <f>AS170+AT170</f>
        <v>2633711.81</v>
      </c>
      <c r="AV170" s="619">
        <v>10046.942297000001</v>
      </c>
      <c r="AW170" s="654" t="s">
        <v>1443</v>
      </c>
      <c r="AX170" s="619">
        <v>1908476</v>
      </c>
      <c r="AY170" s="619">
        <v>3268227</v>
      </c>
      <c r="AZ170" s="618">
        <f>AX170+AY170</f>
        <v>5176703</v>
      </c>
      <c r="BA170" s="619">
        <v>18958.9136492</v>
      </c>
      <c r="BB170" s="654"/>
      <c r="BC170" s="619">
        <f>119907.18-12028-57104</f>
        <v>50775.179999999993</v>
      </c>
      <c r="BD170" s="619">
        <f>3131019.7-57103+57103</f>
        <v>3131019.7</v>
      </c>
      <c r="BE170" s="618">
        <f t="shared" ref="BE170" si="524">BC170+BD170</f>
        <v>3181794.8800000004</v>
      </c>
      <c r="BF170" s="619">
        <v>12028.429456000002</v>
      </c>
      <c r="BG170" s="619"/>
      <c r="BH170" s="642">
        <f t="shared" ref="BH170:BH171" si="525">AS170+AX170+BC170</f>
        <v>2993151.18</v>
      </c>
      <c r="BI170" s="642">
        <f>AT170+AY170+BD170</f>
        <v>7999058.5100000007</v>
      </c>
      <c r="BJ170" s="618">
        <f t="shared" ref="BJ170" si="526">BH170+BI170</f>
        <v>10992209.690000001</v>
      </c>
      <c r="BK170" s="618">
        <f t="shared" ref="BK170" si="527">BF170+BA170+AV170</f>
        <v>41034.285402200003</v>
      </c>
      <c r="BL170" s="605" t="s">
        <v>1442</v>
      </c>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row>
    <row r="171" spans="1:179" s="9" customFormat="1" ht="162.75" customHeight="1">
      <c r="A171" s="522" t="s">
        <v>116</v>
      </c>
      <c r="B171" s="522" t="s">
        <v>309</v>
      </c>
      <c r="C171" s="618">
        <v>3999999.1267439998</v>
      </c>
      <c r="D171" s="618">
        <v>3999999.1267439998</v>
      </c>
      <c r="E171" s="618">
        <v>4000000</v>
      </c>
      <c r="F171" s="618">
        <v>4000000</v>
      </c>
      <c r="G171" s="618">
        <v>7999999.1267440002</v>
      </c>
      <c r="H171" s="618">
        <f>306904-90933</f>
        <v>215971</v>
      </c>
      <c r="I171" s="618">
        <v>1314470</v>
      </c>
      <c r="J171" s="618">
        <f t="shared" si="469"/>
        <v>1530441</v>
      </c>
      <c r="K171" s="618">
        <v>1731667.73</v>
      </c>
      <c r="L171" s="618">
        <v>40537.75</v>
      </c>
      <c r="M171" s="618">
        <v>0</v>
      </c>
      <c r="N171" s="618">
        <f t="shared" si="452"/>
        <v>40537.75</v>
      </c>
      <c r="O171" s="619">
        <v>116362.75</v>
      </c>
      <c r="P171" s="619">
        <v>0</v>
      </c>
      <c r="Q171" s="618">
        <f t="shared" si="453"/>
        <v>116362.75</v>
      </c>
      <c r="R171" s="619">
        <v>139543.75</v>
      </c>
      <c r="S171" s="619">
        <v>0</v>
      </c>
      <c r="T171" s="618">
        <f t="shared" si="454"/>
        <v>139543.75</v>
      </c>
      <c r="U171" s="619">
        <v>245236.75</v>
      </c>
      <c r="V171" s="619">
        <v>0</v>
      </c>
      <c r="W171" s="618">
        <f t="shared" si="455"/>
        <v>245236.75</v>
      </c>
      <c r="X171" s="619">
        <v>260324.75</v>
      </c>
      <c r="Y171" s="619">
        <v>0</v>
      </c>
      <c r="Z171" s="618">
        <f t="shared" si="456"/>
        <v>260324.75</v>
      </c>
      <c r="AA171" s="619">
        <v>295008.75</v>
      </c>
      <c r="AB171" s="619">
        <v>0</v>
      </c>
      <c r="AC171" s="618">
        <f t="shared" si="457"/>
        <v>295008.75</v>
      </c>
      <c r="AD171" s="619">
        <v>319692.75</v>
      </c>
      <c r="AE171" s="619">
        <v>0</v>
      </c>
      <c r="AF171" s="618">
        <f t="shared" si="458"/>
        <v>319692.75</v>
      </c>
      <c r="AG171" s="619">
        <v>425480.75</v>
      </c>
      <c r="AH171" s="619">
        <v>0</v>
      </c>
      <c r="AI171" s="618">
        <f t="shared" si="459"/>
        <v>425480.75</v>
      </c>
      <c r="AJ171" s="619">
        <v>484104.75</v>
      </c>
      <c r="AK171" s="619">
        <v>0</v>
      </c>
      <c r="AL171" s="618">
        <f t="shared" si="460"/>
        <v>484104.75</v>
      </c>
      <c r="AM171" s="619">
        <v>509389.75</v>
      </c>
      <c r="AN171" s="619">
        <v>628830</v>
      </c>
      <c r="AO171" s="618">
        <f t="shared" si="461"/>
        <v>1138219.75</v>
      </c>
      <c r="AP171" s="619">
        <v>823594.75</v>
      </c>
      <c r="AQ171" s="619">
        <v>628830</v>
      </c>
      <c r="AR171" s="618">
        <f t="shared" si="462"/>
        <v>1452424.75</v>
      </c>
      <c r="AS171" s="619">
        <v>828648.75</v>
      </c>
      <c r="AT171" s="619">
        <v>628830</v>
      </c>
      <c r="AU171" s="618">
        <f t="shared" si="463"/>
        <v>1457478.75</v>
      </c>
      <c r="AV171" s="619">
        <v>2072</v>
      </c>
      <c r="AW171" s="654" t="s">
        <v>1444</v>
      </c>
      <c r="AX171" s="619">
        <v>758233</v>
      </c>
      <c r="AY171" s="619">
        <v>2176150</v>
      </c>
      <c r="AZ171" s="618">
        <f t="shared" si="464"/>
        <v>2934383</v>
      </c>
      <c r="BA171" s="619">
        <v>1207</v>
      </c>
      <c r="BB171" s="654"/>
      <c r="BC171" s="619">
        <v>0</v>
      </c>
      <c r="BD171" s="619">
        <v>1195020</v>
      </c>
      <c r="BE171" s="618">
        <f t="shared" si="465"/>
        <v>1195020</v>
      </c>
      <c r="BF171" s="619">
        <v>4660.5779999999995</v>
      </c>
      <c r="BG171" s="619"/>
      <c r="BH171" s="642">
        <f t="shared" si="525"/>
        <v>1586881.75</v>
      </c>
      <c r="BI171" s="642">
        <v>4000000</v>
      </c>
      <c r="BJ171" s="618">
        <f t="shared" si="466"/>
        <v>5586881.75</v>
      </c>
      <c r="BK171" s="618">
        <f t="shared" si="468"/>
        <v>7939.5779999999995</v>
      </c>
      <c r="BL171" s="605" t="s">
        <v>1442</v>
      </c>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row>
    <row r="172" spans="1:179" s="5" customFormat="1">
      <c r="A172" s="523"/>
      <c r="B172" s="524" t="s">
        <v>318</v>
      </c>
      <c r="C172" s="621">
        <f t="shared" ref="C172:J172" si="528">SUM(C173:C178)</f>
        <v>10218032.2158</v>
      </c>
      <c r="D172" s="621">
        <f t="shared" si="528"/>
        <v>10218032.2158</v>
      </c>
      <c r="E172" s="621">
        <f t="shared" si="528"/>
        <v>0</v>
      </c>
      <c r="F172" s="621">
        <f t="shared" si="528"/>
        <v>0</v>
      </c>
      <c r="G172" s="621">
        <f t="shared" si="528"/>
        <v>10218032.2158</v>
      </c>
      <c r="H172" s="621">
        <f t="shared" si="528"/>
        <v>476658</v>
      </c>
      <c r="I172" s="621">
        <f t="shared" si="528"/>
        <v>602858</v>
      </c>
      <c r="J172" s="621">
        <f t="shared" si="528"/>
        <v>1079516</v>
      </c>
      <c r="K172" s="621">
        <f t="shared" ref="K172:BJ172" si="529">SUM(K173:K178)</f>
        <v>8589644.7899999991</v>
      </c>
      <c r="L172" s="621">
        <f t="shared" si="529"/>
        <v>0</v>
      </c>
      <c r="M172" s="621">
        <f t="shared" si="529"/>
        <v>0</v>
      </c>
      <c r="N172" s="621">
        <f t="shared" si="529"/>
        <v>0</v>
      </c>
      <c r="O172" s="621">
        <f t="shared" si="529"/>
        <v>0</v>
      </c>
      <c r="P172" s="621">
        <f t="shared" si="529"/>
        <v>0</v>
      </c>
      <c r="Q172" s="621">
        <f t="shared" ref="Q172" si="530">SUM(Q173:Q178)</f>
        <v>0</v>
      </c>
      <c r="R172" s="621">
        <f t="shared" si="529"/>
        <v>0</v>
      </c>
      <c r="S172" s="621">
        <f t="shared" si="529"/>
        <v>0</v>
      </c>
      <c r="T172" s="621">
        <f t="shared" ref="T172" si="531">SUM(T173:T178)</f>
        <v>0</v>
      </c>
      <c r="U172" s="621">
        <f t="shared" si="529"/>
        <v>87472</v>
      </c>
      <c r="V172" s="621">
        <f t="shared" si="529"/>
        <v>0</v>
      </c>
      <c r="W172" s="621">
        <f t="shared" ref="W172" si="532">SUM(W173:W178)</f>
        <v>87472</v>
      </c>
      <c r="X172" s="621">
        <f t="shared" si="529"/>
        <v>93117.49</v>
      </c>
      <c r="Y172" s="621">
        <f t="shared" si="529"/>
        <v>0</v>
      </c>
      <c r="Z172" s="621">
        <f t="shared" ref="Z172" si="533">SUM(Z173:Z178)</f>
        <v>93117.49</v>
      </c>
      <c r="AA172" s="621">
        <f t="shared" si="529"/>
        <v>93117.49</v>
      </c>
      <c r="AB172" s="621">
        <f t="shared" si="529"/>
        <v>0</v>
      </c>
      <c r="AC172" s="621">
        <f t="shared" ref="AC172" si="534">SUM(AC173:AC178)</f>
        <v>93117.49</v>
      </c>
      <c r="AD172" s="621">
        <f t="shared" si="529"/>
        <v>93117.49</v>
      </c>
      <c r="AE172" s="621">
        <f t="shared" si="529"/>
        <v>0</v>
      </c>
      <c r="AF172" s="621">
        <f t="shared" ref="AF172" si="535">SUM(AF173:AF178)</f>
        <v>93117.49</v>
      </c>
      <c r="AG172" s="621">
        <f t="shared" si="529"/>
        <v>93117.49</v>
      </c>
      <c r="AH172" s="621">
        <f t="shared" si="529"/>
        <v>0</v>
      </c>
      <c r="AI172" s="621">
        <f t="shared" ref="AI172" si="536">SUM(AI173:AI178)</f>
        <v>93117.49</v>
      </c>
      <c r="AJ172" s="621">
        <f t="shared" si="529"/>
        <v>93117.49</v>
      </c>
      <c r="AK172" s="621">
        <f t="shared" si="529"/>
        <v>0</v>
      </c>
      <c r="AL172" s="621">
        <f t="shared" ref="AL172" si="537">SUM(AL173:AL178)</f>
        <v>93117.49</v>
      </c>
      <c r="AM172" s="621">
        <f t="shared" si="529"/>
        <v>127117.49</v>
      </c>
      <c r="AN172" s="621">
        <f t="shared" si="529"/>
        <v>0</v>
      </c>
      <c r="AO172" s="621">
        <f t="shared" ref="AO172" si="538">SUM(AO173:AO178)</f>
        <v>127117.49</v>
      </c>
      <c r="AP172" s="621">
        <f t="shared" si="529"/>
        <v>161117.49</v>
      </c>
      <c r="AQ172" s="621">
        <f t="shared" si="529"/>
        <v>0</v>
      </c>
      <c r="AR172" s="621">
        <f t="shared" ref="AR172" si="539">SUM(AR173:AR178)</f>
        <v>161117.49</v>
      </c>
      <c r="AS172" s="621">
        <f t="shared" si="529"/>
        <v>229117.49</v>
      </c>
      <c r="AT172" s="621">
        <f t="shared" si="529"/>
        <v>0</v>
      </c>
      <c r="AU172" s="621">
        <f t="shared" ref="AU172:AV172" si="540">SUM(AU173:AU178)</f>
        <v>229117.49</v>
      </c>
      <c r="AV172" s="621">
        <f t="shared" si="540"/>
        <v>168200.45</v>
      </c>
      <c r="AW172" s="653"/>
      <c r="AX172" s="621">
        <f t="shared" si="529"/>
        <v>1130946.5279880001</v>
      </c>
      <c r="AY172" s="621">
        <f t="shared" si="529"/>
        <v>0</v>
      </c>
      <c r="AZ172" s="621">
        <f t="shared" si="529"/>
        <v>1130946.5279880001</v>
      </c>
      <c r="BA172" s="621">
        <f t="shared" si="529"/>
        <v>17917.8698</v>
      </c>
      <c r="BB172" s="653"/>
      <c r="BC172" s="621">
        <f t="shared" si="529"/>
        <v>0</v>
      </c>
      <c r="BD172" s="621">
        <f t="shared" si="529"/>
        <v>0</v>
      </c>
      <c r="BE172" s="621">
        <f t="shared" si="529"/>
        <v>0</v>
      </c>
      <c r="BF172" s="621">
        <f t="shared" si="529"/>
        <v>0</v>
      </c>
      <c r="BG172" s="621"/>
      <c r="BH172" s="621">
        <f t="shared" si="529"/>
        <v>1360064.0179880001</v>
      </c>
      <c r="BI172" s="621">
        <f t="shared" si="529"/>
        <v>0</v>
      </c>
      <c r="BJ172" s="621">
        <f t="shared" si="529"/>
        <v>1360064.0179880001</v>
      </c>
      <c r="BK172" s="621">
        <f t="shared" si="468"/>
        <v>186118.3198</v>
      </c>
      <c r="BL172" s="599"/>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row>
    <row r="173" spans="1:179" s="9" customFormat="1" ht="132.75" customHeight="1">
      <c r="A173" s="535" t="s">
        <v>117</v>
      </c>
      <c r="B173" s="522" t="s">
        <v>368</v>
      </c>
      <c r="C173" s="618">
        <v>447270.088032</v>
      </c>
      <c r="D173" s="618">
        <v>447270.088032</v>
      </c>
      <c r="E173" s="618">
        <v>0</v>
      </c>
      <c r="F173" s="618">
        <v>0</v>
      </c>
      <c r="G173" s="618">
        <v>447270.088032</v>
      </c>
      <c r="H173" s="618">
        <v>0</v>
      </c>
      <c r="I173" s="618">
        <v>0</v>
      </c>
      <c r="J173" s="618">
        <f t="shared" si="469"/>
        <v>0</v>
      </c>
      <c r="K173" s="618">
        <v>377198.59</v>
      </c>
      <c r="L173" s="618">
        <v>0</v>
      </c>
      <c r="M173" s="618">
        <v>0</v>
      </c>
      <c r="N173" s="618">
        <f t="shared" si="452"/>
        <v>0</v>
      </c>
      <c r="O173" s="619">
        <v>0</v>
      </c>
      <c r="P173" s="619">
        <v>0</v>
      </c>
      <c r="Q173" s="618">
        <f t="shared" si="453"/>
        <v>0</v>
      </c>
      <c r="R173" s="619">
        <v>0</v>
      </c>
      <c r="S173" s="619">
        <v>0</v>
      </c>
      <c r="T173" s="618">
        <f t="shared" si="454"/>
        <v>0</v>
      </c>
      <c r="U173" s="619">
        <v>0</v>
      </c>
      <c r="V173" s="619">
        <v>0</v>
      </c>
      <c r="W173" s="618">
        <f t="shared" si="455"/>
        <v>0</v>
      </c>
      <c r="X173" s="619">
        <v>5645.49</v>
      </c>
      <c r="Y173" s="619">
        <v>0</v>
      </c>
      <c r="Z173" s="618">
        <f t="shared" si="456"/>
        <v>5645.49</v>
      </c>
      <c r="AA173" s="619">
        <v>5645.49</v>
      </c>
      <c r="AB173" s="619">
        <v>0</v>
      </c>
      <c r="AC173" s="618">
        <f t="shared" si="457"/>
        <v>5645.49</v>
      </c>
      <c r="AD173" s="619">
        <v>5645.49</v>
      </c>
      <c r="AE173" s="619">
        <v>0</v>
      </c>
      <c r="AF173" s="618">
        <f t="shared" si="458"/>
        <v>5645.49</v>
      </c>
      <c r="AG173" s="619">
        <v>5645.49</v>
      </c>
      <c r="AH173" s="619">
        <v>0</v>
      </c>
      <c r="AI173" s="618">
        <f t="shared" si="459"/>
        <v>5645.49</v>
      </c>
      <c r="AJ173" s="619">
        <v>5645.49</v>
      </c>
      <c r="AK173" s="619">
        <v>0</v>
      </c>
      <c r="AL173" s="618">
        <f t="shared" si="460"/>
        <v>5645.49</v>
      </c>
      <c r="AM173" s="619">
        <v>5645.49</v>
      </c>
      <c r="AN173" s="619">
        <v>0</v>
      </c>
      <c r="AO173" s="618">
        <f t="shared" si="461"/>
        <v>5645.49</v>
      </c>
      <c r="AP173" s="619">
        <v>5645.49</v>
      </c>
      <c r="AQ173" s="619">
        <v>0</v>
      </c>
      <c r="AR173" s="618">
        <f t="shared" si="462"/>
        <v>5645.49</v>
      </c>
      <c r="AS173" s="619">
        <v>5645.49</v>
      </c>
      <c r="AT173" s="619">
        <v>0</v>
      </c>
      <c r="AU173" s="618">
        <f t="shared" si="463"/>
        <v>5645.49</v>
      </c>
      <c r="AV173" s="619">
        <v>63751.45</v>
      </c>
      <c r="AW173" s="654" t="s">
        <v>1435</v>
      </c>
      <c r="AX173" s="619">
        <v>0</v>
      </c>
      <c r="AY173" s="619">
        <v>0</v>
      </c>
      <c r="AZ173" s="618">
        <f t="shared" si="464"/>
        <v>0</v>
      </c>
      <c r="BA173" s="619"/>
      <c r="BB173" s="654"/>
      <c r="BC173" s="619">
        <v>0</v>
      </c>
      <c r="BD173" s="619">
        <v>0</v>
      </c>
      <c r="BE173" s="618">
        <f t="shared" si="465"/>
        <v>0</v>
      </c>
      <c r="BF173" s="619"/>
      <c r="BG173" s="619"/>
      <c r="BH173" s="642">
        <v>5645.49</v>
      </c>
      <c r="BI173" s="642">
        <v>0</v>
      </c>
      <c r="BJ173" s="618">
        <f t="shared" si="466"/>
        <v>5645.49</v>
      </c>
      <c r="BK173" s="618">
        <f t="shared" si="468"/>
        <v>63751.45</v>
      </c>
      <c r="BL173" s="605" t="s">
        <v>1436</v>
      </c>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row>
    <row r="174" spans="1:179" s="9" customFormat="1" ht="117" hidden="1" outlineLevel="1">
      <c r="A174" s="535" t="s">
        <v>118</v>
      </c>
      <c r="B174" s="522" t="s">
        <v>308</v>
      </c>
      <c r="C174" s="618">
        <v>2146583.393652</v>
      </c>
      <c r="D174" s="618">
        <v>2146583.393652</v>
      </c>
      <c r="E174" s="618">
        <v>0</v>
      </c>
      <c r="F174" s="618">
        <v>0</v>
      </c>
      <c r="G174" s="618">
        <v>2146583.393652</v>
      </c>
      <c r="H174" s="618">
        <v>0</v>
      </c>
      <c r="I174" s="618">
        <v>0</v>
      </c>
      <c r="J174" s="618">
        <f t="shared" si="469"/>
        <v>0</v>
      </c>
      <c r="K174" s="618">
        <v>2146582.14</v>
      </c>
      <c r="L174" s="618">
        <v>0</v>
      </c>
      <c r="M174" s="618">
        <v>0</v>
      </c>
      <c r="N174" s="618">
        <f t="shared" si="452"/>
        <v>0</v>
      </c>
      <c r="O174" s="619">
        <v>0</v>
      </c>
      <c r="P174" s="619">
        <v>0</v>
      </c>
      <c r="Q174" s="618">
        <f t="shared" si="453"/>
        <v>0</v>
      </c>
      <c r="R174" s="619">
        <v>0</v>
      </c>
      <c r="S174" s="619">
        <v>0</v>
      </c>
      <c r="T174" s="618">
        <f t="shared" si="454"/>
        <v>0</v>
      </c>
      <c r="U174" s="619">
        <v>0</v>
      </c>
      <c r="V174" s="619">
        <v>0</v>
      </c>
      <c r="W174" s="618">
        <f t="shared" si="455"/>
        <v>0</v>
      </c>
      <c r="X174" s="619">
        <v>0</v>
      </c>
      <c r="Y174" s="619">
        <v>0</v>
      </c>
      <c r="Z174" s="618">
        <f t="shared" si="456"/>
        <v>0</v>
      </c>
      <c r="AA174" s="619">
        <v>0</v>
      </c>
      <c r="AB174" s="619">
        <v>0</v>
      </c>
      <c r="AC174" s="618">
        <f t="shared" si="457"/>
        <v>0</v>
      </c>
      <c r="AD174" s="619">
        <v>0</v>
      </c>
      <c r="AE174" s="619">
        <v>0</v>
      </c>
      <c r="AF174" s="618">
        <f t="shared" si="458"/>
        <v>0</v>
      </c>
      <c r="AG174" s="619">
        <v>0</v>
      </c>
      <c r="AH174" s="619">
        <v>0</v>
      </c>
      <c r="AI174" s="618">
        <f t="shared" si="459"/>
        <v>0</v>
      </c>
      <c r="AJ174" s="619">
        <v>0</v>
      </c>
      <c r="AK174" s="619">
        <v>0</v>
      </c>
      <c r="AL174" s="618">
        <f t="shared" si="460"/>
        <v>0</v>
      </c>
      <c r="AM174" s="619">
        <v>0</v>
      </c>
      <c r="AN174" s="619">
        <v>0</v>
      </c>
      <c r="AO174" s="618">
        <f t="shared" si="461"/>
        <v>0</v>
      </c>
      <c r="AP174" s="619">
        <v>0</v>
      </c>
      <c r="AQ174" s="619">
        <v>0</v>
      </c>
      <c r="AR174" s="618">
        <f t="shared" si="462"/>
        <v>0</v>
      </c>
      <c r="AS174" s="619">
        <v>0</v>
      </c>
      <c r="AT174" s="619">
        <v>0</v>
      </c>
      <c r="AU174" s="618">
        <f t="shared" si="463"/>
        <v>0</v>
      </c>
      <c r="AV174" s="619">
        <v>0</v>
      </c>
      <c r="AW174" s="654"/>
      <c r="AX174" s="619">
        <v>0</v>
      </c>
      <c r="AY174" s="619">
        <v>0</v>
      </c>
      <c r="AZ174" s="618">
        <f t="shared" si="464"/>
        <v>0</v>
      </c>
      <c r="BA174" s="619"/>
      <c r="BB174" s="654"/>
      <c r="BC174" s="619">
        <v>0</v>
      </c>
      <c r="BD174" s="619">
        <v>0</v>
      </c>
      <c r="BE174" s="618">
        <f t="shared" si="465"/>
        <v>0</v>
      </c>
      <c r="BF174" s="619"/>
      <c r="BG174" s="619"/>
      <c r="BH174" s="642">
        <v>0</v>
      </c>
      <c r="BI174" s="642">
        <v>0</v>
      </c>
      <c r="BJ174" s="618">
        <f t="shared" si="466"/>
        <v>0</v>
      </c>
      <c r="BK174" s="618">
        <f t="shared" si="468"/>
        <v>0</v>
      </c>
      <c r="BL174" s="605"/>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row>
    <row r="175" spans="1:179" s="9" customFormat="1" ht="136.5" hidden="1" outlineLevel="1">
      <c r="A175" s="535" t="s">
        <v>119</v>
      </c>
      <c r="B175" s="522" t="s">
        <v>307</v>
      </c>
      <c r="C175" s="618">
        <v>519215.43070799997</v>
      </c>
      <c r="D175" s="618">
        <v>519215.43070799997</v>
      </c>
      <c r="E175" s="618">
        <v>0</v>
      </c>
      <c r="F175" s="618">
        <v>0</v>
      </c>
      <c r="G175" s="618">
        <v>519215.43070799997</v>
      </c>
      <c r="H175" s="618">
        <v>0</v>
      </c>
      <c r="I175" s="618">
        <v>0</v>
      </c>
      <c r="J175" s="618">
        <f t="shared" si="469"/>
        <v>0</v>
      </c>
      <c r="K175" s="618">
        <v>519210.9</v>
      </c>
      <c r="L175" s="618">
        <v>0</v>
      </c>
      <c r="M175" s="618">
        <v>0</v>
      </c>
      <c r="N175" s="618">
        <f t="shared" si="452"/>
        <v>0</v>
      </c>
      <c r="O175" s="619">
        <v>0</v>
      </c>
      <c r="P175" s="619">
        <v>0</v>
      </c>
      <c r="Q175" s="618">
        <f t="shared" si="453"/>
        <v>0</v>
      </c>
      <c r="R175" s="619">
        <v>0</v>
      </c>
      <c r="S175" s="619">
        <v>0</v>
      </c>
      <c r="T175" s="618">
        <f t="shared" si="454"/>
        <v>0</v>
      </c>
      <c r="U175" s="619">
        <v>0</v>
      </c>
      <c r="V175" s="619">
        <v>0</v>
      </c>
      <c r="W175" s="618">
        <f t="shared" si="455"/>
        <v>0</v>
      </c>
      <c r="X175" s="619">
        <v>0</v>
      </c>
      <c r="Y175" s="619">
        <v>0</v>
      </c>
      <c r="Z175" s="618">
        <f t="shared" si="456"/>
        <v>0</v>
      </c>
      <c r="AA175" s="619">
        <v>0</v>
      </c>
      <c r="AB175" s="619">
        <v>0</v>
      </c>
      <c r="AC175" s="618">
        <f t="shared" si="457"/>
        <v>0</v>
      </c>
      <c r="AD175" s="619">
        <v>0</v>
      </c>
      <c r="AE175" s="619">
        <v>0</v>
      </c>
      <c r="AF175" s="618">
        <f t="shared" si="458"/>
        <v>0</v>
      </c>
      <c r="AG175" s="619">
        <v>0</v>
      </c>
      <c r="AH175" s="619">
        <v>0</v>
      </c>
      <c r="AI175" s="618">
        <f t="shared" si="459"/>
        <v>0</v>
      </c>
      <c r="AJ175" s="619">
        <v>0</v>
      </c>
      <c r="AK175" s="619">
        <v>0</v>
      </c>
      <c r="AL175" s="618">
        <f t="shared" si="460"/>
        <v>0</v>
      </c>
      <c r="AM175" s="619">
        <v>0</v>
      </c>
      <c r="AN175" s="619">
        <v>0</v>
      </c>
      <c r="AO175" s="618">
        <f t="shared" si="461"/>
        <v>0</v>
      </c>
      <c r="AP175" s="619">
        <v>0</v>
      </c>
      <c r="AQ175" s="619">
        <v>0</v>
      </c>
      <c r="AR175" s="618">
        <f t="shared" si="462"/>
        <v>0</v>
      </c>
      <c r="AS175" s="619">
        <v>0</v>
      </c>
      <c r="AT175" s="619">
        <v>0</v>
      </c>
      <c r="AU175" s="618">
        <f t="shared" si="463"/>
        <v>0</v>
      </c>
      <c r="AV175" s="619">
        <v>0</v>
      </c>
      <c r="AW175" s="654"/>
      <c r="AX175" s="619">
        <v>0</v>
      </c>
      <c r="AY175" s="619">
        <v>0</v>
      </c>
      <c r="AZ175" s="618">
        <f t="shared" si="464"/>
        <v>0</v>
      </c>
      <c r="BA175" s="619"/>
      <c r="BB175" s="654"/>
      <c r="BC175" s="619">
        <v>0</v>
      </c>
      <c r="BD175" s="619">
        <v>0</v>
      </c>
      <c r="BE175" s="618">
        <f t="shared" si="465"/>
        <v>0</v>
      </c>
      <c r="BF175" s="619"/>
      <c r="BG175" s="619"/>
      <c r="BH175" s="642">
        <v>0</v>
      </c>
      <c r="BI175" s="642">
        <v>0</v>
      </c>
      <c r="BJ175" s="618">
        <f t="shared" si="466"/>
        <v>0</v>
      </c>
      <c r="BK175" s="618">
        <f t="shared" si="468"/>
        <v>0</v>
      </c>
      <c r="BL175" s="60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row>
    <row r="176" spans="1:179" s="9" customFormat="1" ht="78" hidden="1" outlineLevel="1">
      <c r="A176" s="535" t="s">
        <v>120</v>
      </c>
      <c r="B176" s="522" t="s">
        <v>306</v>
      </c>
      <c r="C176" s="618">
        <v>0</v>
      </c>
      <c r="D176" s="618">
        <v>0</v>
      </c>
      <c r="E176" s="618">
        <v>0</v>
      </c>
      <c r="F176" s="618">
        <v>0</v>
      </c>
      <c r="G176" s="618">
        <v>0</v>
      </c>
      <c r="H176" s="618">
        <v>0</v>
      </c>
      <c r="I176" s="618">
        <v>0</v>
      </c>
      <c r="J176" s="618">
        <f t="shared" si="469"/>
        <v>0</v>
      </c>
      <c r="K176" s="618">
        <v>0</v>
      </c>
      <c r="L176" s="618">
        <v>0</v>
      </c>
      <c r="M176" s="618">
        <v>0</v>
      </c>
      <c r="N176" s="618">
        <f t="shared" si="452"/>
        <v>0</v>
      </c>
      <c r="O176" s="619">
        <v>0</v>
      </c>
      <c r="P176" s="619">
        <v>0</v>
      </c>
      <c r="Q176" s="618">
        <f t="shared" si="453"/>
        <v>0</v>
      </c>
      <c r="R176" s="619">
        <v>0</v>
      </c>
      <c r="S176" s="619">
        <v>0</v>
      </c>
      <c r="T176" s="618">
        <f t="shared" si="454"/>
        <v>0</v>
      </c>
      <c r="U176" s="619">
        <v>0</v>
      </c>
      <c r="V176" s="619">
        <v>0</v>
      </c>
      <c r="W176" s="618">
        <f t="shared" si="455"/>
        <v>0</v>
      </c>
      <c r="X176" s="619">
        <v>0</v>
      </c>
      <c r="Y176" s="619">
        <v>0</v>
      </c>
      <c r="Z176" s="618">
        <f t="shared" si="456"/>
        <v>0</v>
      </c>
      <c r="AA176" s="619">
        <v>0</v>
      </c>
      <c r="AB176" s="619">
        <v>0</v>
      </c>
      <c r="AC176" s="618">
        <f t="shared" si="457"/>
        <v>0</v>
      </c>
      <c r="AD176" s="619">
        <v>0</v>
      </c>
      <c r="AE176" s="619">
        <v>0</v>
      </c>
      <c r="AF176" s="618">
        <f t="shared" si="458"/>
        <v>0</v>
      </c>
      <c r="AG176" s="619">
        <v>0</v>
      </c>
      <c r="AH176" s="619">
        <v>0</v>
      </c>
      <c r="AI176" s="618">
        <f t="shared" si="459"/>
        <v>0</v>
      </c>
      <c r="AJ176" s="619">
        <v>0</v>
      </c>
      <c r="AK176" s="619">
        <v>0</v>
      </c>
      <c r="AL176" s="618">
        <f t="shared" si="460"/>
        <v>0</v>
      </c>
      <c r="AM176" s="619">
        <v>0</v>
      </c>
      <c r="AN176" s="619">
        <v>0</v>
      </c>
      <c r="AO176" s="618">
        <f t="shared" si="461"/>
        <v>0</v>
      </c>
      <c r="AP176" s="619">
        <v>0</v>
      </c>
      <c r="AQ176" s="619">
        <v>0</v>
      </c>
      <c r="AR176" s="618">
        <f t="shared" si="462"/>
        <v>0</v>
      </c>
      <c r="AS176" s="619">
        <v>0</v>
      </c>
      <c r="AT176" s="619">
        <v>0</v>
      </c>
      <c r="AU176" s="618">
        <f t="shared" si="463"/>
        <v>0</v>
      </c>
      <c r="AV176" s="619">
        <v>0</v>
      </c>
      <c r="AW176" s="654"/>
      <c r="AX176" s="619">
        <v>0</v>
      </c>
      <c r="AY176" s="619">
        <v>0</v>
      </c>
      <c r="AZ176" s="618">
        <f t="shared" si="464"/>
        <v>0</v>
      </c>
      <c r="BA176" s="619"/>
      <c r="BB176" s="654"/>
      <c r="BC176" s="619">
        <v>0</v>
      </c>
      <c r="BD176" s="619">
        <v>0</v>
      </c>
      <c r="BE176" s="618">
        <f t="shared" si="465"/>
        <v>0</v>
      </c>
      <c r="BF176" s="619"/>
      <c r="BG176" s="619"/>
      <c r="BH176" s="642">
        <v>0</v>
      </c>
      <c r="BI176" s="642">
        <v>0</v>
      </c>
      <c r="BJ176" s="618">
        <f t="shared" si="466"/>
        <v>0</v>
      </c>
      <c r="BK176" s="618">
        <f t="shared" si="468"/>
        <v>0</v>
      </c>
      <c r="BL176" s="605"/>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row>
    <row r="177" spans="1:179" s="9" customFormat="1" ht="136.5" collapsed="1">
      <c r="A177" s="522" t="s">
        <v>121</v>
      </c>
      <c r="B177" s="522" t="s">
        <v>305</v>
      </c>
      <c r="C177" s="618">
        <v>5031406.867788</v>
      </c>
      <c r="D177" s="618">
        <v>5031406.867788</v>
      </c>
      <c r="E177" s="618">
        <v>0</v>
      </c>
      <c r="F177" s="618">
        <v>0</v>
      </c>
      <c r="G177" s="618">
        <v>5031406.867788</v>
      </c>
      <c r="H177" s="618">
        <v>476658</v>
      </c>
      <c r="I177" s="618">
        <v>602858</v>
      </c>
      <c r="J177" s="618">
        <f t="shared" si="469"/>
        <v>1079516</v>
      </c>
      <c r="K177" s="618">
        <v>3496789.92</v>
      </c>
      <c r="L177" s="618">
        <v>0</v>
      </c>
      <c r="M177" s="618">
        <v>0</v>
      </c>
      <c r="N177" s="618">
        <f t="shared" si="452"/>
        <v>0</v>
      </c>
      <c r="O177" s="619">
        <v>0</v>
      </c>
      <c r="P177" s="619">
        <v>0</v>
      </c>
      <c r="Q177" s="618">
        <f t="shared" si="453"/>
        <v>0</v>
      </c>
      <c r="R177" s="619">
        <v>0</v>
      </c>
      <c r="S177" s="619">
        <v>0</v>
      </c>
      <c r="T177" s="618">
        <f t="shared" si="454"/>
        <v>0</v>
      </c>
      <c r="U177" s="619">
        <v>87472</v>
      </c>
      <c r="V177" s="619">
        <v>0</v>
      </c>
      <c r="W177" s="618">
        <f t="shared" si="455"/>
        <v>87472</v>
      </c>
      <c r="X177" s="619">
        <v>87472</v>
      </c>
      <c r="Y177" s="619">
        <v>0</v>
      </c>
      <c r="Z177" s="618">
        <f t="shared" si="456"/>
        <v>87472</v>
      </c>
      <c r="AA177" s="619">
        <v>87472</v>
      </c>
      <c r="AB177" s="619">
        <v>0</v>
      </c>
      <c r="AC177" s="618">
        <f t="shared" si="457"/>
        <v>87472</v>
      </c>
      <c r="AD177" s="619">
        <v>87472</v>
      </c>
      <c r="AE177" s="619">
        <v>0</v>
      </c>
      <c r="AF177" s="618">
        <f t="shared" si="458"/>
        <v>87472</v>
      </c>
      <c r="AG177" s="619">
        <v>87472</v>
      </c>
      <c r="AH177" s="619">
        <v>0</v>
      </c>
      <c r="AI177" s="618">
        <f t="shared" si="459"/>
        <v>87472</v>
      </c>
      <c r="AJ177" s="619">
        <v>87472</v>
      </c>
      <c r="AK177" s="619">
        <v>0</v>
      </c>
      <c r="AL177" s="618">
        <f t="shared" si="460"/>
        <v>87472</v>
      </c>
      <c r="AM177" s="619">
        <v>121472</v>
      </c>
      <c r="AN177" s="619">
        <v>0</v>
      </c>
      <c r="AO177" s="618">
        <f t="shared" si="461"/>
        <v>121472</v>
      </c>
      <c r="AP177" s="619">
        <v>155472</v>
      </c>
      <c r="AQ177" s="619">
        <v>0</v>
      </c>
      <c r="AR177" s="618">
        <f t="shared" si="462"/>
        <v>155472</v>
      </c>
      <c r="AS177" s="619">
        <v>223472</v>
      </c>
      <c r="AT177" s="619">
        <v>0</v>
      </c>
      <c r="AU177" s="618">
        <f t="shared" si="463"/>
        <v>223472</v>
      </c>
      <c r="AV177" s="619">
        <v>104449</v>
      </c>
      <c r="AW177" s="654" t="s">
        <v>1437</v>
      </c>
      <c r="AX177" s="619">
        <v>1130946.5279880001</v>
      </c>
      <c r="AY177" s="619">
        <v>0</v>
      </c>
      <c r="AZ177" s="618">
        <f t="shared" si="464"/>
        <v>1130946.5279880001</v>
      </c>
      <c r="BA177" s="619">
        <v>17917.8698</v>
      </c>
      <c r="BB177" s="654" t="s">
        <v>1438</v>
      </c>
      <c r="BC177" s="619">
        <v>0</v>
      </c>
      <c r="BD177" s="619">
        <v>0</v>
      </c>
      <c r="BE177" s="618">
        <f t="shared" si="465"/>
        <v>0</v>
      </c>
      <c r="BF177" s="619"/>
      <c r="BG177" s="619"/>
      <c r="BH177" s="642">
        <v>1354418.5279880001</v>
      </c>
      <c r="BI177" s="642">
        <v>0</v>
      </c>
      <c r="BJ177" s="618">
        <f t="shared" si="466"/>
        <v>1354418.5279880001</v>
      </c>
      <c r="BK177" s="618">
        <f t="shared" si="468"/>
        <v>122366.8698</v>
      </c>
      <c r="BL177" s="605" t="s">
        <v>1439</v>
      </c>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row>
    <row r="178" spans="1:179" s="9" customFormat="1" ht="60.75">
      <c r="A178" s="539" t="s">
        <v>122</v>
      </c>
      <c r="B178" s="522" t="s">
        <v>303</v>
      </c>
      <c r="C178" s="618">
        <v>2073556.4356199999</v>
      </c>
      <c r="D178" s="618">
        <v>2073556.4356199999</v>
      </c>
      <c r="E178" s="618">
        <v>0</v>
      </c>
      <c r="F178" s="618">
        <v>0</v>
      </c>
      <c r="G178" s="618">
        <v>2073556.4356199999</v>
      </c>
      <c r="H178" s="618">
        <v>0</v>
      </c>
      <c r="I178" s="618">
        <v>0</v>
      </c>
      <c r="J178" s="618">
        <f t="shared" si="469"/>
        <v>0</v>
      </c>
      <c r="K178" s="618">
        <v>2049863.24</v>
      </c>
      <c r="L178" s="618">
        <v>0</v>
      </c>
      <c r="M178" s="618">
        <v>0</v>
      </c>
      <c r="N178" s="618">
        <f t="shared" si="452"/>
        <v>0</v>
      </c>
      <c r="O178" s="619">
        <v>0</v>
      </c>
      <c r="P178" s="619">
        <v>0</v>
      </c>
      <c r="Q178" s="618">
        <f t="shared" si="453"/>
        <v>0</v>
      </c>
      <c r="R178" s="619">
        <v>0</v>
      </c>
      <c r="S178" s="619">
        <v>0</v>
      </c>
      <c r="T178" s="618">
        <f t="shared" si="454"/>
        <v>0</v>
      </c>
      <c r="U178" s="619">
        <v>0</v>
      </c>
      <c r="V178" s="619">
        <v>0</v>
      </c>
      <c r="W178" s="618">
        <f t="shared" si="455"/>
        <v>0</v>
      </c>
      <c r="X178" s="619">
        <v>0</v>
      </c>
      <c r="Y178" s="619">
        <v>0</v>
      </c>
      <c r="Z178" s="618">
        <f t="shared" si="456"/>
        <v>0</v>
      </c>
      <c r="AA178" s="619">
        <v>0</v>
      </c>
      <c r="AB178" s="619">
        <v>0</v>
      </c>
      <c r="AC178" s="618">
        <f t="shared" si="457"/>
        <v>0</v>
      </c>
      <c r="AD178" s="619">
        <v>0</v>
      </c>
      <c r="AE178" s="619">
        <v>0</v>
      </c>
      <c r="AF178" s="618">
        <f t="shared" si="458"/>
        <v>0</v>
      </c>
      <c r="AG178" s="619">
        <v>0</v>
      </c>
      <c r="AH178" s="619">
        <v>0</v>
      </c>
      <c r="AI178" s="618">
        <f t="shared" si="459"/>
        <v>0</v>
      </c>
      <c r="AJ178" s="619">
        <v>0</v>
      </c>
      <c r="AK178" s="619">
        <v>0</v>
      </c>
      <c r="AL178" s="618">
        <f t="shared" si="460"/>
        <v>0</v>
      </c>
      <c r="AM178" s="619">
        <v>0</v>
      </c>
      <c r="AN178" s="619">
        <v>0</v>
      </c>
      <c r="AO178" s="618">
        <f t="shared" si="461"/>
        <v>0</v>
      </c>
      <c r="AP178" s="619">
        <v>0</v>
      </c>
      <c r="AQ178" s="619">
        <v>0</v>
      </c>
      <c r="AR178" s="618">
        <f t="shared" si="462"/>
        <v>0</v>
      </c>
      <c r="AS178" s="619">
        <v>0</v>
      </c>
      <c r="AT178" s="619">
        <v>0</v>
      </c>
      <c r="AU178" s="618">
        <f t="shared" si="463"/>
        <v>0</v>
      </c>
      <c r="AV178" s="619">
        <v>0</v>
      </c>
      <c r="AW178" s="654"/>
      <c r="AX178" s="619">
        <v>0</v>
      </c>
      <c r="AY178" s="619">
        <v>0</v>
      </c>
      <c r="AZ178" s="618">
        <f t="shared" si="464"/>
        <v>0</v>
      </c>
      <c r="BA178" s="619"/>
      <c r="BB178" s="654"/>
      <c r="BC178" s="619">
        <v>0</v>
      </c>
      <c r="BD178" s="619">
        <v>0</v>
      </c>
      <c r="BE178" s="618">
        <f t="shared" si="465"/>
        <v>0</v>
      </c>
      <c r="BF178" s="619"/>
      <c r="BG178" s="619"/>
      <c r="BH178" s="642">
        <v>0</v>
      </c>
      <c r="BI178" s="642">
        <v>0</v>
      </c>
      <c r="BJ178" s="618">
        <f t="shared" si="466"/>
        <v>0</v>
      </c>
      <c r="BK178" s="618">
        <f t="shared" si="468"/>
        <v>0</v>
      </c>
      <c r="BL178" s="605" t="s">
        <v>1440</v>
      </c>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row>
    <row r="179" spans="1:179" s="4" customFormat="1">
      <c r="A179" s="527"/>
      <c r="B179" s="519" t="s">
        <v>302</v>
      </c>
      <c r="C179" s="616">
        <f>C180+C188+C195+C201</f>
        <v>1082161120.5546119</v>
      </c>
      <c r="D179" s="616">
        <f t="shared" ref="D179:J179" si="541">D180+D188+D195+D201</f>
        <v>1082161120.5546119</v>
      </c>
      <c r="E179" s="616">
        <f t="shared" si="541"/>
        <v>46956957</v>
      </c>
      <c r="F179" s="616">
        <f t="shared" si="541"/>
        <v>41687304.299999997</v>
      </c>
      <c r="G179" s="616">
        <f t="shared" si="541"/>
        <v>1123848424.8546116</v>
      </c>
      <c r="H179" s="616">
        <f t="shared" si="541"/>
        <v>181015547.91924709</v>
      </c>
      <c r="I179" s="616">
        <f t="shared" ref="I179" si="542">I180+I188+I195+I201</f>
        <v>9469890.483864611</v>
      </c>
      <c r="J179" s="616">
        <f t="shared" si="541"/>
        <v>190485438.4031117</v>
      </c>
      <c r="K179" s="616">
        <f t="shared" ref="K179:M179" si="543">K180+K188+K195+K201</f>
        <v>536762736.77000004</v>
      </c>
      <c r="L179" s="616">
        <f t="shared" si="543"/>
        <v>1152627.02</v>
      </c>
      <c r="M179" s="616">
        <f t="shared" si="543"/>
        <v>0</v>
      </c>
      <c r="N179" s="616">
        <f t="shared" ref="N179" si="544">N180+N188+N195+N201</f>
        <v>1152627.02</v>
      </c>
      <c r="O179" s="616">
        <f t="shared" ref="O179:T179" si="545">O180+O188+O195+O201</f>
        <v>15347366.770000001</v>
      </c>
      <c r="P179" s="616">
        <f t="shared" si="545"/>
        <v>0</v>
      </c>
      <c r="Q179" s="616">
        <f t="shared" si="545"/>
        <v>15347366.770000001</v>
      </c>
      <c r="R179" s="616">
        <f t="shared" si="545"/>
        <v>20543604.509999998</v>
      </c>
      <c r="S179" s="616">
        <f t="shared" si="545"/>
        <v>0</v>
      </c>
      <c r="T179" s="616">
        <f t="shared" si="545"/>
        <v>20543604.509999998</v>
      </c>
      <c r="U179" s="616">
        <f t="shared" ref="U179:BI179" si="546">U180+U188+U195+U201</f>
        <v>33969672.68302191</v>
      </c>
      <c r="V179" s="616">
        <f t="shared" si="546"/>
        <v>0</v>
      </c>
      <c r="W179" s="616">
        <f t="shared" si="546"/>
        <v>33969672.68302191</v>
      </c>
      <c r="X179" s="616">
        <f t="shared" si="546"/>
        <v>48070683.883021906</v>
      </c>
      <c r="Y179" s="616">
        <f t="shared" si="546"/>
        <v>0</v>
      </c>
      <c r="Z179" s="616">
        <f t="shared" si="546"/>
        <v>48070683.883021906</v>
      </c>
      <c r="AA179" s="616">
        <f t="shared" si="546"/>
        <v>62106592.843021899</v>
      </c>
      <c r="AB179" s="616">
        <f t="shared" si="546"/>
        <v>0</v>
      </c>
      <c r="AC179" s="616">
        <f t="shared" si="546"/>
        <v>62106592.843021899</v>
      </c>
      <c r="AD179" s="616">
        <f t="shared" si="546"/>
        <v>81561490.244285271</v>
      </c>
      <c r="AE179" s="616">
        <f t="shared" si="546"/>
        <v>0</v>
      </c>
      <c r="AF179" s="616">
        <f t="shared" si="546"/>
        <v>81561490.244285271</v>
      </c>
      <c r="AG179" s="616">
        <f t="shared" si="546"/>
        <v>102845870.10428528</v>
      </c>
      <c r="AH179" s="616">
        <f t="shared" si="546"/>
        <v>0</v>
      </c>
      <c r="AI179" s="616">
        <f t="shared" si="546"/>
        <v>102845870.10428528</v>
      </c>
      <c r="AJ179" s="616">
        <f t="shared" si="546"/>
        <v>113414306.68428527</v>
      </c>
      <c r="AK179" s="616">
        <f t="shared" si="546"/>
        <v>0</v>
      </c>
      <c r="AL179" s="616">
        <f t="shared" si="546"/>
        <v>113414306.68428527</v>
      </c>
      <c r="AM179" s="616">
        <f t="shared" si="546"/>
        <v>147743902.24697366</v>
      </c>
      <c r="AN179" s="616">
        <f t="shared" si="546"/>
        <v>0</v>
      </c>
      <c r="AO179" s="616">
        <f t="shared" si="546"/>
        <v>147743902.24697366</v>
      </c>
      <c r="AP179" s="616">
        <f t="shared" si="546"/>
        <v>176885821.74697366</v>
      </c>
      <c r="AQ179" s="616">
        <f t="shared" si="546"/>
        <v>0</v>
      </c>
      <c r="AR179" s="616">
        <f t="shared" si="546"/>
        <v>176885821.74697366</v>
      </c>
      <c r="AS179" s="616">
        <f t="shared" si="546"/>
        <v>183225324.12256023</v>
      </c>
      <c r="AT179" s="616">
        <f t="shared" si="546"/>
        <v>0</v>
      </c>
      <c r="AU179" s="616">
        <f t="shared" si="546"/>
        <v>183225324.12256023</v>
      </c>
      <c r="AV179" s="616">
        <f t="shared" ref="AV179" si="547">AV180+AV188+AV195+AV201</f>
        <v>737647.36522000004</v>
      </c>
      <c r="AW179" s="652"/>
      <c r="AX179" s="616">
        <f t="shared" si="546"/>
        <v>161925478.17809999</v>
      </c>
      <c r="AY179" s="616">
        <f t="shared" si="546"/>
        <v>10990847.699999999</v>
      </c>
      <c r="AZ179" s="616">
        <f t="shared" ref="AZ179:BA179" si="548">AZ180+AZ188+AZ195+AZ201</f>
        <v>172916325.87810001</v>
      </c>
      <c r="BA179" s="616">
        <f t="shared" si="548"/>
        <v>1767082.2830000001</v>
      </c>
      <c r="BB179" s="652"/>
      <c r="BC179" s="616">
        <f t="shared" si="546"/>
        <v>92752699.197646797</v>
      </c>
      <c r="BD179" s="616">
        <f t="shared" si="546"/>
        <v>30696456.300000001</v>
      </c>
      <c r="BE179" s="616">
        <f t="shared" ref="BE179:BF179" si="549">BE180+BE188+BE195+BE201</f>
        <v>123449155.49764679</v>
      </c>
      <c r="BF179" s="616">
        <f t="shared" si="549"/>
        <v>1552628.3490072058</v>
      </c>
      <c r="BG179" s="616"/>
      <c r="BH179" s="616">
        <f t="shared" si="546"/>
        <v>437903501.49830711</v>
      </c>
      <c r="BI179" s="616">
        <f t="shared" si="546"/>
        <v>41687304</v>
      </c>
      <c r="BJ179" s="616">
        <f t="shared" ref="BJ179" si="550">BJ180+BJ188+BJ195+BJ201</f>
        <v>479590805.49830699</v>
      </c>
      <c r="BK179" s="616">
        <f t="shared" si="468"/>
        <v>4057357.9972272059</v>
      </c>
      <c r="BL179" s="595"/>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row>
    <row r="180" spans="1:179" s="2" customFormat="1" ht="60.75">
      <c r="A180" s="523"/>
      <c r="B180" s="521" t="s">
        <v>301</v>
      </c>
      <c r="C180" s="617">
        <f t="shared" ref="C180:J180" si="551">SUM(C181:C187)</f>
        <v>405680525.60073596</v>
      </c>
      <c r="D180" s="617">
        <f t="shared" si="551"/>
        <v>405680525.60073596</v>
      </c>
      <c r="E180" s="617">
        <f t="shared" si="551"/>
        <v>11912839</v>
      </c>
      <c r="F180" s="617">
        <f t="shared" si="551"/>
        <v>11899804</v>
      </c>
      <c r="G180" s="617">
        <f t="shared" si="551"/>
        <v>417580329.60073596</v>
      </c>
      <c r="H180" s="617">
        <f t="shared" si="551"/>
        <v>47430232</v>
      </c>
      <c r="I180" s="617">
        <f t="shared" ref="I180" si="552">SUM(I181:I187)</f>
        <v>5884297</v>
      </c>
      <c r="J180" s="617">
        <f t="shared" si="551"/>
        <v>53314529</v>
      </c>
      <c r="K180" s="617">
        <f t="shared" ref="K180:M180" si="553">SUM(K181:K187)</f>
        <v>271201334.31</v>
      </c>
      <c r="L180" s="617">
        <f t="shared" si="553"/>
        <v>592673.80000000005</v>
      </c>
      <c r="M180" s="617">
        <f t="shared" si="553"/>
        <v>0</v>
      </c>
      <c r="N180" s="617">
        <f t="shared" ref="N180" si="554">SUM(N181:N187)</f>
        <v>592673.80000000005</v>
      </c>
      <c r="O180" s="617">
        <f t="shared" ref="O180:T180" si="555">SUM(O181:O187)</f>
        <v>1282769.8</v>
      </c>
      <c r="P180" s="617">
        <f t="shared" si="555"/>
        <v>0</v>
      </c>
      <c r="Q180" s="617">
        <f t="shared" si="555"/>
        <v>1282769.8</v>
      </c>
      <c r="R180" s="617">
        <f t="shared" si="555"/>
        <v>2605505.33</v>
      </c>
      <c r="S180" s="617">
        <f t="shared" si="555"/>
        <v>0</v>
      </c>
      <c r="T180" s="617">
        <f t="shared" si="555"/>
        <v>2605505.33</v>
      </c>
      <c r="U180" s="617">
        <f t="shared" ref="U180:BI180" si="556">SUM(U181:U187)</f>
        <v>5331966.3030219059</v>
      </c>
      <c r="V180" s="617">
        <f t="shared" si="556"/>
        <v>0</v>
      </c>
      <c r="W180" s="617">
        <f t="shared" si="556"/>
        <v>5331966.3030219059</v>
      </c>
      <c r="X180" s="617">
        <f t="shared" si="556"/>
        <v>13084248.253021905</v>
      </c>
      <c r="Y180" s="617">
        <f t="shared" si="556"/>
        <v>0</v>
      </c>
      <c r="Z180" s="617">
        <f t="shared" si="556"/>
        <v>13084248.253021905</v>
      </c>
      <c r="AA180" s="617">
        <f t="shared" si="556"/>
        <v>17859587.813021902</v>
      </c>
      <c r="AB180" s="617">
        <f t="shared" si="556"/>
        <v>0</v>
      </c>
      <c r="AC180" s="617">
        <f t="shared" si="556"/>
        <v>17859587.813021902</v>
      </c>
      <c r="AD180" s="617">
        <f t="shared" si="556"/>
        <v>24059124.214285269</v>
      </c>
      <c r="AE180" s="617">
        <f t="shared" si="556"/>
        <v>0</v>
      </c>
      <c r="AF180" s="617">
        <f t="shared" si="556"/>
        <v>24059124.214285269</v>
      </c>
      <c r="AG180" s="617">
        <f t="shared" si="556"/>
        <v>30555356.594285272</v>
      </c>
      <c r="AH180" s="617">
        <f t="shared" si="556"/>
        <v>0</v>
      </c>
      <c r="AI180" s="617">
        <f t="shared" si="556"/>
        <v>30555356.594285272</v>
      </c>
      <c r="AJ180" s="617">
        <f t="shared" si="556"/>
        <v>33600541.914285272</v>
      </c>
      <c r="AK180" s="617">
        <f t="shared" si="556"/>
        <v>0</v>
      </c>
      <c r="AL180" s="617">
        <f t="shared" si="556"/>
        <v>33600541.914285272</v>
      </c>
      <c r="AM180" s="617">
        <f t="shared" si="556"/>
        <v>41605572.696973652</v>
      </c>
      <c r="AN180" s="617">
        <f t="shared" si="556"/>
        <v>0</v>
      </c>
      <c r="AO180" s="617">
        <f t="shared" si="556"/>
        <v>41605572.696973652</v>
      </c>
      <c r="AP180" s="617">
        <f t="shared" si="556"/>
        <v>48800381.646973655</v>
      </c>
      <c r="AQ180" s="617">
        <f t="shared" si="556"/>
        <v>0</v>
      </c>
      <c r="AR180" s="617">
        <f t="shared" si="556"/>
        <v>48800381.646973655</v>
      </c>
      <c r="AS180" s="617">
        <f t="shared" si="556"/>
        <v>52662918.421160258</v>
      </c>
      <c r="AT180" s="617">
        <f t="shared" si="556"/>
        <v>0</v>
      </c>
      <c r="AU180" s="617">
        <f t="shared" si="556"/>
        <v>52662918.421160258</v>
      </c>
      <c r="AV180" s="617">
        <f t="shared" ref="AV180" si="557">SUM(AV181:AV187)</f>
        <v>314991.76</v>
      </c>
      <c r="AW180" s="653"/>
      <c r="AX180" s="617">
        <f t="shared" si="556"/>
        <v>51457194.113000005</v>
      </c>
      <c r="AY180" s="617">
        <f t="shared" si="556"/>
        <v>6786929.7000000002</v>
      </c>
      <c r="AZ180" s="617">
        <f t="shared" ref="AZ180:BA180" si="558">SUM(AZ181:AZ187)</f>
        <v>58244123.813000008</v>
      </c>
      <c r="BA180" s="617">
        <f t="shared" si="558"/>
        <v>1224532.6499999999</v>
      </c>
      <c r="BB180" s="653"/>
      <c r="BC180" s="617">
        <f t="shared" si="556"/>
        <v>26124700.170000002</v>
      </c>
      <c r="BD180" s="617">
        <f t="shared" si="556"/>
        <v>5112874.3000000007</v>
      </c>
      <c r="BE180" s="617">
        <f t="shared" ref="BE180:BF180" si="559">SUM(BE181:BE187)</f>
        <v>31237574.470000003</v>
      </c>
      <c r="BF180" s="617">
        <f t="shared" si="559"/>
        <v>801254.85999999987</v>
      </c>
      <c r="BG180" s="617"/>
      <c r="BH180" s="617">
        <f t="shared" si="556"/>
        <v>130244812.70416027</v>
      </c>
      <c r="BI180" s="617">
        <f t="shared" si="556"/>
        <v>11899804</v>
      </c>
      <c r="BJ180" s="617">
        <f t="shared" ref="BJ180" si="560">SUM(BJ181:BJ187)</f>
        <v>142144616.70416024</v>
      </c>
      <c r="BK180" s="617">
        <f t="shared" si="468"/>
        <v>2340779.2699999996</v>
      </c>
      <c r="BL180" s="596"/>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row>
    <row r="181" spans="1:179" s="9" customFormat="1" ht="81">
      <c r="A181" s="522" t="s">
        <v>139</v>
      </c>
      <c r="B181" s="522" t="s">
        <v>300</v>
      </c>
      <c r="C181" s="618">
        <v>11069163</v>
      </c>
      <c r="D181" s="618">
        <v>11069163</v>
      </c>
      <c r="E181" s="618">
        <v>0</v>
      </c>
      <c r="F181" s="618">
        <v>0</v>
      </c>
      <c r="G181" s="618">
        <v>11069163</v>
      </c>
      <c r="H181" s="618">
        <v>3874207</v>
      </c>
      <c r="I181" s="618">
        <v>0</v>
      </c>
      <c r="J181" s="618">
        <f t="shared" ref="J181:J202" si="561">H181+I181</f>
        <v>3874207</v>
      </c>
      <c r="K181" s="618">
        <v>2311750.06</v>
      </c>
      <c r="L181" s="623">
        <v>0</v>
      </c>
      <c r="M181" s="623">
        <v>0</v>
      </c>
      <c r="N181" s="618">
        <f t="shared" ref="N181:N200" si="562">M181+L181</f>
        <v>0</v>
      </c>
      <c r="O181" s="623">
        <v>0</v>
      </c>
      <c r="P181" s="623">
        <v>0</v>
      </c>
      <c r="Q181" s="618">
        <f t="shared" ref="Q181:Q200" si="563">P181+O181</f>
        <v>0</v>
      </c>
      <c r="R181" s="623">
        <v>0</v>
      </c>
      <c r="S181" s="623">
        <v>0</v>
      </c>
      <c r="T181" s="618">
        <f t="shared" ref="T181:T200" si="564">S181+R181</f>
        <v>0</v>
      </c>
      <c r="U181" s="623">
        <v>0</v>
      </c>
      <c r="V181" s="623">
        <v>0</v>
      </c>
      <c r="W181" s="618">
        <f t="shared" ref="W181:W200" si="565">V181+U181</f>
        <v>0</v>
      </c>
      <c r="X181" s="623">
        <v>395982.11</v>
      </c>
      <c r="Y181" s="623">
        <v>0</v>
      </c>
      <c r="Z181" s="618">
        <f t="shared" ref="Z181:Z200" si="566">Y181+X181</f>
        <v>395982.11</v>
      </c>
      <c r="AA181" s="623">
        <f>X181</f>
        <v>395982.11</v>
      </c>
      <c r="AB181" s="623">
        <v>0</v>
      </c>
      <c r="AC181" s="618">
        <f t="shared" ref="AC181:AC200" si="567">AB181+AA181</f>
        <v>395982.11</v>
      </c>
      <c r="AD181" s="623">
        <f>AA181</f>
        <v>395982.11</v>
      </c>
      <c r="AE181" s="623">
        <v>0</v>
      </c>
      <c r="AF181" s="618">
        <f t="shared" ref="AF181:AF200" si="568">AE181+AD181</f>
        <v>395982.11</v>
      </c>
      <c r="AG181" s="623">
        <v>2417963.5099999998</v>
      </c>
      <c r="AH181" s="623">
        <v>0</v>
      </c>
      <c r="AI181" s="618">
        <f t="shared" ref="AI181:AI200" si="569">AH181+AG181</f>
        <v>2417963.5099999998</v>
      </c>
      <c r="AJ181" s="623">
        <f>AG181</f>
        <v>2417963.5099999998</v>
      </c>
      <c r="AK181" s="623">
        <v>0</v>
      </c>
      <c r="AL181" s="618">
        <f t="shared" ref="AL181:AL200" si="570">AK181+AJ181</f>
        <v>2417963.5099999998</v>
      </c>
      <c r="AM181" s="623">
        <f>AJ181</f>
        <v>2417963.5099999998</v>
      </c>
      <c r="AN181" s="623">
        <v>0</v>
      </c>
      <c r="AO181" s="618">
        <f t="shared" ref="AO181:AO200" si="571">AN181+AM181</f>
        <v>2417963.5099999998</v>
      </c>
      <c r="AP181" s="623">
        <v>3788502.37</v>
      </c>
      <c r="AQ181" s="623">
        <v>0</v>
      </c>
      <c r="AR181" s="618">
        <f t="shared" ref="AR181:AR200" si="572">AQ181+AP181</f>
        <v>3788502.37</v>
      </c>
      <c r="AS181" s="623">
        <f>AP181</f>
        <v>3788502.37</v>
      </c>
      <c r="AT181" s="623">
        <v>0</v>
      </c>
      <c r="AU181" s="618">
        <f t="shared" ref="AU181:AU200" si="573">AT181+AS181</f>
        <v>3788502.37</v>
      </c>
      <c r="AV181" s="623">
        <v>0</v>
      </c>
      <c r="AW181" s="655" t="s">
        <v>1457</v>
      </c>
      <c r="AX181" s="623">
        <v>3861993.7299999995</v>
      </c>
      <c r="AY181" s="623">
        <v>0</v>
      </c>
      <c r="AZ181" s="618">
        <f t="shared" ref="AZ181:AZ200" si="574">AY181+AX181</f>
        <v>3861993.7299999995</v>
      </c>
      <c r="BA181" s="623">
        <v>0</v>
      </c>
      <c r="BB181" s="655" t="s">
        <v>1457</v>
      </c>
      <c r="BC181" s="623">
        <v>1106916.24</v>
      </c>
      <c r="BD181" s="623">
        <v>0</v>
      </c>
      <c r="BE181" s="618">
        <f t="shared" ref="BE181:BE200" si="575">BD181+BC181</f>
        <v>1106916.24</v>
      </c>
      <c r="BF181" s="623">
        <v>0</v>
      </c>
      <c r="BG181" s="622" t="s">
        <v>1457</v>
      </c>
      <c r="BH181" s="622">
        <f t="shared" ref="BH181:BI187" si="576">AS181+AX181+BC181</f>
        <v>8757412.3399999999</v>
      </c>
      <c r="BI181" s="622">
        <f t="shared" si="576"/>
        <v>0</v>
      </c>
      <c r="BJ181" s="618">
        <f t="shared" ref="BJ181:BJ200" si="577">BI181+BH181</f>
        <v>8757412.3399999999</v>
      </c>
      <c r="BK181" s="618">
        <f t="shared" si="468"/>
        <v>0</v>
      </c>
      <c r="BL181" s="605" t="s">
        <v>1471</v>
      </c>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row>
    <row r="182" spans="1:179" s="9" customFormat="1" ht="119.25" customHeight="1">
      <c r="A182" s="522" t="s">
        <v>123</v>
      </c>
      <c r="B182" s="522" t="s">
        <v>299</v>
      </c>
      <c r="C182" s="618">
        <v>301861417.726008</v>
      </c>
      <c r="D182" s="618">
        <v>301861417.726008</v>
      </c>
      <c r="E182" s="618">
        <v>11000000</v>
      </c>
      <c r="F182" s="618">
        <v>11000000</v>
      </c>
      <c r="G182" s="618">
        <v>312861417.726008</v>
      </c>
      <c r="H182" s="618">
        <v>35464375</v>
      </c>
      <c r="I182" s="618">
        <v>0</v>
      </c>
      <c r="J182" s="618">
        <f t="shared" si="561"/>
        <v>35464375</v>
      </c>
      <c r="K182" s="618">
        <v>236971266.87</v>
      </c>
      <c r="L182" s="622">
        <v>63642.799999999996</v>
      </c>
      <c r="M182" s="623">
        <v>0</v>
      </c>
      <c r="N182" s="618">
        <f t="shared" si="562"/>
        <v>63642.799999999996</v>
      </c>
      <c r="O182" s="623">
        <v>346663.25</v>
      </c>
      <c r="P182" s="623">
        <v>0</v>
      </c>
      <c r="Q182" s="618">
        <f t="shared" si="563"/>
        <v>346663.25</v>
      </c>
      <c r="R182" s="623">
        <v>1310061.06</v>
      </c>
      <c r="S182" s="623">
        <v>0</v>
      </c>
      <c r="T182" s="618">
        <f t="shared" si="564"/>
        <v>1310061.06</v>
      </c>
      <c r="U182" s="623">
        <v>2997954.2</v>
      </c>
      <c r="V182" s="623">
        <v>0</v>
      </c>
      <c r="W182" s="618">
        <f t="shared" si="565"/>
        <v>2997954.2</v>
      </c>
      <c r="X182" s="623">
        <v>9706036.0399999991</v>
      </c>
      <c r="Y182" s="623">
        <v>0</v>
      </c>
      <c r="Z182" s="618">
        <f t="shared" si="566"/>
        <v>9706036.0399999991</v>
      </c>
      <c r="AA182" s="623">
        <v>13965668.739999998</v>
      </c>
      <c r="AB182" s="623">
        <v>0</v>
      </c>
      <c r="AC182" s="618">
        <f t="shared" si="567"/>
        <v>13965668.739999998</v>
      </c>
      <c r="AD182" s="623">
        <v>18306189.109999999</v>
      </c>
      <c r="AE182" s="623">
        <v>0</v>
      </c>
      <c r="AF182" s="618">
        <f t="shared" si="568"/>
        <v>18306189.109999999</v>
      </c>
      <c r="AG182" s="623">
        <v>22204621.98</v>
      </c>
      <c r="AH182" s="623">
        <v>0</v>
      </c>
      <c r="AI182" s="618">
        <f t="shared" si="569"/>
        <v>22204621.98</v>
      </c>
      <c r="AJ182" s="623">
        <v>24505545.940000001</v>
      </c>
      <c r="AK182" s="623">
        <v>0</v>
      </c>
      <c r="AL182" s="618">
        <f t="shared" si="570"/>
        <v>24505545.940000001</v>
      </c>
      <c r="AM182" s="623">
        <v>29498310.07</v>
      </c>
      <c r="AN182" s="623">
        <v>0</v>
      </c>
      <c r="AO182" s="618">
        <f t="shared" si="571"/>
        <v>29498310.07</v>
      </c>
      <c r="AP182" s="623">
        <v>33079893.84</v>
      </c>
      <c r="AQ182" s="623">
        <v>0</v>
      </c>
      <c r="AR182" s="618">
        <f t="shared" si="572"/>
        <v>33079893.84</v>
      </c>
      <c r="AS182" s="623">
        <v>35542717.159999996</v>
      </c>
      <c r="AT182" s="623">
        <v>0</v>
      </c>
      <c r="AU182" s="618">
        <f t="shared" si="573"/>
        <v>35542717.159999996</v>
      </c>
      <c r="AV182" s="623">
        <v>314146.45</v>
      </c>
      <c r="AW182" s="655" t="s">
        <v>1457</v>
      </c>
      <c r="AX182" s="623">
        <v>20672674.739999998</v>
      </c>
      <c r="AY182" s="623">
        <v>6213753.6000000006</v>
      </c>
      <c r="AZ182" s="618">
        <f t="shared" si="574"/>
        <v>26886428.34</v>
      </c>
      <c r="BA182" s="623">
        <v>359024.52</v>
      </c>
      <c r="BB182" s="655" t="s">
        <v>1472</v>
      </c>
      <c r="BC182" s="623">
        <v>10920991.07</v>
      </c>
      <c r="BD182" s="623">
        <v>4786246.4000000004</v>
      </c>
      <c r="BE182" s="618">
        <f t="shared" si="575"/>
        <v>15707237.470000001</v>
      </c>
      <c r="BF182" s="623">
        <v>224390.33</v>
      </c>
      <c r="BG182" s="622" t="s">
        <v>1472</v>
      </c>
      <c r="BH182" s="622">
        <f t="shared" si="576"/>
        <v>67136382.969999999</v>
      </c>
      <c r="BI182" s="622">
        <f t="shared" si="576"/>
        <v>11000000</v>
      </c>
      <c r="BJ182" s="618">
        <f t="shared" si="577"/>
        <v>78136382.969999999</v>
      </c>
      <c r="BK182" s="618">
        <f t="shared" si="468"/>
        <v>897561.29999999993</v>
      </c>
      <c r="BL182" s="605" t="s">
        <v>1473</v>
      </c>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row>
    <row r="183" spans="1:179" s="9" customFormat="1" ht="82.5" customHeight="1">
      <c r="A183" s="522" t="s">
        <v>124</v>
      </c>
      <c r="B183" s="522" t="s">
        <v>298</v>
      </c>
      <c r="C183" s="618">
        <v>13774958.4</v>
      </c>
      <c r="D183" s="618">
        <v>13774958.4</v>
      </c>
      <c r="E183" s="618">
        <v>782839</v>
      </c>
      <c r="F183" s="618">
        <v>782839</v>
      </c>
      <c r="G183" s="618">
        <v>14557797.4</v>
      </c>
      <c r="H183" s="618">
        <v>687882</v>
      </c>
      <c r="I183" s="618">
        <v>1532411</v>
      </c>
      <c r="J183" s="618">
        <f t="shared" si="561"/>
        <v>2220293</v>
      </c>
      <c r="K183" s="618">
        <v>4997204.05</v>
      </c>
      <c r="L183" s="623">
        <v>0</v>
      </c>
      <c r="M183" s="623">
        <v>0</v>
      </c>
      <c r="N183" s="618">
        <f t="shared" si="562"/>
        <v>0</v>
      </c>
      <c r="O183" s="623">
        <v>10570.96</v>
      </c>
      <c r="P183" s="623">
        <v>0</v>
      </c>
      <c r="Q183" s="618">
        <f t="shared" si="563"/>
        <v>10570.96</v>
      </c>
      <c r="R183" s="623">
        <v>17402.88</v>
      </c>
      <c r="S183" s="623">
        <v>0</v>
      </c>
      <c r="T183" s="618">
        <f t="shared" si="564"/>
        <v>17402.88</v>
      </c>
      <c r="U183" s="623">
        <v>294541.08</v>
      </c>
      <c r="V183" s="623">
        <v>0</v>
      </c>
      <c r="W183" s="618">
        <f t="shared" si="565"/>
        <v>294541.08</v>
      </c>
      <c r="X183" s="623">
        <v>434148.47</v>
      </c>
      <c r="Y183" s="623">
        <v>0</v>
      </c>
      <c r="Z183" s="618">
        <f t="shared" si="566"/>
        <v>434148.47</v>
      </c>
      <c r="AA183" s="623">
        <v>852390.33</v>
      </c>
      <c r="AB183" s="623">
        <v>0</v>
      </c>
      <c r="AC183" s="618">
        <f t="shared" si="567"/>
        <v>852390.33</v>
      </c>
      <c r="AD183" s="623">
        <v>1599255.71</v>
      </c>
      <c r="AE183" s="623">
        <v>0</v>
      </c>
      <c r="AF183" s="618">
        <f t="shared" si="568"/>
        <v>1599255.71</v>
      </c>
      <c r="AG183" s="623">
        <v>1841071.48</v>
      </c>
      <c r="AH183" s="623">
        <v>0</v>
      </c>
      <c r="AI183" s="618">
        <f t="shared" si="569"/>
        <v>1841071.48</v>
      </c>
      <c r="AJ183" s="623">
        <v>1870550.11</v>
      </c>
      <c r="AK183" s="623">
        <v>0</v>
      </c>
      <c r="AL183" s="618">
        <f t="shared" si="570"/>
        <v>1870550.11</v>
      </c>
      <c r="AM183" s="623">
        <v>1949967.94</v>
      </c>
      <c r="AN183" s="623">
        <v>0</v>
      </c>
      <c r="AO183" s="618">
        <f t="shared" si="571"/>
        <v>1949967.94</v>
      </c>
      <c r="AP183" s="623">
        <v>2162329.3199999998</v>
      </c>
      <c r="AQ183" s="623">
        <v>0</v>
      </c>
      <c r="AR183" s="618">
        <f t="shared" si="572"/>
        <v>2162329.3199999998</v>
      </c>
      <c r="AS183" s="623">
        <v>2545225.0699999998</v>
      </c>
      <c r="AT183" s="623">
        <v>0</v>
      </c>
      <c r="AU183" s="618">
        <f t="shared" si="573"/>
        <v>2545225.0699999998</v>
      </c>
      <c r="AV183" s="623">
        <v>845.31</v>
      </c>
      <c r="AW183" s="655" t="s">
        <v>1457</v>
      </c>
      <c r="AX183" s="623">
        <v>4662580.3899999997</v>
      </c>
      <c r="AY183" s="623">
        <v>508845.35000000003</v>
      </c>
      <c r="AZ183" s="618">
        <f t="shared" si="574"/>
        <v>5171425.7399999993</v>
      </c>
      <c r="BA183" s="623">
        <v>2113.29</v>
      </c>
      <c r="BB183" s="655" t="s">
        <v>1463</v>
      </c>
      <c r="BC183" s="623">
        <v>1675519.59</v>
      </c>
      <c r="BD183" s="623">
        <v>273993.64999999997</v>
      </c>
      <c r="BE183" s="618">
        <f t="shared" si="575"/>
        <v>1949513.24</v>
      </c>
      <c r="BF183" s="623">
        <v>1267.97</v>
      </c>
      <c r="BG183" s="622" t="s">
        <v>1463</v>
      </c>
      <c r="BH183" s="622">
        <f t="shared" si="576"/>
        <v>8883325.0499999989</v>
      </c>
      <c r="BI183" s="622">
        <f t="shared" si="576"/>
        <v>782839</v>
      </c>
      <c r="BJ183" s="618">
        <f t="shared" si="577"/>
        <v>9666164.0499999989</v>
      </c>
      <c r="BK183" s="618">
        <f t="shared" si="468"/>
        <v>4226.57</v>
      </c>
      <c r="BL183" s="605" t="s">
        <v>1474</v>
      </c>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row>
    <row r="184" spans="1:179" s="9" customFormat="1" ht="87.75" customHeight="1">
      <c r="A184" s="522" t="s">
        <v>125</v>
      </c>
      <c r="B184" s="522" t="s">
        <v>304</v>
      </c>
      <c r="C184" s="618">
        <v>28182440.399999999</v>
      </c>
      <c r="D184" s="618">
        <v>28182440.399999999</v>
      </c>
      <c r="E184" s="618">
        <v>0</v>
      </c>
      <c r="F184" s="618">
        <v>0</v>
      </c>
      <c r="G184" s="618">
        <v>28182440.399999999</v>
      </c>
      <c r="H184" s="618">
        <v>3649712</v>
      </c>
      <c r="I184" s="618">
        <v>0</v>
      </c>
      <c r="J184" s="618">
        <f t="shared" si="561"/>
        <v>3649712</v>
      </c>
      <c r="K184" s="618">
        <v>20677284.840000004</v>
      </c>
      <c r="L184" s="623">
        <v>0</v>
      </c>
      <c r="M184" s="623">
        <v>0</v>
      </c>
      <c r="N184" s="618">
        <f t="shared" si="562"/>
        <v>0</v>
      </c>
      <c r="O184" s="623">
        <v>0</v>
      </c>
      <c r="P184" s="623">
        <v>0</v>
      </c>
      <c r="Q184" s="618">
        <f t="shared" si="563"/>
        <v>0</v>
      </c>
      <c r="R184" s="623">
        <v>188978.8</v>
      </c>
      <c r="S184" s="623">
        <v>0</v>
      </c>
      <c r="T184" s="618">
        <f t="shared" si="564"/>
        <v>188978.8</v>
      </c>
      <c r="U184" s="623">
        <v>505287.88199999998</v>
      </c>
      <c r="V184" s="623">
        <v>0</v>
      </c>
      <c r="W184" s="618">
        <f t="shared" si="565"/>
        <v>505287.88199999998</v>
      </c>
      <c r="X184" s="623">
        <v>701586.49199999997</v>
      </c>
      <c r="Y184" s="623">
        <v>0</v>
      </c>
      <c r="Z184" s="618">
        <f t="shared" si="566"/>
        <v>701586.49199999997</v>
      </c>
      <c r="AA184" s="623">
        <f>X184</f>
        <v>701586.49199999997</v>
      </c>
      <c r="AB184" s="623">
        <v>0</v>
      </c>
      <c r="AC184" s="618">
        <f t="shared" si="567"/>
        <v>701586.49199999997</v>
      </c>
      <c r="AD184" s="623">
        <v>1188375.5120000001</v>
      </c>
      <c r="AE184" s="623">
        <v>0</v>
      </c>
      <c r="AF184" s="618">
        <f t="shared" si="568"/>
        <v>1188375.5120000001</v>
      </c>
      <c r="AG184" s="623">
        <v>1522377.8520000002</v>
      </c>
      <c r="AH184" s="623">
        <v>0</v>
      </c>
      <c r="AI184" s="618">
        <f t="shared" si="569"/>
        <v>1522377.8520000002</v>
      </c>
      <c r="AJ184" s="623">
        <v>2104044.5820000004</v>
      </c>
      <c r="AK184" s="623">
        <v>0</v>
      </c>
      <c r="AL184" s="618">
        <f t="shared" si="570"/>
        <v>2104044.5820000004</v>
      </c>
      <c r="AM184" s="623">
        <v>2912705.7840000005</v>
      </c>
      <c r="AN184" s="623">
        <v>0</v>
      </c>
      <c r="AO184" s="618">
        <f t="shared" si="571"/>
        <v>2912705.7840000005</v>
      </c>
      <c r="AP184" s="623">
        <v>3061995.4940000004</v>
      </c>
      <c r="AQ184" s="623">
        <v>0</v>
      </c>
      <c r="AR184" s="618">
        <f t="shared" si="572"/>
        <v>3061995.4940000004</v>
      </c>
      <c r="AS184" s="623">
        <v>3721114.2340000002</v>
      </c>
      <c r="AT184" s="623">
        <v>0</v>
      </c>
      <c r="AU184" s="618">
        <f t="shared" si="573"/>
        <v>3721114.2340000002</v>
      </c>
      <c r="AV184" s="623">
        <v>0</v>
      </c>
      <c r="AW184" s="655" t="s">
        <v>1457</v>
      </c>
      <c r="AX184" s="623">
        <v>2729878.8430000003</v>
      </c>
      <c r="AY184" s="623">
        <v>0</v>
      </c>
      <c r="AZ184" s="618">
        <f t="shared" si="574"/>
        <v>2729878.8430000003</v>
      </c>
      <c r="BA184" s="623">
        <v>0</v>
      </c>
      <c r="BB184" s="655" t="s">
        <v>1457</v>
      </c>
      <c r="BC184" s="623">
        <v>863766.15699999989</v>
      </c>
      <c r="BD184" s="623">
        <v>0</v>
      </c>
      <c r="BE184" s="618">
        <f t="shared" si="575"/>
        <v>863766.15699999989</v>
      </c>
      <c r="BF184" s="623">
        <v>0</v>
      </c>
      <c r="BG184" s="622" t="s">
        <v>1457</v>
      </c>
      <c r="BH184" s="622">
        <f t="shared" si="576"/>
        <v>7314759.2340000002</v>
      </c>
      <c r="BI184" s="622">
        <f t="shared" si="576"/>
        <v>0</v>
      </c>
      <c r="BJ184" s="618">
        <f t="shared" si="577"/>
        <v>7314759.2340000002</v>
      </c>
      <c r="BK184" s="618">
        <f t="shared" si="468"/>
        <v>0</v>
      </c>
      <c r="BL184" s="605" t="s">
        <v>1475</v>
      </c>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row>
    <row r="185" spans="1:179" s="9" customFormat="1" ht="99" customHeight="1">
      <c r="A185" s="522" t="s">
        <v>126</v>
      </c>
      <c r="B185" s="522" t="s">
        <v>297</v>
      </c>
      <c r="C185" s="618">
        <v>39055719.274728</v>
      </c>
      <c r="D185" s="618">
        <v>39055719.274728</v>
      </c>
      <c r="E185" s="618">
        <v>0</v>
      </c>
      <c r="F185" s="618">
        <v>0</v>
      </c>
      <c r="G185" s="618">
        <v>39055719.274728</v>
      </c>
      <c r="H185" s="618">
        <v>1078501</v>
      </c>
      <c r="I185" s="618">
        <v>2328322</v>
      </c>
      <c r="J185" s="618">
        <f t="shared" si="561"/>
        <v>3406823</v>
      </c>
      <c r="K185" s="618">
        <v>2780304.66</v>
      </c>
      <c r="L185" s="622">
        <v>529031</v>
      </c>
      <c r="M185" s="622">
        <v>0</v>
      </c>
      <c r="N185" s="618">
        <f t="shared" si="562"/>
        <v>529031</v>
      </c>
      <c r="O185" s="623">
        <v>632225</v>
      </c>
      <c r="P185" s="623">
        <v>0</v>
      </c>
      <c r="Q185" s="618">
        <f t="shared" si="563"/>
        <v>632225</v>
      </c>
      <c r="R185" s="623">
        <v>795752</v>
      </c>
      <c r="S185" s="623">
        <v>0</v>
      </c>
      <c r="T185" s="618">
        <f t="shared" si="564"/>
        <v>795752</v>
      </c>
      <c r="U185" s="623">
        <v>1066272</v>
      </c>
      <c r="V185" s="623">
        <v>0</v>
      </c>
      <c r="W185" s="618">
        <f t="shared" si="565"/>
        <v>1066272</v>
      </c>
      <c r="X185" s="623">
        <v>1378584</v>
      </c>
      <c r="Y185" s="623">
        <v>0</v>
      </c>
      <c r="Z185" s="618">
        <f t="shared" si="566"/>
        <v>1378584</v>
      </c>
      <c r="AA185" s="623">
        <v>1476049</v>
      </c>
      <c r="AB185" s="623">
        <v>0</v>
      </c>
      <c r="AC185" s="618">
        <f t="shared" si="567"/>
        <v>1476049</v>
      </c>
      <c r="AD185" s="623">
        <v>1566563</v>
      </c>
      <c r="AE185" s="623">
        <v>0</v>
      </c>
      <c r="AF185" s="618">
        <f t="shared" si="568"/>
        <v>1566563</v>
      </c>
      <c r="AG185" s="623">
        <v>1566563</v>
      </c>
      <c r="AH185" s="623">
        <v>0</v>
      </c>
      <c r="AI185" s="618">
        <f t="shared" si="569"/>
        <v>1566563</v>
      </c>
      <c r="AJ185" s="623">
        <v>1699679</v>
      </c>
      <c r="AK185" s="623">
        <v>0</v>
      </c>
      <c r="AL185" s="618">
        <f t="shared" si="570"/>
        <v>1699679</v>
      </c>
      <c r="AM185" s="623">
        <v>1699679</v>
      </c>
      <c r="AN185" s="623">
        <v>0</v>
      </c>
      <c r="AO185" s="618">
        <f t="shared" si="571"/>
        <v>1699679</v>
      </c>
      <c r="AP185" s="623">
        <v>3580714.23</v>
      </c>
      <c r="AQ185" s="623">
        <v>0</v>
      </c>
      <c r="AR185" s="618">
        <f t="shared" si="572"/>
        <v>3580714.23</v>
      </c>
      <c r="AS185" s="623">
        <v>3848921.85</v>
      </c>
      <c r="AT185" s="623">
        <v>0</v>
      </c>
      <c r="AU185" s="618">
        <f t="shared" si="573"/>
        <v>3848921.85</v>
      </c>
      <c r="AV185" s="623">
        <v>0</v>
      </c>
      <c r="AW185" s="655" t="s">
        <v>1476</v>
      </c>
      <c r="AX185" s="623">
        <v>16000267.91</v>
      </c>
      <c r="AY185" s="623">
        <v>0</v>
      </c>
      <c r="AZ185" s="618">
        <f t="shared" si="574"/>
        <v>16000267.91</v>
      </c>
      <c r="BA185" s="623">
        <v>863394.84</v>
      </c>
      <c r="BB185" s="655" t="s">
        <v>1477</v>
      </c>
      <c r="BC185" s="623">
        <v>10190595.183000002</v>
      </c>
      <c r="BD185" s="623">
        <v>0</v>
      </c>
      <c r="BE185" s="618">
        <f t="shared" si="575"/>
        <v>10190595.183000002</v>
      </c>
      <c r="BF185" s="623">
        <v>575596.55999999994</v>
      </c>
      <c r="BG185" s="622" t="s">
        <v>1478</v>
      </c>
      <c r="BH185" s="622">
        <f t="shared" si="576"/>
        <v>30039784.943000004</v>
      </c>
      <c r="BI185" s="622">
        <f t="shared" si="576"/>
        <v>0</v>
      </c>
      <c r="BJ185" s="618">
        <f t="shared" si="577"/>
        <v>30039784.943000004</v>
      </c>
      <c r="BK185" s="618">
        <f t="shared" si="468"/>
        <v>1438991.4</v>
      </c>
      <c r="BL185" s="605" t="s">
        <v>1479</v>
      </c>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row>
    <row r="186" spans="1:179" s="9" customFormat="1" ht="64.5" customHeight="1">
      <c r="A186" s="522" t="s">
        <v>140</v>
      </c>
      <c r="B186" s="522" t="s">
        <v>296</v>
      </c>
      <c r="C186" s="618">
        <v>4568226</v>
      </c>
      <c r="D186" s="618">
        <v>4568226</v>
      </c>
      <c r="E186" s="618">
        <v>0</v>
      </c>
      <c r="F186" s="618">
        <v>0</v>
      </c>
      <c r="G186" s="618">
        <v>4568226</v>
      </c>
      <c r="H186" s="618">
        <v>860583</v>
      </c>
      <c r="I186" s="618">
        <v>1138735</v>
      </c>
      <c r="J186" s="618">
        <f t="shared" si="561"/>
        <v>1999318</v>
      </c>
      <c r="K186" s="618">
        <v>321947.71000000002</v>
      </c>
      <c r="L186" s="623">
        <v>0</v>
      </c>
      <c r="M186" s="623">
        <v>0</v>
      </c>
      <c r="N186" s="618">
        <f t="shared" si="562"/>
        <v>0</v>
      </c>
      <c r="O186" s="623">
        <v>293310.59000000003</v>
      </c>
      <c r="P186" s="623">
        <v>0</v>
      </c>
      <c r="Q186" s="618">
        <f t="shared" si="563"/>
        <v>293310.59000000003</v>
      </c>
      <c r="R186" s="623">
        <f>O186</f>
        <v>293310.59000000003</v>
      </c>
      <c r="S186" s="623">
        <v>0</v>
      </c>
      <c r="T186" s="618">
        <f t="shared" si="564"/>
        <v>293310.59000000003</v>
      </c>
      <c r="U186" s="623">
        <v>339670.91000000003</v>
      </c>
      <c r="V186" s="623">
        <v>0</v>
      </c>
      <c r="W186" s="618">
        <f t="shared" si="565"/>
        <v>339670.91000000003</v>
      </c>
      <c r="X186" s="623">
        <f>U186</f>
        <v>339670.91000000003</v>
      </c>
      <c r="Y186" s="623">
        <v>0</v>
      </c>
      <c r="Z186" s="618">
        <f t="shared" si="566"/>
        <v>339670.91000000003</v>
      </c>
      <c r="AA186" s="623">
        <f>X186</f>
        <v>339670.91000000003</v>
      </c>
      <c r="AB186" s="623">
        <v>0</v>
      </c>
      <c r="AC186" s="618">
        <f t="shared" si="567"/>
        <v>339670.91000000003</v>
      </c>
      <c r="AD186" s="623">
        <v>466023.56000000006</v>
      </c>
      <c r="AE186" s="623">
        <v>0</v>
      </c>
      <c r="AF186" s="618">
        <f t="shared" si="568"/>
        <v>466023.56000000006</v>
      </c>
      <c r="AG186" s="623">
        <f>AD186</f>
        <v>466023.56000000006</v>
      </c>
      <c r="AH186" s="623">
        <v>0</v>
      </c>
      <c r="AI186" s="618">
        <f t="shared" si="569"/>
        <v>466023.56000000006</v>
      </c>
      <c r="AJ186" s="623">
        <f>AG186</f>
        <v>466023.56000000006</v>
      </c>
      <c r="AK186" s="623">
        <v>0</v>
      </c>
      <c r="AL186" s="618">
        <f t="shared" si="570"/>
        <v>466023.56000000006</v>
      </c>
      <c r="AM186" s="623">
        <v>1350492.11</v>
      </c>
      <c r="AN186" s="623">
        <v>0</v>
      </c>
      <c r="AO186" s="618">
        <f t="shared" si="571"/>
        <v>1350492.11</v>
      </c>
      <c r="AP186" s="623">
        <f>AM186</f>
        <v>1350492.11</v>
      </c>
      <c r="AQ186" s="623">
        <v>0</v>
      </c>
      <c r="AR186" s="618">
        <f t="shared" si="572"/>
        <v>1350492.11</v>
      </c>
      <c r="AS186" s="623">
        <f>AP186</f>
        <v>1350492.11</v>
      </c>
      <c r="AT186" s="623">
        <v>0</v>
      </c>
      <c r="AU186" s="618">
        <f t="shared" si="573"/>
        <v>1350492.11</v>
      </c>
      <c r="AV186" s="623">
        <v>0</v>
      </c>
      <c r="AW186" s="655" t="s">
        <v>1457</v>
      </c>
      <c r="AX186" s="623">
        <v>1889173.73</v>
      </c>
      <c r="AY186" s="623">
        <v>0</v>
      </c>
      <c r="AZ186" s="618">
        <f t="shared" si="574"/>
        <v>1889173.73</v>
      </c>
      <c r="BA186" s="623">
        <v>0</v>
      </c>
      <c r="BB186" s="655" t="s">
        <v>1457</v>
      </c>
      <c r="BC186" s="623">
        <v>846458.45000000007</v>
      </c>
      <c r="BD186" s="623">
        <v>0</v>
      </c>
      <c r="BE186" s="618">
        <f t="shared" si="575"/>
        <v>846458.45000000007</v>
      </c>
      <c r="BF186" s="623">
        <v>0</v>
      </c>
      <c r="BG186" s="622" t="s">
        <v>1457</v>
      </c>
      <c r="BH186" s="622">
        <f t="shared" si="576"/>
        <v>4086124.29</v>
      </c>
      <c r="BI186" s="622">
        <f t="shared" si="576"/>
        <v>0</v>
      </c>
      <c r="BJ186" s="618">
        <f t="shared" si="577"/>
        <v>4086124.29</v>
      </c>
      <c r="BK186" s="618">
        <f t="shared" si="468"/>
        <v>0</v>
      </c>
      <c r="BL186" s="605" t="s">
        <v>1480</v>
      </c>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row>
    <row r="187" spans="1:179" s="9" customFormat="1" ht="90" customHeight="1">
      <c r="A187" s="522" t="s">
        <v>141</v>
      </c>
      <c r="B187" s="522" t="s">
        <v>295</v>
      </c>
      <c r="C187" s="618">
        <v>7168600.7999999998</v>
      </c>
      <c r="D187" s="618">
        <v>7168600.7999999998</v>
      </c>
      <c r="E187" s="618">
        <v>130000</v>
      </c>
      <c r="F187" s="618">
        <v>116964.99999999997</v>
      </c>
      <c r="G187" s="618">
        <v>7285565.7999999998</v>
      </c>
      <c r="H187" s="618">
        <v>1814972</v>
      </c>
      <c r="I187" s="618">
        <v>884829</v>
      </c>
      <c r="J187" s="618">
        <f t="shared" si="561"/>
        <v>2699801</v>
      </c>
      <c r="K187" s="618">
        <v>3141576.12</v>
      </c>
      <c r="L187" s="623">
        <v>0</v>
      </c>
      <c r="M187" s="623">
        <v>0</v>
      </c>
      <c r="N187" s="618">
        <f t="shared" si="562"/>
        <v>0</v>
      </c>
      <c r="O187" s="623">
        <f>L187</f>
        <v>0</v>
      </c>
      <c r="P187" s="623">
        <v>0</v>
      </c>
      <c r="Q187" s="618">
        <f t="shared" si="563"/>
        <v>0</v>
      </c>
      <c r="R187" s="623">
        <f>O187</f>
        <v>0</v>
      </c>
      <c r="S187" s="623">
        <v>0</v>
      </c>
      <c r="T187" s="618">
        <f t="shared" si="564"/>
        <v>0</v>
      </c>
      <c r="U187" s="623">
        <v>128240.2310219052</v>
      </c>
      <c r="V187" s="623">
        <v>0</v>
      </c>
      <c r="W187" s="618">
        <f t="shared" si="565"/>
        <v>128240.2310219052</v>
      </c>
      <c r="X187" s="623">
        <f>U187</f>
        <v>128240.2310219052</v>
      </c>
      <c r="Y187" s="623">
        <v>0</v>
      </c>
      <c r="Z187" s="618">
        <f t="shared" si="566"/>
        <v>128240.2310219052</v>
      </c>
      <c r="AA187" s="623">
        <f>X187</f>
        <v>128240.2310219052</v>
      </c>
      <c r="AB187" s="623">
        <v>0</v>
      </c>
      <c r="AC187" s="618">
        <f t="shared" si="567"/>
        <v>128240.2310219052</v>
      </c>
      <c r="AD187" s="623">
        <v>536735.21228527091</v>
      </c>
      <c r="AE187" s="623">
        <v>0</v>
      </c>
      <c r="AF187" s="618">
        <f t="shared" si="568"/>
        <v>536735.21228527091</v>
      </c>
      <c r="AG187" s="623">
        <f>AD187</f>
        <v>536735.21228527091</v>
      </c>
      <c r="AH187" s="623">
        <v>0</v>
      </c>
      <c r="AI187" s="618">
        <f t="shared" si="569"/>
        <v>536735.21228527091</v>
      </c>
      <c r="AJ187" s="623">
        <f>AG187</f>
        <v>536735.21228527091</v>
      </c>
      <c r="AK187" s="623">
        <v>0</v>
      </c>
      <c r="AL187" s="618">
        <f t="shared" si="570"/>
        <v>536735.21228527091</v>
      </c>
      <c r="AM187" s="623">
        <v>1776454.282973656</v>
      </c>
      <c r="AN187" s="623">
        <v>0</v>
      </c>
      <c r="AO187" s="618">
        <f t="shared" si="571"/>
        <v>1776454.282973656</v>
      </c>
      <c r="AP187" s="623">
        <f>AM187</f>
        <v>1776454.282973656</v>
      </c>
      <c r="AQ187" s="623">
        <v>0</v>
      </c>
      <c r="AR187" s="618">
        <f t="shared" si="572"/>
        <v>1776454.282973656</v>
      </c>
      <c r="AS187" s="623">
        <v>1865945.6271602656</v>
      </c>
      <c r="AT187" s="623">
        <v>0</v>
      </c>
      <c r="AU187" s="618">
        <f t="shared" si="573"/>
        <v>1865945.6271602656</v>
      </c>
      <c r="AV187" s="623">
        <v>0</v>
      </c>
      <c r="AW187" s="655" t="s">
        <v>1457</v>
      </c>
      <c r="AX187" s="623">
        <v>1640624.77</v>
      </c>
      <c r="AY187" s="623">
        <v>64330.75</v>
      </c>
      <c r="AZ187" s="618">
        <f t="shared" si="574"/>
        <v>1704955.52</v>
      </c>
      <c r="BA187" s="623">
        <v>0</v>
      </c>
      <c r="BB187" s="655" t="s">
        <v>1463</v>
      </c>
      <c r="BC187" s="623">
        <v>520453.48</v>
      </c>
      <c r="BD187" s="623">
        <v>52634.25</v>
      </c>
      <c r="BE187" s="618">
        <f t="shared" si="575"/>
        <v>573087.73</v>
      </c>
      <c r="BF187" s="623">
        <v>0</v>
      </c>
      <c r="BG187" s="622" t="s">
        <v>1463</v>
      </c>
      <c r="BH187" s="622">
        <f t="shared" si="576"/>
        <v>4027023.8771602656</v>
      </c>
      <c r="BI187" s="622">
        <f t="shared" si="576"/>
        <v>116965</v>
      </c>
      <c r="BJ187" s="618">
        <f t="shared" si="577"/>
        <v>4143988.8771602656</v>
      </c>
      <c r="BK187" s="618">
        <f t="shared" si="468"/>
        <v>0</v>
      </c>
      <c r="BL187" s="605" t="s">
        <v>1481</v>
      </c>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row>
    <row r="188" spans="1:179" s="2" customFormat="1" ht="40.5">
      <c r="A188" s="523"/>
      <c r="B188" s="521" t="s">
        <v>294</v>
      </c>
      <c r="C188" s="617">
        <f>SUM(C189:C194)</f>
        <v>591210286.62860394</v>
      </c>
      <c r="D188" s="617">
        <f t="shared" ref="D188:J188" si="578">SUM(D189:D194)</f>
        <v>591210286.62860394</v>
      </c>
      <c r="E188" s="617">
        <f t="shared" si="578"/>
        <v>35044118</v>
      </c>
      <c r="F188" s="617">
        <f t="shared" si="578"/>
        <v>29787500.300000001</v>
      </c>
      <c r="G188" s="617">
        <f t="shared" si="578"/>
        <v>620997786.92860389</v>
      </c>
      <c r="H188" s="617">
        <f t="shared" si="578"/>
        <v>112632044</v>
      </c>
      <c r="I188" s="617">
        <f t="shared" si="578"/>
        <v>0</v>
      </c>
      <c r="J188" s="617">
        <f t="shared" si="578"/>
        <v>112632044</v>
      </c>
      <c r="K188" s="617">
        <f t="shared" ref="K188:BL188" si="579">SUM(K189:K194)</f>
        <v>240189683.67000002</v>
      </c>
      <c r="L188" s="617">
        <f t="shared" si="579"/>
        <v>0</v>
      </c>
      <c r="M188" s="617">
        <f t="shared" si="579"/>
        <v>0</v>
      </c>
      <c r="N188" s="617">
        <f t="shared" si="579"/>
        <v>0</v>
      </c>
      <c r="O188" s="617">
        <f t="shared" si="579"/>
        <v>12354111</v>
      </c>
      <c r="P188" s="617">
        <f t="shared" si="579"/>
        <v>0</v>
      </c>
      <c r="Q188" s="617">
        <f t="shared" ref="Q188" si="580">SUM(Q189:Q194)</f>
        <v>12354111</v>
      </c>
      <c r="R188" s="617">
        <f t="shared" si="579"/>
        <v>15794480</v>
      </c>
      <c r="S188" s="617">
        <f t="shared" si="579"/>
        <v>0</v>
      </c>
      <c r="T188" s="617">
        <f t="shared" ref="T188" si="581">SUM(T189:T194)</f>
        <v>15794480</v>
      </c>
      <c r="U188" s="617">
        <f t="shared" si="579"/>
        <v>23715841</v>
      </c>
      <c r="V188" s="617">
        <f t="shared" si="579"/>
        <v>0</v>
      </c>
      <c r="W188" s="617">
        <f t="shared" ref="W188" si="582">SUM(W189:W194)</f>
        <v>23715841</v>
      </c>
      <c r="X188" s="617">
        <f t="shared" si="579"/>
        <v>28399908</v>
      </c>
      <c r="Y188" s="617">
        <f t="shared" si="579"/>
        <v>0</v>
      </c>
      <c r="Z188" s="617">
        <f t="shared" ref="Z188" si="583">SUM(Z189:Z194)</f>
        <v>28399908</v>
      </c>
      <c r="AA188" s="617">
        <f t="shared" si="579"/>
        <v>36570272</v>
      </c>
      <c r="AB188" s="617">
        <f t="shared" si="579"/>
        <v>0</v>
      </c>
      <c r="AC188" s="617">
        <f t="shared" ref="AC188" si="584">SUM(AC189:AC194)</f>
        <v>36570272</v>
      </c>
      <c r="AD188" s="617">
        <f t="shared" si="579"/>
        <v>44691079</v>
      </c>
      <c r="AE188" s="617">
        <f t="shared" si="579"/>
        <v>0</v>
      </c>
      <c r="AF188" s="617">
        <f t="shared" ref="AF188" si="585">SUM(AF189:AF194)</f>
        <v>44691079</v>
      </c>
      <c r="AG188" s="617">
        <f t="shared" si="579"/>
        <v>58578656</v>
      </c>
      <c r="AH188" s="617">
        <f t="shared" si="579"/>
        <v>0</v>
      </c>
      <c r="AI188" s="617">
        <f t="shared" ref="AI188" si="586">SUM(AI189:AI194)</f>
        <v>58578656</v>
      </c>
      <c r="AJ188" s="617">
        <f t="shared" si="579"/>
        <v>63770773</v>
      </c>
      <c r="AK188" s="617">
        <f t="shared" si="579"/>
        <v>0</v>
      </c>
      <c r="AL188" s="617">
        <f t="shared" ref="AL188" si="587">SUM(AL189:AL194)</f>
        <v>63770773</v>
      </c>
      <c r="AM188" s="617">
        <f t="shared" si="579"/>
        <v>88609592</v>
      </c>
      <c r="AN188" s="617">
        <f t="shared" si="579"/>
        <v>0</v>
      </c>
      <c r="AO188" s="617">
        <f t="shared" ref="AO188" si="588">SUM(AO189:AO194)</f>
        <v>88609592</v>
      </c>
      <c r="AP188" s="617">
        <f t="shared" si="579"/>
        <v>109726874</v>
      </c>
      <c r="AQ188" s="617">
        <f t="shared" si="579"/>
        <v>0</v>
      </c>
      <c r="AR188" s="617">
        <f t="shared" ref="AR188" si="589">SUM(AR189:AR194)</f>
        <v>109726874</v>
      </c>
      <c r="AS188" s="617">
        <f t="shared" si="579"/>
        <v>110661781</v>
      </c>
      <c r="AT188" s="617">
        <f t="shared" si="579"/>
        <v>0</v>
      </c>
      <c r="AU188" s="617">
        <f t="shared" ref="AU188:AV188" si="590">SUM(AU189:AU194)</f>
        <v>110661781</v>
      </c>
      <c r="AV188" s="617">
        <f t="shared" si="590"/>
        <v>0</v>
      </c>
      <c r="AW188" s="653"/>
      <c r="AX188" s="617">
        <f t="shared" si="579"/>
        <v>94180087</v>
      </c>
      <c r="AY188" s="617">
        <f t="shared" si="579"/>
        <v>4203918</v>
      </c>
      <c r="AZ188" s="617">
        <f t="shared" si="579"/>
        <v>98384005</v>
      </c>
      <c r="BA188" s="617">
        <f t="shared" si="579"/>
        <v>0</v>
      </c>
      <c r="BB188" s="653"/>
      <c r="BC188" s="617">
        <f t="shared" si="579"/>
        <v>46099445</v>
      </c>
      <c r="BD188" s="617">
        <f t="shared" si="579"/>
        <v>25583582</v>
      </c>
      <c r="BE188" s="617">
        <f t="shared" si="579"/>
        <v>71683027</v>
      </c>
      <c r="BF188" s="617">
        <f t="shared" si="579"/>
        <v>0</v>
      </c>
      <c r="BG188" s="617"/>
      <c r="BH188" s="617">
        <f t="shared" si="579"/>
        <v>250941313</v>
      </c>
      <c r="BI188" s="617">
        <f t="shared" si="579"/>
        <v>29787500</v>
      </c>
      <c r="BJ188" s="617">
        <f t="shared" si="579"/>
        <v>280728813</v>
      </c>
      <c r="BK188" s="617">
        <f t="shared" si="468"/>
        <v>0</v>
      </c>
      <c r="BL188" s="596">
        <f t="shared" si="579"/>
        <v>0</v>
      </c>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row>
    <row r="189" spans="1:179" s="554" customFormat="1" ht="64.5" customHeight="1">
      <c r="A189" s="553" t="s">
        <v>127</v>
      </c>
      <c r="B189" s="553" t="s">
        <v>293</v>
      </c>
      <c r="C189" s="644">
        <v>216739674.43549201</v>
      </c>
      <c r="D189" s="644">
        <v>216739674.43549201</v>
      </c>
      <c r="E189" s="644">
        <v>35044118</v>
      </c>
      <c r="F189" s="644">
        <v>29787500.300000001</v>
      </c>
      <c r="G189" s="644">
        <v>246527174.73549202</v>
      </c>
      <c r="H189" s="644">
        <v>55659048</v>
      </c>
      <c r="I189" s="644">
        <v>0</v>
      </c>
      <c r="J189" s="644">
        <f t="shared" ref="J189:J194" si="591">H189+I189</f>
        <v>55659048</v>
      </c>
      <c r="K189" s="644">
        <v>114917628.42</v>
      </c>
      <c r="L189" s="644">
        <v>0</v>
      </c>
      <c r="M189" s="644">
        <v>0</v>
      </c>
      <c r="N189" s="644">
        <v>0</v>
      </c>
      <c r="O189" s="645">
        <v>12191534</v>
      </c>
      <c r="P189" s="645">
        <v>0</v>
      </c>
      <c r="Q189" s="644">
        <v>12191534</v>
      </c>
      <c r="R189" s="645">
        <v>12191534</v>
      </c>
      <c r="S189" s="645">
        <v>0</v>
      </c>
      <c r="T189" s="644">
        <v>12191534</v>
      </c>
      <c r="U189" s="645">
        <v>17625919</v>
      </c>
      <c r="V189" s="645">
        <v>0</v>
      </c>
      <c r="W189" s="644">
        <v>17625919</v>
      </c>
      <c r="X189" s="645">
        <v>21016137</v>
      </c>
      <c r="Y189" s="645">
        <v>0</v>
      </c>
      <c r="Z189" s="644">
        <v>21016137</v>
      </c>
      <c r="AA189" s="645">
        <v>23519731</v>
      </c>
      <c r="AB189" s="645">
        <v>0</v>
      </c>
      <c r="AC189" s="644">
        <v>23519731</v>
      </c>
      <c r="AD189" s="645">
        <v>23519731</v>
      </c>
      <c r="AE189" s="645">
        <v>0</v>
      </c>
      <c r="AF189" s="644">
        <v>23519731</v>
      </c>
      <c r="AG189" s="645">
        <v>28785634</v>
      </c>
      <c r="AH189" s="645">
        <v>0</v>
      </c>
      <c r="AI189" s="644">
        <v>28785634</v>
      </c>
      <c r="AJ189" s="645">
        <v>28785634</v>
      </c>
      <c r="AK189" s="645">
        <v>0</v>
      </c>
      <c r="AL189" s="644">
        <v>28785634</v>
      </c>
      <c r="AM189" s="645">
        <v>41573114</v>
      </c>
      <c r="AN189" s="645">
        <v>0</v>
      </c>
      <c r="AO189" s="644">
        <v>41573114</v>
      </c>
      <c r="AP189" s="645">
        <v>53688785</v>
      </c>
      <c r="AQ189" s="645">
        <v>0</v>
      </c>
      <c r="AR189" s="644">
        <v>53688785</v>
      </c>
      <c r="AS189" s="645">
        <v>53688785</v>
      </c>
      <c r="AT189" s="645">
        <v>0</v>
      </c>
      <c r="AU189" s="644">
        <v>53688785</v>
      </c>
      <c r="AV189" s="645">
        <v>0</v>
      </c>
      <c r="AW189" s="670"/>
      <c r="AX189" s="645">
        <v>37452286</v>
      </c>
      <c r="AY189" s="645">
        <v>4203918</v>
      </c>
      <c r="AZ189" s="644">
        <v>41656204</v>
      </c>
      <c r="BA189" s="645">
        <v>0</v>
      </c>
      <c r="BB189" s="670"/>
      <c r="BC189" s="645">
        <v>10680975</v>
      </c>
      <c r="BD189" s="645">
        <v>25583582</v>
      </c>
      <c r="BE189" s="644">
        <v>36264557</v>
      </c>
      <c r="BF189" s="645">
        <v>0</v>
      </c>
      <c r="BG189" s="645"/>
      <c r="BH189" s="646">
        <v>101822046</v>
      </c>
      <c r="BI189" s="646">
        <v>29787500</v>
      </c>
      <c r="BJ189" s="644">
        <v>131609546</v>
      </c>
      <c r="BK189" s="644">
        <v>0</v>
      </c>
      <c r="BL189" s="609" t="s">
        <v>1572</v>
      </c>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row>
    <row r="190" spans="1:179" s="554" customFormat="1" ht="168" customHeight="1">
      <c r="A190" s="553" t="s">
        <v>128</v>
      </c>
      <c r="B190" s="553" t="s">
        <v>292</v>
      </c>
      <c r="C190" s="644">
        <v>91713251.344799995</v>
      </c>
      <c r="D190" s="644">
        <v>91713251.344799995</v>
      </c>
      <c r="E190" s="644">
        <v>0</v>
      </c>
      <c r="F190" s="644">
        <v>0</v>
      </c>
      <c r="G190" s="644">
        <v>91713251.344799995</v>
      </c>
      <c r="H190" s="644">
        <v>19540584</v>
      </c>
      <c r="I190" s="644">
        <f>AU190-H190</f>
        <v>0</v>
      </c>
      <c r="J190" s="644">
        <f t="shared" si="591"/>
        <v>19540584</v>
      </c>
      <c r="K190" s="644">
        <v>48678400.07</v>
      </c>
      <c r="L190" s="644">
        <v>0</v>
      </c>
      <c r="M190" s="644">
        <v>0</v>
      </c>
      <c r="N190" s="644">
        <v>0</v>
      </c>
      <c r="O190" s="645">
        <v>0</v>
      </c>
      <c r="P190" s="645">
        <v>0</v>
      </c>
      <c r="Q190" s="644">
        <v>0</v>
      </c>
      <c r="R190" s="645">
        <v>1724928</v>
      </c>
      <c r="S190" s="645">
        <v>0</v>
      </c>
      <c r="T190" s="644">
        <v>1724928</v>
      </c>
      <c r="U190" s="645">
        <v>2352204</v>
      </c>
      <c r="V190" s="645">
        <v>0</v>
      </c>
      <c r="W190" s="644">
        <v>2352204</v>
      </c>
      <c r="X190" s="645">
        <v>2352204</v>
      </c>
      <c r="Y190" s="645">
        <v>0</v>
      </c>
      <c r="Z190" s="644">
        <v>2352204</v>
      </c>
      <c r="AA190" s="645">
        <v>5310978</v>
      </c>
      <c r="AB190" s="645">
        <v>0</v>
      </c>
      <c r="AC190" s="644">
        <v>5310978</v>
      </c>
      <c r="AD190" s="645">
        <v>9056808</v>
      </c>
      <c r="AE190" s="645">
        <v>0</v>
      </c>
      <c r="AF190" s="644">
        <v>9056808</v>
      </c>
      <c r="AG190" s="645">
        <v>12741055</v>
      </c>
      <c r="AH190" s="645">
        <v>0</v>
      </c>
      <c r="AI190" s="644">
        <v>12741055</v>
      </c>
      <c r="AJ190" s="645">
        <v>12741055</v>
      </c>
      <c r="AK190" s="645">
        <v>0</v>
      </c>
      <c r="AL190" s="644">
        <v>12741055</v>
      </c>
      <c r="AM190" s="645">
        <v>15731959</v>
      </c>
      <c r="AN190" s="645">
        <v>0</v>
      </c>
      <c r="AO190" s="644">
        <v>15731959</v>
      </c>
      <c r="AP190" s="645">
        <v>19540584</v>
      </c>
      <c r="AQ190" s="645">
        <v>0</v>
      </c>
      <c r="AR190" s="644">
        <v>19540584</v>
      </c>
      <c r="AS190" s="645">
        <v>19540584</v>
      </c>
      <c r="AT190" s="645">
        <v>0</v>
      </c>
      <c r="AU190" s="644">
        <v>19540584</v>
      </c>
      <c r="AV190" s="645">
        <v>0</v>
      </c>
      <c r="AW190" s="670"/>
      <c r="AX190" s="645">
        <v>8949392</v>
      </c>
      <c r="AY190" s="645">
        <v>0</v>
      </c>
      <c r="AZ190" s="644">
        <v>8949392</v>
      </c>
      <c r="BA190" s="645">
        <v>0</v>
      </c>
      <c r="BB190" s="670"/>
      <c r="BC190" s="645">
        <v>14544875</v>
      </c>
      <c r="BD190" s="645">
        <v>0</v>
      </c>
      <c r="BE190" s="644">
        <v>14544875</v>
      </c>
      <c r="BF190" s="645">
        <v>0</v>
      </c>
      <c r="BG190" s="645"/>
      <c r="BH190" s="646">
        <v>43034851</v>
      </c>
      <c r="BI190" s="646">
        <v>0</v>
      </c>
      <c r="BJ190" s="644">
        <v>43034851</v>
      </c>
      <c r="BK190" s="644">
        <v>0</v>
      </c>
      <c r="BL190" s="61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row>
    <row r="191" spans="1:179" s="554" customFormat="1" ht="78">
      <c r="A191" s="553" t="s">
        <v>129</v>
      </c>
      <c r="B191" s="553" t="s">
        <v>291</v>
      </c>
      <c r="C191" s="644">
        <v>116805655.12509599</v>
      </c>
      <c r="D191" s="644">
        <v>116805655.12509599</v>
      </c>
      <c r="E191" s="644">
        <v>0</v>
      </c>
      <c r="F191" s="644">
        <v>0</v>
      </c>
      <c r="G191" s="644">
        <v>116805655.12509599</v>
      </c>
      <c r="H191" s="644">
        <v>26828829</v>
      </c>
      <c r="I191" s="644">
        <f>AU191-H191</f>
        <v>0</v>
      </c>
      <c r="J191" s="644">
        <f t="shared" si="591"/>
        <v>26828829</v>
      </c>
      <c r="K191" s="644">
        <v>50521590.310000002</v>
      </c>
      <c r="L191" s="644">
        <v>0</v>
      </c>
      <c r="M191" s="644">
        <v>0</v>
      </c>
      <c r="N191" s="644">
        <v>0</v>
      </c>
      <c r="O191" s="645">
        <v>162577</v>
      </c>
      <c r="P191" s="645">
        <v>0</v>
      </c>
      <c r="Q191" s="644">
        <v>162577</v>
      </c>
      <c r="R191" s="645">
        <v>162577</v>
      </c>
      <c r="S191" s="645">
        <v>0</v>
      </c>
      <c r="T191" s="644">
        <v>162577</v>
      </c>
      <c r="U191" s="645">
        <v>1993839</v>
      </c>
      <c r="V191" s="645">
        <v>0</v>
      </c>
      <c r="W191" s="644">
        <v>1993839</v>
      </c>
      <c r="X191" s="645">
        <v>3287688</v>
      </c>
      <c r="Y191" s="645">
        <v>0</v>
      </c>
      <c r="Z191" s="644">
        <v>3287688</v>
      </c>
      <c r="AA191" s="645">
        <v>5935765</v>
      </c>
      <c r="AB191" s="645">
        <v>0</v>
      </c>
      <c r="AC191" s="644">
        <v>5935765</v>
      </c>
      <c r="AD191" s="645">
        <v>10228168</v>
      </c>
      <c r="AE191" s="645">
        <v>0</v>
      </c>
      <c r="AF191" s="644">
        <v>10228168</v>
      </c>
      <c r="AG191" s="645">
        <v>15133978</v>
      </c>
      <c r="AH191" s="645">
        <v>0</v>
      </c>
      <c r="AI191" s="644">
        <v>15133978</v>
      </c>
      <c r="AJ191" s="645">
        <v>19861705</v>
      </c>
      <c r="AK191" s="645">
        <v>0</v>
      </c>
      <c r="AL191" s="644">
        <v>19861705</v>
      </c>
      <c r="AM191" s="645">
        <v>25230884</v>
      </c>
      <c r="AN191" s="645">
        <v>0</v>
      </c>
      <c r="AO191" s="644">
        <v>25230884</v>
      </c>
      <c r="AP191" s="645">
        <v>26828829</v>
      </c>
      <c r="AQ191" s="645">
        <v>0</v>
      </c>
      <c r="AR191" s="644">
        <v>26828829</v>
      </c>
      <c r="AS191" s="645">
        <v>26828829</v>
      </c>
      <c r="AT191" s="645">
        <v>0</v>
      </c>
      <c r="AU191" s="644">
        <v>26828829</v>
      </c>
      <c r="AV191" s="645">
        <v>0</v>
      </c>
      <c r="AW191" s="670"/>
      <c r="AX191" s="645">
        <v>27127084</v>
      </c>
      <c r="AY191" s="645">
        <v>0</v>
      </c>
      <c r="AZ191" s="644">
        <v>27127084</v>
      </c>
      <c r="BA191" s="645">
        <v>0</v>
      </c>
      <c r="BB191" s="670"/>
      <c r="BC191" s="645">
        <v>12328152</v>
      </c>
      <c r="BD191" s="645">
        <v>0</v>
      </c>
      <c r="BE191" s="644">
        <v>12328152</v>
      </c>
      <c r="BF191" s="645">
        <v>0</v>
      </c>
      <c r="BG191" s="645"/>
      <c r="BH191" s="646">
        <v>66284065</v>
      </c>
      <c r="BI191" s="646">
        <v>0</v>
      </c>
      <c r="BJ191" s="644">
        <v>66284065</v>
      </c>
      <c r="BK191" s="644">
        <v>0</v>
      </c>
      <c r="BL191" s="610"/>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row>
    <row r="192" spans="1:179" s="554" customFormat="1" ht="48.75" customHeight="1">
      <c r="A192" s="553" t="s">
        <v>130</v>
      </c>
      <c r="B192" s="553" t="s">
        <v>290</v>
      </c>
      <c r="C192" s="644">
        <v>45423588.068172</v>
      </c>
      <c r="D192" s="644">
        <v>45423588.068172</v>
      </c>
      <c r="E192" s="644">
        <v>0</v>
      </c>
      <c r="F192" s="644">
        <v>0</v>
      </c>
      <c r="G192" s="644">
        <v>45423588.068172</v>
      </c>
      <c r="H192" s="644">
        <v>9668676</v>
      </c>
      <c r="I192" s="644">
        <f>AU192-H192</f>
        <v>0</v>
      </c>
      <c r="J192" s="644">
        <f t="shared" si="591"/>
        <v>9668676</v>
      </c>
      <c r="K192" s="644">
        <v>7719358.5199999996</v>
      </c>
      <c r="L192" s="644">
        <v>0</v>
      </c>
      <c r="M192" s="644">
        <v>0</v>
      </c>
      <c r="N192" s="644">
        <v>0</v>
      </c>
      <c r="O192" s="645">
        <v>0</v>
      </c>
      <c r="P192" s="645">
        <v>0</v>
      </c>
      <c r="Q192" s="644">
        <v>0</v>
      </c>
      <c r="R192" s="645">
        <v>1715441</v>
      </c>
      <c r="S192" s="645">
        <v>0</v>
      </c>
      <c r="T192" s="644">
        <v>1715441</v>
      </c>
      <c r="U192" s="645">
        <v>1743879</v>
      </c>
      <c r="V192" s="645">
        <v>0</v>
      </c>
      <c r="W192" s="644">
        <v>1743879</v>
      </c>
      <c r="X192" s="645">
        <v>1743879</v>
      </c>
      <c r="Y192" s="645">
        <v>0</v>
      </c>
      <c r="Z192" s="644">
        <v>1743879</v>
      </c>
      <c r="AA192" s="645">
        <v>1803798</v>
      </c>
      <c r="AB192" s="645">
        <v>0</v>
      </c>
      <c r="AC192" s="644">
        <v>1803798</v>
      </c>
      <c r="AD192" s="645">
        <v>1886372</v>
      </c>
      <c r="AE192" s="645">
        <v>0</v>
      </c>
      <c r="AF192" s="644">
        <v>1886372</v>
      </c>
      <c r="AG192" s="645">
        <v>1917989</v>
      </c>
      <c r="AH192" s="645">
        <v>0</v>
      </c>
      <c r="AI192" s="644">
        <v>1917989</v>
      </c>
      <c r="AJ192" s="645">
        <v>2382379</v>
      </c>
      <c r="AK192" s="645">
        <v>0</v>
      </c>
      <c r="AL192" s="644">
        <v>2382379</v>
      </c>
      <c r="AM192" s="645">
        <v>6073635</v>
      </c>
      <c r="AN192" s="645">
        <v>0</v>
      </c>
      <c r="AO192" s="644">
        <v>6073635</v>
      </c>
      <c r="AP192" s="645">
        <v>9668676</v>
      </c>
      <c r="AQ192" s="645">
        <v>0</v>
      </c>
      <c r="AR192" s="644">
        <v>9668676</v>
      </c>
      <c r="AS192" s="645">
        <v>9668676</v>
      </c>
      <c r="AT192" s="645">
        <v>0</v>
      </c>
      <c r="AU192" s="644">
        <v>9668676</v>
      </c>
      <c r="AV192" s="645">
        <v>0</v>
      </c>
      <c r="AW192" s="670"/>
      <c r="AX192" s="645">
        <v>19490110</v>
      </c>
      <c r="AY192" s="645">
        <v>0</v>
      </c>
      <c r="AZ192" s="644">
        <v>19490110</v>
      </c>
      <c r="BA192" s="645">
        <v>0</v>
      </c>
      <c r="BB192" s="670"/>
      <c r="BC192" s="645">
        <v>8545443</v>
      </c>
      <c r="BD192" s="645">
        <v>0</v>
      </c>
      <c r="BE192" s="644">
        <v>8545443</v>
      </c>
      <c r="BF192" s="645">
        <v>0</v>
      </c>
      <c r="BG192" s="645"/>
      <c r="BH192" s="646">
        <v>37704229</v>
      </c>
      <c r="BI192" s="646">
        <v>0</v>
      </c>
      <c r="BJ192" s="644">
        <v>37704229</v>
      </c>
      <c r="BK192" s="644">
        <v>0</v>
      </c>
      <c r="BL192" s="610"/>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row>
    <row r="193" spans="1:179" s="554" customFormat="1" ht="58.5">
      <c r="A193" s="553" t="s">
        <v>131</v>
      </c>
      <c r="B193" s="553" t="s">
        <v>289</v>
      </c>
      <c r="C193" s="644">
        <v>20448828.055043999</v>
      </c>
      <c r="D193" s="644">
        <v>20448828.055043999</v>
      </c>
      <c r="E193" s="644">
        <v>0</v>
      </c>
      <c r="F193" s="644">
        <v>0</v>
      </c>
      <c r="G193" s="644">
        <v>20448828.055043999</v>
      </c>
      <c r="H193" s="644">
        <v>934907</v>
      </c>
      <c r="I193" s="644">
        <f>AU193-H193</f>
        <v>0</v>
      </c>
      <c r="J193" s="644">
        <f t="shared" si="591"/>
        <v>934907</v>
      </c>
      <c r="K193" s="644">
        <v>18352706.350000001</v>
      </c>
      <c r="L193" s="644">
        <v>0</v>
      </c>
      <c r="M193" s="644">
        <v>0</v>
      </c>
      <c r="N193" s="644">
        <v>0</v>
      </c>
      <c r="O193" s="645">
        <v>0</v>
      </c>
      <c r="P193" s="645">
        <v>0</v>
      </c>
      <c r="Q193" s="644">
        <v>0</v>
      </c>
      <c r="R193" s="645">
        <v>0</v>
      </c>
      <c r="S193" s="645">
        <v>0</v>
      </c>
      <c r="T193" s="644">
        <v>0</v>
      </c>
      <c r="U193" s="645">
        <v>0</v>
      </c>
      <c r="V193" s="645">
        <v>0</v>
      </c>
      <c r="W193" s="644">
        <v>0</v>
      </c>
      <c r="X193" s="645">
        <v>0</v>
      </c>
      <c r="Y193" s="645">
        <v>0</v>
      </c>
      <c r="Z193" s="644">
        <v>0</v>
      </c>
      <c r="AA193" s="645">
        <v>0</v>
      </c>
      <c r="AB193" s="645">
        <v>0</v>
      </c>
      <c r="AC193" s="644">
        <v>0</v>
      </c>
      <c r="AD193" s="645">
        <v>0</v>
      </c>
      <c r="AE193" s="645">
        <v>0</v>
      </c>
      <c r="AF193" s="644">
        <v>0</v>
      </c>
      <c r="AG193" s="645">
        <v>0</v>
      </c>
      <c r="AH193" s="645">
        <v>0</v>
      </c>
      <c r="AI193" s="644">
        <v>0</v>
      </c>
      <c r="AJ193" s="645">
        <v>0</v>
      </c>
      <c r="AK193" s="645">
        <v>0</v>
      </c>
      <c r="AL193" s="644">
        <v>0</v>
      </c>
      <c r="AM193" s="645">
        <v>0</v>
      </c>
      <c r="AN193" s="645">
        <v>0</v>
      </c>
      <c r="AO193" s="644">
        <v>0</v>
      </c>
      <c r="AP193" s="645">
        <v>0</v>
      </c>
      <c r="AQ193" s="645">
        <v>0</v>
      </c>
      <c r="AR193" s="644">
        <v>0</v>
      </c>
      <c r="AS193" s="645">
        <v>934907</v>
      </c>
      <c r="AT193" s="645">
        <v>0</v>
      </c>
      <c r="AU193" s="644">
        <v>934907</v>
      </c>
      <c r="AV193" s="645">
        <v>0</v>
      </c>
      <c r="AW193" s="670"/>
      <c r="AX193" s="645">
        <v>1161215</v>
      </c>
      <c r="AY193" s="645">
        <v>0</v>
      </c>
      <c r="AZ193" s="644">
        <v>1161215</v>
      </c>
      <c r="BA193" s="645">
        <v>0</v>
      </c>
      <c r="BB193" s="670"/>
      <c r="BC193" s="645">
        <v>0</v>
      </c>
      <c r="BD193" s="645">
        <v>0</v>
      </c>
      <c r="BE193" s="644">
        <v>0</v>
      </c>
      <c r="BF193" s="645">
        <v>0</v>
      </c>
      <c r="BG193" s="645"/>
      <c r="BH193" s="646">
        <v>2096122</v>
      </c>
      <c r="BI193" s="646">
        <v>0</v>
      </c>
      <c r="BJ193" s="644">
        <v>2096122</v>
      </c>
      <c r="BK193" s="644">
        <v>0</v>
      </c>
      <c r="BL193" s="610"/>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row>
    <row r="194" spans="1:179" s="554" customFormat="1" ht="58.5">
      <c r="A194" s="553" t="s">
        <v>132</v>
      </c>
      <c r="B194" s="553" t="s">
        <v>288</v>
      </c>
      <c r="C194" s="644">
        <v>100079289.59999999</v>
      </c>
      <c r="D194" s="644">
        <v>100079289.59999999</v>
      </c>
      <c r="E194" s="644">
        <v>0</v>
      </c>
      <c r="F194" s="644">
        <v>0</v>
      </c>
      <c r="G194" s="644">
        <v>100079289.59999999</v>
      </c>
      <c r="H194" s="644">
        <v>0</v>
      </c>
      <c r="I194" s="644">
        <f>AU194-H194</f>
        <v>0</v>
      </c>
      <c r="J194" s="644">
        <f t="shared" si="591"/>
        <v>0</v>
      </c>
      <c r="K194" s="644">
        <v>0</v>
      </c>
      <c r="L194" s="644">
        <v>0</v>
      </c>
      <c r="M194" s="644">
        <v>0</v>
      </c>
      <c r="N194" s="644">
        <f t="shared" si="562"/>
        <v>0</v>
      </c>
      <c r="O194" s="645">
        <v>0</v>
      </c>
      <c r="P194" s="645">
        <v>0</v>
      </c>
      <c r="Q194" s="644">
        <f t="shared" si="563"/>
        <v>0</v>
      </c>
      <c r="R194" s="645">
        <v>0</v>
      </c>
      <c r="S194" s="645">
        <v>0</v>
      </c>
      <c r="T194" s="644">
        <f t="shared" si="564"/>
        <v>0</v>
      </c>
      <c r="U194" s="645">
        <v>0</v>
      </c>
      <c r="V194" s="645">
        <v>0</v>
      </c>
      <c r="W194" s="644">
        <f t="shared" si="565"/>
        <v>0</v>
      </c>
      <c r="X194" s="645">
        <v>0</v>
      </c>
      <c r="Y194" s="645">
        <v>0</v>
      </c>
      <c r="Z194" s="644">
        <f t="shared" si="566"/>
        <v>0</v>
      </c>
      <c r="AA194" s="645">
        <v>0</v>
      </c>
      <c r="AB194" s="645">
        <v>0</v>
      </c>
      <c r="AC194" s="644">
        <f t="shared" si="567"/>
        <v>0</v>
      </c>
      <c r="AD194" s="645">
        <v>0</v>
      </c>
      <c r="AE194" s="645">
        <v>0</v>
      </c>
      <c r="AF194" s="644">
        <f t="shared" si="568"/>
        <v>0</v>
      </c>
      <c r="AG194" s="645">
        <v>0</v>
      </c>
      <c r="AH194" s="645">
        <v>0</v>
      </c>
      <c r="AI194" s="644">
        <f t="shared" si="569"/>
        <v>0</v>
      </c>
      <c r="AJ194" s="645">
        <v>0</v>
      </c>
      <c r="AK194" s="645">
        <v>0</v>
      </c>
      <c r="AL194" s="644">
        <f t="shared" si="570"/>
        <v>0</v>
      </c>
      <c r="AM194" s="645">
        <v>0</v>
      </c>
      <c r="AN194" s="645">
        <v>0</v>
      </c>
      <c r="AO194" s="644">
        <f t="shared" si="571"/>
        <v>0</v>
      </c>
      <c r="AP194" s="645">
        <v>0</v>
      </c>
      <c r="AQ194" s="645">
        <v>0</v>
      </c>
      <c r="AR194" s="644">
        <f t="shared" si="572"/>
        <v>0</v>
      </c>
      <c r="AS194" s="645">
        <v>0</v>
      </c>
      <c r="AT194" s="645">
        <v>0</v>
      </c>
      <c r="AU194" s="644">
        <f t="shared" si="573"/>
        <v>0</v>
      </c>
      <c r="AV194" s="645">
        <v>0</v>
      </c>
      <c r="AW194" s="670"/>
      <c r="AX194" s="645">
        <v>0</v>
      </c>
      <c r="AY194" s="645">
        <v>0</v>
      </c>
      <c r="AZ194" s="644">
        <f t="shared" si="574"/>
        <v>0</v>
      </c>
      <c r="BA194" s="645">
        <v>0</v>
      </c>
      <c r="BB194" s="670"/>
      <c r="BC194" s="645">
        <v>0</v>
      </c>
      <c r="BD194" s="645">
        <v>0</v>
      </c>
      <c r="BE194" s="644">
        <f t="shared" si="575"/>
        <v>0</v>
      </c>
      <c r="BF194" s="645">
        <v>0</v>
      </c>
      <c r="BG194" s="645"/>
      <c r="BH194" s="645">
        <f t="shared" ref="BH194:BI194" si="592">AS194+AX194+BC194</f>
        <v>0</v>
      </c>
      <c r="BI194" s="645">
        <f t="shared" si="592"/>
        <v>0</v>
      </c>
      <c r="BJ194" s="644">
        <f t="shared" si="577"/>
        <v>0</v>
      </c>
      <c r="BK194" s="644">
        <f t="shared" si="468"/>
        <v>0</v>
      </c>
      <c r="BL194" s="610"/>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row>
    <row r="195" spans="1:179" s="5" customFormat="1">
      <c r="A195" s="523"/>
      <c r="B195" s="524" t="s">
        <v>287</v>
      </c>
      <c r="C195" s="621">
        <f t="shared" ref="C195:J195" si="593">SUM(C196:C200)</f>
        <v>76696099.525271997</v>
      </c>
      <c r="D195" s="621">
        <f t="shared" si="593"/>
        <v>76696099.525271997</v>
      </c>
      <c r="E195" s="621">
        <f t="shared" si="593"/>
        <v>0</v>
      </c>
      <c r="F195" s="621">
        <f t="shared" si="593"/>
        <v>0</v>
      </c>
      <c r="G195" s="621">
        <f t="shared" si="593"/>
        <v>76696099.525271997</v>
      </c>
      <c r="H195" s="621">
        <f t="shared" si="593"/>
        <v>19516612</v>
      </c>
      <c r="I195" s="621">
        <f t="shared" si="593"/>
        <v>3455977</v>
      </c>
      <c r="J195" s="621">
        <f t="shared" si="593"/>
        <v>22972589</v>
      </c>
      <c r="K195" s="621">
        <f t="shared" ref="K195:BJ195" si="594">SUM(K196:K200)</f>
        <v>22501090.289999999</v>
      </c>
      <c r="L195" s="621">
        <f t="shared" si="594"/>
        <v>556991.49</v>
      </c>
      <c r="M195" s="621">
        <f t="shared" si="594"/>
        <v>0</v>
      </c>
      <c r="N195" s="621">
        <f t="shared" si="594"/>
        <v>556991.49</v>
      </c>
      <c r="O195" s="621">
        <f t="shared" si="594"/>
        <v>1641104.49</v>
      </c>
      <c r="P195" s="621">
        <f t="shared" si="594"/>
        <v>0</v>
      </c>
      <c r="Q195" s="621">
        <f t="shared" ref="Q195" si="595">SUM(Q196:Q200)</f>
        <v>1641104.49</v>
      </c>
      <c r="R195" s="621">
        <f t="shared" si="594"/>
        <v>1985393</v>
      </c>
      <c r="S195" s="621">
        <f t="shared" si="594"/>
        <v>0</v>
      </c>
      <c r="T195" s="621">
        <f t="shared" ref="T195" si="596">SUM(T196:T200)</f>
        <v>1985393</v>
      </c>
      <c r="U195" s="621">
        <f t="shared" ref="U195:BA195" si="597">SUM(U196:U200)</f>
        <v>4715738</v>
      </c>
      <c r="V195" s="621">
        <f t="shared" si="594"/>
        <v>0</v>
      </c>
      <c r="W195" s="621">
        <f t="shared" ref="W195" si="598">SUM(W196:W200)</f>
        <v>4715738</v>
      </c>
      <c r="X195" s="621">
        <f t="shared" si="594"/>
        <v>6347969</v>
      </c>
      <c r="Y195" s="621">
        <f t="shared" si="594"/>
        <v>0</v>
      </c>
      <c r="Z195" s="621">
        <f t="shared" ref="Z195" si="599">SUM(Z196:Z200)</f>
        <v>6347969</v>
      </c>
      <c r="AA195" s="621">
        <f t="shared" si="594"/>
        <v>7291797</v>
      </c>
      <c r="AB195" s="621">
        <f t="shared" si="597"/>
        <v>0</v>
      </c>
      <c r="AC195" s="621">
        <f t="shared" si="597"/>
        <v>7291797</v>
      </c>
      <c r="AD195" s="621">
        <f t="shared" si="594"/>
        <v>12426351</v>
      </c>
      <c r="AE195" s="621">
        <f t="shared" si="594"/>
        <v>0</v>
      </c>
      <c r="AF195" s="621">
        <f t="shared" ref="AF195" si="600">SUM(AF196:AF200)</f>
        <v>12426351</v>
      </c>
      <c r="AG195" s="621">
        <f t="shared" si="594"/>
        <v>13250239</v>
      </c>
      <c r="AH195" s="621">
        <f t="shared" si="594"/>
        <v>0</v>
      </c>
      <c r="AI195" s="621">
        <f t="shared" ref="AI195" si="601">SUM(AI196:AI200)</f>
        <v>13250239</v>
      </c>
      <c r="AJ195" s="621">
        <f t="shared" si="594"/>
        <v>15468370</v>
      </c>
      <c r="AK195" s="621">
        <f t="shared" si="594"/>
        <v>0</v>
      </c>
      <c r="AL195" s="621">
        <f t="shared" ref="AL195" si="602">SUM(AL196:AL200)</f>
        <v>15468370</v>
      </c>
      <c r="AM195" s="621">
        <f t="shared" si="594"/>
        <v>16916145</v>
      </c>
      <c r="AN195" s="621">
        <f t="shared" si="594"/>
        <v>0</v>
      </c>
      <c r="AO195" s="621">
        <f t="shared" ref="AO195" si="603">SUM(AO196:AO200)</f>
        <v>16916145</v>
      </c>
      <c r="AP195" s="621">
        <f t="shared" si="597"/>
        <v>17703963</v>
      </c>
      <c r="AQ195" s="621">
        <f t="shared" si="594"/>
        <v>0</v>
      </c>
      <c r="AR195" s="621">
        <f t="shared" ref="AR195" si="604">SUM(AR196:AR200)</f>
        <v>17703963</v>
      </c>
      <c r="AS195" s="621">
        <f t="shared" si="594"/>
        <v>19096369.161399998</v>
      </c>
      <c r="AT195" s="621">
        <f t="shared" si="594"/>
        <v>0</v>
      </c>
      <c r="AU195" s="621">
        <f t="shared" ref="AU195:AV195" si="605">SUM(AU196:AU200)</f>
        <v>19096369.161399998</v>
      </c>
      <c r="AV195" s="621">
        <f t="shared" si="605"/>
        <v>420242.83860000002</v>
      </c>
      <c r="AW195" s="653"/>
      <c r="AX195" s="621">
        <f t="shared" si="594"/>
        <v>14593084.3651</v>
      </c>
      <c r="AY195" s="621">
        <f t="shared" si="597"/>
        <v>0</v>
      </c>
      <c r="AZ195" s="621">
        <f t="shared" si="597"/>
        <v>14593084.3651</v>
      </c>
      <c r="BA195" s="621">
        <f t="shared" si="597"/>
        <v>537464.29489999998</v>
      </c>
      <c r="BB195" s="653"/>
      <c r="BC195" s="621">
        <f t="shared" si="594"/>
        <v>18219057.027646799</v>
      </c>
      <c r="BD195" s="621">
        <f t="shared" si="594"/>
        <v>0</v>
      </c>
      <c r="BE195" s="621">
        <f t="shared" si="594"/>
        <v>18219057.027646799</v>
      </c>
      <c r="BF195" s="621">
        <f t="shared" si="594"/>
        <v>744401.58797720599</v>
      </c>
      <c r="BG195" s="621"/>
      <c r="BH195" s="621">
        <f t="shared" si="594"/>
        <v>51908510.554146796</v>
      </c>
      <c r="BI195" s="621">
        <f t="shared" si="594"/>
        <v>0</v>
      </c>
      <c r="BJ195" s="621">
        <f t="shared" si="594"/>
        <v>51908510.554146796</v>
      </c>
      <c r="BK195" s="621">
        <f t="shared" si="468"/>
        <v>1702108.7214772059</v>
      </c>
      <c r="BL195" s="599"/>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row>
    <row r="196" spans="1:179" s="9" customFormat="1" ht="84" customHeight="1">
      <c r="A196" s="672" t="s">
        <v>150</v>
      </c>
      <c r="B196" s="672" t="s">
        <v>286</v>
      </c>
      <c r="C196" s="673">
        <v>54746209.333751999</v>
      </c>
      <c r="D196" s="673">
        <v>54746209.333751999</v>
      </c>
      <c r="E196" s="673">
        <v>0</v>
      </c>
      <c r="F196" s="673">
        <v>0</v>
      </c>
      <c r="G196" s="673">
        <v>54746209.333751999</v>
      </c>
      <c r="H196" s="673">
        <v>10427862</v>
      </c>
      <c r="I196" s="673">
        <v>3455977</v>
      </c>
      <c r="J196" s="673">
        <f t="shared" ref="J196" si="606">H196+I196</f>
        <v>13883839</v>
      </c>
      <c r="K196" s="673">
        <v>12510260.91</v>
      </c>
      <c r="L196" s="673">
        <v>556991.49</v>
      </c>
      <c r="M196" s="673">
        <v>0</v>
      </c>
      <c r="N196" s="673">
        <f>L196+M196</f>
        <v>556991.49</v>
      </c>
      <c r="O196" s="674">
        <f>L196+337318</f>
        <v>894309.49</v>
      </c>
      <c r="P196" s="674">
        <f t="shared" ref="P196" si="607">M196</f>
        <v>0</v>
      </c>
      <c r="Q196" s="674">
        <f>O196+P196</f>
        <v>894309.49</v>
      </c>
      <c r="R196" s="674">
        <f>O196+579646-235357.49</f>
        <v>1238598</v>
      </c>
      <c r="S196" s="674">
        <f t="shared" ref="S196" si="608">P196</f>
        <v>0</v>
      </c>
      <c r="T196" s="674">
        <f>R196+S196</f>
        <v>1238598</v>
      </c>
      <c r="U196" s="674">
        <f>R196+1290345</f>
        <v>2528943</v>
      </c>
      <c r="V196" s="674">
        <f t="shared" ref="V196" si="609">S196</f>
        <v>0</v>
      </c>
      <c r="W196" s="674">
        <f>U196+V196</f>
        <v>2528943</v>
      </c>
      <c r="X196" s="674">
        <f>U196+610973</f>
        <v>3139916</v>
      </c>
      <c r="Y196" s="674">
        <f t="shared" ref="Y196" si="610">V196</f>
        <v>0</v>
      </c>
      <c r="Z196" s="674">
        <f>X196+Y196</f>
        <v>3139916</v>
      </c>
      <c r="AA196" s="674">
        <f>X196+943828</f>
        <v>4083744</v>
      </c>
      <c r="AB196" s="674">
        <f t="shared" ref="AB196" si="611">Y196</f>
        <v>0</v>
      </c>
      <c r="AC196" s="674">
        <f>AA196+AB196</f>
        <v>4083744</v>
      </c>
      <c r="AD196" s="674">
        <f>AA196+1134554</f>
        <v>5218298</v>
      </c>
      <c r="AE196" s="674">
        <f t="shared" ref="AE196" si="612">AB196</f>
        <v>0</v>
      </c>
      <c r="AF196" s="674">
        <f>AD196+AE196</f>
        <v>5218298</v>
      </c>
      <c r="AG196" s="674">
        <f>AD196+823888</f>
        <v>6042186</v>
      </c>
      <c r="AH196" s="674">
        <f t="shared" ref="AH196" si="613">AE196</f>
        <v>0</v>
      </c>
      <c r="AI196" s="674">
        <f>AG196+AH196</f>
        <v>6042186</v>
      </c>
      <c r="AJ196" s="674">
        <f>AG196+778131</f>
        <v>6820317</v>
      </c>
      <c r="AK196" s="674">
        <f t="shared" ref="AK196" si="614">AH196</f>
        <v>0</v>
      </c>
      <c r="AL196" s="674">
        <f>AJ196+AK196</f>
        <v>6820317</v>
      </c>
      <c r="AM196" s="674">
        <f>AJ196+1447775</f>
        <v>8268092</v>
      </c>
      <c r="AN196" s="674">
        <f t="shared" ref="AN196" si="615">AK196</f>
        <v>0</v>
      </c>
      <c r="AO196" s="674">
        <f>AM196+AN196</f>
        <v>8268092</v>
      </c>
      <c r="AP196" s="674">
        <f>AM196+787818</f>
        <v>9055910</v>
      </c>
      <c r="AQ196" s="674">
        <f t="shared" ref="AQ196" si="616">AN196</f>
        <v>0</v>
      </c>
      <c r="AR196" s="674">
        <f>AP196+AQ196</f>
        <v>9055910</v>
      </c>
      <c r="AS196" s="674">
        <f>AP196+1371952-420242.8386</f>
        <v>10007619.1614</v>
      </c>
      <c r="AT196" s="674">
        <f t="shared" ref="AT196" si="617">AQ196</f>
        <v>0</v>
      </c>
      <c r="AU196" s="674">
        <f>AS196+AT196</f>
        <v>10007619.1614</v>
      </c>
      <c r="AV196" s="674">
        <v>420242.83860000002</v>
      </c>
      <c r="AW196" s="673" t="s">
        <v>1497</v>
      </c>
      <c r="AX196" s="674">
        <f>13070814.91+265768.09-537464.2949</f>
        <v>12799118.7051</v>
      </c>
      <c r="AY196" s="674">
        <v>0</v>
      </c>
      <c r="AZ196" s="674">
        <f>AX196+AY196</f>
        <v>12799118.7051</v>
      </c>
      <c r="BA196" s="674">
        <v>537464.29489999998</v>
      </c>
      <c r="BB196" s="673" t="s">
        <v>1497</v>
      </c>
      <c r="BC196" s="675">
        <f>1073332.19+17398171.233752-744401.587977206</f>
        <v>17727101.835774798</v>
      </c>
      <c r="BD196" s="675">
        <v>0</v>
      </c>
      <c r="BE196" s="675">
        <f>BC196+BD196</f>
        <v>17727101.835774798</v>
      </c>
      <c r="BF196" s="675">
        <v>744401.58797720599</v>
      </c>
      <c r="BG196" s="673" t="s">
        <v>1497</v>
      </c>
      <c r="BH196" s="678">
        <f t="shared" ref="BH196:BI196" si="618">AS196+AX196+BC196</f>
        <v>40533839.702274799</v>
      </c>
      <c r="BI196" s="678">
        <f t="shared" si="618"/>
        <v>0</v>
      </c>
      <c r="BJ196" s="678">
        <f>BH196+BI196</f>
        <v>40533839.702274799</v>
      </c>
      <c r="BK196" s="679">
        <f t="shared" si="468"/>
        <v>1702108.7214772059</v>
      </c>
      <c r="BL196" s="680"/>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row>
    <row r="197" spans="1:179" s="9" customFormat="1" ht="97.5" hidden="1" outlineLevel="1">
      <c r="A197" s="522" t="s">
        <v>149</v>
      </c>
      <c r="B197" s="522" t="s">
        <v>285</v>
      </c>
      <c r="C197" s="618">
        <v>584389.95964799996</v>
      </c>
      <c r="D197" s="618">
        <v>584389.95964799996</v>
      </c>
      <c r="E197" s="618">
        <v>0</v>
      </c>
      <c r="F197" s="618">
        <v>0</v>
      </c>
      <c r="G197" s="618">
        <v>584389.95964799996</v>
      </c>
      <c r="H197" s="618">
        <v>0</v>
      </c>
      <c r="I197" s="618">
        <v>0</v>
      </c>
      <c r="J197" s="618">
        <f t="shared" ref="J197:J200" si="619">H197+I197</f>
        <v>0</v>
      </c>
      <c r="K197" s="618">
        <v>0</v>
      </c>
      <c r="L197" s="618"/>
      <c r="M197" s="618"/>
      <c r="N197" s="618">
        <f t="shared" si="562"/>
        <v>0</v>
      </c>
      <c r="O197" s="619"/>
      <c r="P197" s="619"/>
      <c r="Q197" s="618">
        <f t="shared" si="563"/>
        <v>0</v>
      </c>
      <c r="R197" s="619"/>
      <c r="S197" s="619"/>
      <c r="T197" s="618">
        <f t="shared" si="564"/>
        <v>0</v>
      </c>
      <c r="U197" s="619"/>
      <c r="V197" s="619"/>
      <c r="W197" s="618">
        <f t="shared" si="565"/>
        <v>0</v>
      </c>
      <c r="X197" s="619"/>
      <c r="Y197" s="619"/>
      <c r="Z197" s="618">
        <f t="shared" si="566"/>
        <v>0</v>
      </c>
      <c r="AA197" s="619"/>
      <c r="AB197" s="619"/>
      <c r="AC197" s="618">
        <f t="shared" si="567"/>
        <v>0</v>
      </c>
      <c r="AD197" s="619"/>
      <c r="AE197" s="619"/>
      <c r="AF197" s="618">
        <f t="shared" si="568"/>
        <v>0</v>
      </c>
      <c r="AG197" s="619"/>
      <c r="AH197" s="619"/>
      <c r="AI197" s="618">
        <f t="shared" si="569"/>
        <v>0</v>
      </c>
      <c r="AJ197" s="619"/>
      <c r="AK197" s="619"/>
      <c r="AL197" s="618">
        <f t="shared" si="570"/>
        <v>0</v>
      </c>
      <c r="AM197" s="619"/>
      <c r="AN197" s="619"/>
      <c r="AO197" s="618">
        <f t="shared" si="571"/>
        <v>0</v>
      </c>
      <c r="AP197" s="619"/>
      <c r="AQ197" s="619"/>
      <c r="AR197" s="618">
        <f t="shared" si="572"/>
        <v>0</v>
      </c>
      <c r="AS197" s="619"/>
      <c r="AT197" s="619"/>
      <c r="AU197" s="618">
        <f t="shared" si="573"/>
        <v>0</v>
      </c>
      <c r="AV197" s="619"/>
      <c r="AW197" s="654"/>
      <c r="AX197" s="619"/>
      <c r="AY197" s="619"/>
      <c r="AZ197" s="618">
        <f t="shared" si="574"/>
        <v>0</v>
      </c>
      <c r="BA197" s="619"/>
      <c r="BB197" s="654"/>
      <c r="BC197" s="619"/>
      <c r="BD197" s="619"/>
      <c r="BE197" s="618">
        <f t="shared" si="575"/>
        <v>0</v>
      </c>
      <c r="BF197" s="619"/>
      <c r="BG197" s="619"/>
      <c r="BH197" s="642"/>
      <c r="BI197" s="642"/>
      <c r="BJ197" s="618">
        <f t="shared" si="577"/>
        <v>0</v>
      </c>
      <c r="BK197" s="618">
        <f t="shared" si="468"/>
        <v>0</v>
      </c>
      <c r="BL197" s="605" t="s">
        <v>1498</v>
      </c>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row>
    <row r="198" spans="1:179" s="9" customFormat="1" ht="117.75" customHeight="1" collapsed="1">
      <c r="A198" s="522" t="s">
        <v>133</v>
      </c>
      <c r="B198" s="522" t="s">
        <v>284</v>
      </c>
      <c r="C198" s="618">
        <v>21365500.231872</v>
      </c>
      <c r="D198" s="618">
        <v>21365500.231872</v>
      </c>
      <c r="E198" s="618">
        <v>0</v>
      </c>
      <c r="F198" s="618">
        <v>0</v>
      </c>
      <c r="G198" s="618">
        <v>21365500.231872</v>
      </c>
      <c r="H198" s="618">
        <v>9088750</v>
      </c>
      <c r="I198" s="618">
        <v>0</v>
      </c>
      <c r="J198" s="618">
        <f t="shared" si="619"/>
        <v>9088750</v>
      </c>
      <c r="K198" s="618">
        <v>9990829.3800000008</v>
      </c>
      <c r="L198" s="618">
        <v>0</v>
      </c>
      <c r="M198" s="618">
        <v>0</v>
      </c>
      <c r="N198" s="618">
        <f t="shared" si="562"/>
        <v>0</v>
      </c>
      <c r="O198" s="619">
        <f>L198+746795</f>
        <v>746795</v>
      </c>
      <c r="P198" s="619">
        <f t="shared" ref="P198" si="620">M198</f>
        <v>0</v>
      </c>
      <c r="Q198" s="618">
        <f t="shared" si="563"/>
        <v>746795</v>
      </c>
      <c r="R198" s="619">
        <f t="shared" ref="R198:S198" si="621">O198</f>
        <v>746795</v>
      </c>
      <c r="S198" s="619">
        <f t="shared" si="621"/>
        <v>0</v>
      </c>
      <c r="T198" s="618">
        <f t="shared" si="564"/>
        <v>746795</v>
      </c>
      <c r="U198" s="619">
        <f>R198+1440000</f>
        <v>2186795</v>
      </c>
      <c r="V198" s="619">
        <f t="shared" ref="V198" si="622">S198</f>
        <v>0</v>
      </c>
      <c r="W198" s="618">
        <f t="shared" si="565"/>
        <v>2186795</v>
      </c>
      <c r="X198" s="619">
        <f>U198+1021258</f>
        <v>3208053</v>
      </c>
      <c r="Y198" s="619">
        <f t="shared" ref="Y198" si="623">V198</f>
        <v>0</v>
      </c>
      <c r="Z198" s="618">
        <f t="shared" si="566"/>
        <v>3208053</v>
      </c>
      <c r="AA198" s="619">
        <f t="shared" ref="AA198:AB198" si="624">X198</f>
        <v>3208053</v>
      </c>
      <c r="AB198" s="619">
        <f t="shared" si="624"/>
        <v>0</v>
      </c>
      <c r="AC198" s="618">
        <f t="shared" si="567"/>
        <v>3208053</v>
      </c>
      <c r="AD198" s="619">
        <f>AA198+4000000</f>
        <v>7208053</v>
      </c>
      <c r="AE198" s="619">
        <f t="shared" ref="AE198" si="625">AB198</f>
        <v>0</v>
      </c>
      <c r="AF198" s="618">
        <f t="shared" si="568"/>
        <v>7208053</v>
      </c>
      <c r="AG198" s="619">
        <f t="shared" ref="AG198:AH198" si="626">AD198</f>
        <v>7208053</v>
      </c>
      <c r="AH198" s="619">
        <f t="shared" si="626"/>
        <v>0</v>
      </c>
      <c r="AI198" s="618">
        <f t="shared" si="569"/>
        <v>7208053</v>
      </c>
      <c r="AJ198" s="619">
        <f>AG198+1440000</f>
        <v>8648053</v>
      </c>
      <c r="AK198" s="619">
        <f t="shared" ref="AK198" si="627">AH198</f>
        <v>0</v>
      </c>
      <c r="AL198" s="618">
        <f t="shared" si="570"/>
        <v>8648053</v>
      </c>
      <c r="AM198" s="619">
        <f t="shared" ref="AM198:AN198" si="628">AJ198</f>
        <v>8648053</v>
      </c>
      <c r="AN198" s="619">
        <f t="shared" si="628"/>
        <v>0</v>
      </c>
      <c r="AO198" s="618">
        <f t="shared" si="571"/>
        <v>8648053</v>
      </c>
      <c r="AP198" s="619">
        <f t="shared" ref="AP198:AQ198" si="629">AM198</f>
        <v>8648053</v>
      </c>
      <c r="AQ198" s="619">
        <f t="shared" si="629"/>
        <v>0</v>
      </c>
      <c r="AR198" s="618">
        <f t="shared" si="572"/>
        <v>8648053</v>
      </c>
      <c r="AS198" s="619">
        <f>AP198+440697</f>
        <v>9088750</v>
      </c>
      <c r="AT198" s="619">
        <f t="shared" ref="AT198" si="630">AQ198</f>
        <v>0</v>
      </c>
      <c r="AU198" s="618">
        <f t="shared" si="573"/>
        <v>9088750</v>
      </c>
      <c r="AV198" s="619"/>
      <c r="AW198" s="654"/>
      <c r="AX198" s="619">
        <v>1793965.66</v>
      </c>
      <c r="AY198" s="619">
        <v>0</v>
      </c>
      <c r="AZ198" s="618">
        <f t="shared" si="574"/>
        <v>1793965.66</v>
      </c>
      <c r="BA198" s="619"/>
      <c r="BB198" s="654"/>
      <c r="BC198" s="619">
        <v>491955.19187199901</v>
      </c>
      <c r="BD198" s="619"/>
      <c r="BE198" s="618">
        <f t="shared" si="575"/>
        <v>491955.19187199901</v>
      </c>
      <c r="BF198" s="619"/>
      <c r="BG198" s="619"/>
      <c r="BH198" s="642">
        <f t="shared" ref="BH198:BI198" si="631">AS198+AX198+BC198</f>
        <v>11374670.851871999</v>
      </c>
      <c r="BI198" s="642">
        <f t="shared" si="631"/>
        <v>0</v>
      </c>
      <c r="BJ198" s="618">
        <f t="shared" si="577"/>
        <v>11374670.851871999</v>
      </c>
      <c r="BK198" s="618">
        <f t="shared" si="468"/>
        <v>0</v>
      </c>
      <c r="BL198" s="604"/>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row>
    <row r="199" spans="1:179" s="9" customFormat="1" ht="48.75" hidden="1" customHeight="1" outlineLevel="1">
      <c r="A199" s="522" t="s">
        <v>134</v>
      </c>
      <c r="B199" s="522" t="s">
        <v>283</v>
      </c>
      <c r="C199" s="618">
        <v>0</v>
      </c>
      <c r="D199" s="618">
        <v>0</v>
      </c>
      <c r="E199" s="618">
        <v>0</v>
      </c>
      <c r="F199" s="618">
        <v>0</v>
      </c>
      <c r="G199" s="618">
        <v>0</v>
      </c>
      <c r="H199" s="618">
        <v>0</v>
      </c>
      <c r="I199" s="618">
        <v>0</v>
      </c>
      <c r="J199" s="618">
        <f t="shared" si="619"/>
        <v>0</v>
      </c>
      <c r="K199" s="618">
        <v>0</v>
      </c>
      <c r="L199" s="618"/>
      <c r="M199" s="618"/>
      <c r="N199" s="618">
        <f t="shared" si="562"/>
        <v>0</v>
      </c>
      <c r="O199" s="619"/>
      <c r="P199" s="619"/>
      <c r="Q199" s="618">
        <f t="shared" si="563"/>
        <v>0</v>
      </c>
      <c r="R199" s="619"/>
      <c r="S199" s="619"/>
      <c r="T199" s="618">
        <f t="shared" si="564"/>
        <v>0</v>
      </c>
      <c r="U199" s="619"/>
      <c r="V199" s="619"/>
      <c r="W199" s="618">
        <f t="shared" si="565"/>
        <v>0</v>
      </c>
      <c r="X199" s="619"/>
      <c r="Y199" s="619"/>
      <c r="Z199" s="618">
        <f t="shared" si="566"/>
        <v>0</v>
      </c>
      <c r="AA199" s="619"/>
      <c r="AB199" s="619"/>
      <c r="AC199" s="618">
        <f t="shared" si="567"/>
        <v>0</v>
      </c>
      <c r="AD199" s="619"/>
      <c r="AE199" s="619"/>
      <c r="AF199" s="618">
        <f t="shared" si="568"/>
        <v>0</v>
      </c>
      <c r="AG199" s="619"/>
      <c r="AH199" s="619"/>
      <c r="AI199" s="618">
        <f t="shared" si="569"/>
        <v>0</v>
      </c>
      <c r="AJ199" s="619"/>
      <c r="AK199" s="619"/>
      <c r="AL199" s="618">
        <f t="shared" si="570"/>
        <v>0</v>
      </c>
      <c r="AM199" s="619"/>
      <c r="AN199" s="619"/>
      <c r="AO199" s="618">
        <f t="shared" si="571"/>
        <v>0</v>
      </c>
      <c r="AP199" s="619"/>
      <c r="AQ199" s="619"/>
      <c r="AR199" s="618">
        <f t="shared" si="572"/>
        <v>0</v>
      </c>
      <c r="AS199" s="619"/>
      <c r="AT199" s="619"/>
      <c r="AU199" s="618">
        <f t="shared" si="573"/>
        <v>0</v>
      </c>
      <c r="AV199" s="619"/>
      <c r="AW199" s="654"/>
      <c r="AX199" s="619"/>
      <c r="AY199" s="619"/>
      <c r="AZ199" s="618">
        <f t="shared" si="574"/>
        <v>0</v>
      </c>
      <c r="BA199" s="619"/>
      <c r="BB199" s="654"/>
      <c r="BC199" s="619"/>
      <c r="BD199" s="619"/>
      <c r="BE199" s="618">
        <f t="shared" si="575"/>
        <v>0</v>
      </c>
      <c r="BF199" s="619"/>
      <c r="BG199" s="619"/>
      <c r="BH199" s="642"/>
      <c r="BI199" s="642"/>
      <c r="BJ199" s="618">
        <f t="shared" si="577"/>
        <v>0</v>
      </c>
      <c r="BK199" s="618">
        <f t="shared" si="468"/>
        <v>0</v>
      </c>
      <c r="BL199" s="604"/>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row>
    <row r="200" spans="1:179" s="9" customFormat="1" ht="78" hidden="1" outlineLevel="1">
      <c r="A200" s="522" t="s">
        <v>135</v>
      </c>
      <c r="B200" s="522" t="s">
        <v>282</v>
      </c>
      <c r="C200" s="618">
        <v>0</v>
      </c>
      <c r="D200" s="618">
        <v>0</v>
      </c>
      <c r="E200" s="618">
        <v>0</v>
      </c>
      <c r="F200" s="618">
        <v>0</v>
      </c>
      <c r="G200" s="618">
        <v>0</v>
      </c>
      <c r="H200" s="618">
        <v>0</v>
      </c>
      <c r="I200" s="618">
        <v>0</v>
      </c>
      <c r="J200" s="618">
        <f t="shared" si="619"/>
        <v>0</v>
      </c>
      <c r="K200" s="618">
        <v>0</v>
      </c>
      <c r="L200" s="618"/>
      <c r="M200" s="618"/>
      <c r="N200" s="618">
        <f t="shared" si="562"/>
        <v>0</v>
      </c>
      <c r="O200" s="619"/>
      <c r="P200" s="619"/>
      <c r="Q200" s="618">
        <f t="shared" si="563"/>
        <v>0</v>
      </c>
      <c r="R200" s="619"/>
      <c r="S200" s="619"/>
      <c r="T200" s="618">
        <f t="shared" si="564"/>
        <v>0</v>
      </c>
      <c r="U200" s="619"/>
      <c r="V200" s="619"/>
      <c r="W200" s="618">
        <f t="shared" si="565"/>
        <v>0</v>
      </c>
      <c r="X200" s="619"/>
      <c r="Y200" s="619"/>
      <c r="Z200" s="618">
        <f t="shared" si="566"/>
        <v>0</v>
      </c>
      <c r="AA200" s="619"/>
      <c r="AB200" s="619"/>
      <c r="AC200" s="618">
        <f t="shared" si="567"/>
        <v>0</v>
      </c>
      <c r="AD200" s="619"/>
      <c r="AE200" s="619"/>
      <c r="AF200" s="618">
        <f t="shared" si="568"/>
        <v>0</v>
      </c>
      <c r="AG200" s="619"/>
      <c r="AH200" s="619"/>
      <c r="AI200" s="618">
        <f t="shared" si="569"/>
        <v>0</v>
      </c>
      <c r="AJ200" s="619"/>
      <c r="AK200" s="619"/>
      <c r="AL200" s="618">
        <f t="shared" si="570"/>
        <v>0</v>
      </c>
      <c r="AM200" s="619"/>
      <c r="AN200" s="619"/>
      <c r="AO200" s="618">
        <f t="shared" si="571"/>
        <v>0</v>
      </c>
      <c r="AP200" s="619"/>
      <c r="AQ200" s="619"/>
      <c r="AR200" s="618">
        <f t="shared" si="572"/>
        <v>0</v>
      </c>
      <c r="AS200" s="619"/>
      <c r="AT200" s="619"/>
      <c r="AU200" s="618">
        <f t="shared" si="573"/>
        <v>0</v>
      </c>
      <c r="AV200" s="619"/>
      <c r="AW200" s="654"/>
      <c r="AX200" s="619"/>
      <c r="AY200" s="619"/>
      <c r="AZ200" s="618">
        <f t="shared" si="574"/>
        <v>0</v>
      </c>
      <c r="BA200" s="619"/>
      <c r="BB200" s="654"/>
      <c r="BC200" s="619"/>
      <c r="BD200" s="619"/>
      <c r="BE200" s="618">
        <f t="shared" si="575"/>
        <v>0</v>
      </c>
      <c r="BF200" s="619"/>
      <c r="BG200" s="619"/>
      <c r="BH200" s="642"/>
      <c r="BI200" s="642"/>
      <c r="BJ200" s="618">
        <f t="shared" si="577"/>
        <v>0</v>
      </c>
      <c r="BK200" s="618">
        <f t="shared" si="468"/>
        <v>0</v>
      </c>
      <c r="BL200" s="604"/>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row>
    <row r="201" spans="1:179" s="5" customFormat="1" collapsed="1">
      <c r="A201" s="523"/>
      <c r="B201" s="524" t="s">
        <v>281</v>
      </c>
      <c r="C201" s="621">
        <f t="shared" ref="C201:J201" si="632">C202</f>
        <v>8574208.7999999989</v>
      </c>
      <c r="D201" s="621">
        <f t="shared" si="632"/>
        <v>8574208.7999999989</v>
      </c>
      <c r="E201" s="621">
        <f t="shared" si="632"/>
        <v>0</v>
      </c>
      <c r="F201" s="621">
        <f t="shared" si="632"/>
        <v>0</v>
      </c>
      <c r="G201" s="621">
        <f t="shared" si="632"/>
        <v>8574208.7999999989</v>
      </c>
      <c r="H201" s="621">
        <f t="shared" si="632"/>
        <v>1436659.9192470897</v>
      </c>
      <c r="I201" s="621">
        <f t="shared" si="632"/>
        <v>129616.48386461166</v>
      </c>
      <c r="J201" s="621">
        <f t="shared" si="632"/>
        <v>1566276.4031117014</v>
      </c>
      <c r="K201" s="621">
        <f t="shared" ref="K201:BJ201" si="633">K202</f>
        <v>2870628.5</v>
      </c>
      <c r="L201" s="621">
        <f t="shared" si="633"/>
        <v>2961.73</v>
      </c>
      <c r="M201" s="621">
        <f t="shared" si="633"/>
        <v>0</v>
      </c>
      <c r="N201" s="621">
        <f t="shared" si="633"/>
        <v>2961.73</v>
      </c>
      <c r="O201" s="621">
        <f t="shared" si="633"/>
        <v>69381.48</v>
      </c>
      <c r="P201" s="621">
        <f t="shared" si="633"/>
        <v>0</v>
      </c>
      <c r="Q201" s="621">
        <f t="shared" si="633"/>
        <v>69381.48</v>
      </c>
      <c r="R201" s="621">
        <f t="shared" si="633"/>
        <v>158226.18</v>
      </c>
      <c r="S201" s="621">
        <f t="shared" si="633"/>
        <v>0</v>
      </c>
      <c r="T201" s="621">
        <f t="shared" si="633"/>
        <v>158226.18</v>
      </c>
      <c r="U201" s="621">
        <f t="shared" ref="U201:AY201" si="634">U202</f>
        <v>206127.38</v>
      </c>
      <c r="V201" s="621">
        <f t="shared" si="633"/>
        <v>0</v>
      </c>
      <c r="W201" s="621">
        <f t="shared" si="633"/>
        <v>206127.38</v>
      </c>
      <c r="X201" s="621">
        <f t="shared" si="633"/>
        <v>238558.63</v>
      </c>
      <c r="Y201" s="621">
        <f t="shared" si="633"/>
        <v>0</v>
      </c>
      <c r="Z201" s="621">
        <f t="shared" si="633"/>
        <v>238558.63</v>
      </c>
      <c r="AA201" s="621">
        <f t="shared" si="633"/>
        <v>384936.03</v>
      </c>
      <c r="AB201" s="621">
        <f t="shared" si="634"/>
        <v>0</v>
      </c>
      <c r="AC201" s="621">
        <f t="shared" si="633"/>
        <v>384936.03</v>
      </c>
      <c r="AD201" s="621">
        <f t="shared" si="633"/>
        <v>384936.03</v>
      </c>
      <c r="AE201" s="621">
        <f t="shared" si="633"/>
        <v>0</v>
      </c>
      <c r="AF201" s="621">
        <f t="shared" si="633"/>
        <v>384936.03</v>
      </c>
      <c r="AG201" s="621">
        <f t="shared" si="633"/>
        <v>461618.51</v>
      </c>
      <c r="AH201" s="621">
        <f t="shared" si="633"/>
        <v>0</v>
      </c>
      <c r="AI201" s="621">
        <f t="shared" si="633"/>
        <v>461618.51</v>
      </c>
      <c r="AJ201" s="621">
        <f t="shared" si="633"/>
        <v>574621.77</v>
      </c>
      <c r="AK201" s="621">
        <f t="shared" si="633"/>
        <v>0</v>
      </c>
      <c r="AL201" s="621">
        <f t="shared" si="633"/>
        <v>574621.77</v>
      </c>
      <c r="AM201" s="621">
        <f t="shared" si="633"/>
        <v>612592.55000000005</v>
      </c>
      <c r="AN201" s="621">
        <f t="shared" si="633"/>
        <v>0</v>
      </c>
      <c r="AO201" s="621">
        <f t="shared" si="633"/>
        <v>612592.55000000005</v>
      </c>
      <c r="AP201" s="621">
        <f t="shared" si="634"/>
        <v>654603.1</v>
      </c>
      <c r="AQ201" s="621">
        <f t="shared" si="633"/>
        <v>0</v>
      </c>
      <c r="AR201" s="621">
        <f t="shared" si="633"/>
        <v>654603.1</v>
      </c>
      <c r="AS201" s="621">
        <f t="shared" si="633"/>
        <v>804255.54</v>
      </c>
      <c r="AT201" s="621">
        <f t="shared" si="633"/>
        <v>0</v>
      </c>
      <c r="AU201" s="621">
        <f t="shared" si="633"/>
        <v>804255.54</v>
      </c>
      <c r="AV201" s="621">
        <f t="shared" si="633"/>
        <v>2412.7666200000003</v>
      </c>
      <c r="AW201" s="653"/>
      <c r="AX201" s="621">
        <f t="shared" si="633"/>
        <v>1695112.7</v>
      </c>
      <c r="AY201" s="621">
        <f t="shared" si="634"/>
        <v>0</v>
      </c>
      <c r="AZ201" s="621">
        <f t="shared" si="633"/>
        <v>1695112.7</v>
      </c>
      <c r="BA201" s="621">
        <f t="shared" si="633"/>
        <v>5085.3380999999999</v>
      </c>
      <c r="BB201" s="653"/>
      <c r="BC201" s="621">
        <f t="shared" si="633"/>
        <v>2309497</v>
      </c>
      <c r="BD201" s="621">
        <f t="shared" si="633"/>
        <v>0</v>
      </c>
      <c r="BE201" s="621">
        <f t="shared" si="633"/>
        <v>2309497</v>
      </c>
      <c r="BF201" s="621">
        <f t="shared" si="633"/>
        <v>6971.9010299999991</v>
      </c>
      <c r="BG201" s="621"/>
      <c r="BH201" s="621">
        <f t="shared" si="633"/>
        <v>4808865.24</v>
      </c>
      <c r="BI201" s="621">
        <f t="shared" si="633"/>
        <v>0</v>
      </c>
      <c r="BJ201" s="621">
        <f t="shared" si="633"/>
        <v>4808865.24</v>
      </c>
      <c r="BK201" s="621">
        <f t="shared" si="468"/>
        <v>14470.00575</v>
      </c>
      <c r="BL201" s="599"/>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row>
    <row r="202" spans="1:179" s="9" customFormat="1" ht="48.75" customHeight="1">
      <c r="A202" s="522" t="s">
        <v>136</v>
      </c>
      <c r="B202" s="522" t="s">
        <v>280</v>
      </c>
      <c r="C202" s="618">
        <v>8574208.7999999989</v>
      </c>
      <c r="D202" s="618">
        <v>8574208.7999999989</v>
      </c>
      <c r="E202" s="618">
        <v>0</v>
      </c>
      <c r="F202" s="618">
        <v>0</v>
      </c>
      <c r="G202" s="618">
        <v>8574208.7999999989</v>
      </c>
      <c r="H202" s="526">
        <f>13080178*0.109834890568545</f>
        <v>1436659.9192470897</v>
      </c>
      <c r="I202" s="526">
        <f>1180103*0.109834890568545</f>
        <v>129616.48386461166</v>
      </c>
      <c r="J202" s="618">
        <f t="shared" si="561"/>
        <v>1566276.4031117014</v>
      </c>
      <c r="K202" s="618">
        <v>2870628.5</v>
      </c>
      <c r="L202" s="618">
        <v>2961.73</v>
      </c>
      <c r="M202" s="618">
        <v>0</v>
      </c>
      <c r="N202" s="618">
        <v>2961.73</v>
      </c>
      <c r="O202" s="619">
        <v>69381.48</v>
      </c>
      <c r="P202" s="619">
        <v>0</v>
      </c>
      <c r="Q202" s="619">
        <v>69381.48</v>
      </c>
      <c r="R202" s="619">
        <v>158226.18</v>
      </c>
      <c r="S202" s="619">
        <v>0</v>
      </c>
      <c r="T202" s="619">
        <v>158226.18</v>
      </c>
      <c r="U202" s="619">
        <v>206127.38</v>
      </c>
      <c r="V202" s="619">
        <v>0</v>
      </c>
      <c r="W202" s="619">
        <v>206127.38</v>
      </c>
      <c r="X202" s="619">
        <v>238558.63</v>
      </c>
      <c r="Y202" s="619">
        <v>0</v>
      </c>
      <c r="Z202" s="619">
        <v>238558.63</v>
      </c>
      <c r="AA202" s="619">
        <v>384936.03</v>
      </c>
      <c r="AB202" s="619">
        <v>0</v>
      </c>
      <c r="AC202" s="619">
        <v>384936.03</v>
      </c>
      <c r="AD202" s="619">
        <v>384936.03</v>
      </c>
      <c r="AE202" s="619">
        <v>0</v>
      </c>
      <c r="AF202" s="619">
        <v>384936.03</v>
      </c>
      <c r="AG202" s="619">
        <v>461618.51</v>
      </c>
      <c r="AH202" s="619">
        <v>0</v>
      </c>
      <c r="AI202" s="619">
        <v>461618.51</v>
      </c>
      <c r="AJ202" s="619">
        <v>574621.77</v>
      </c>
      <c r="AK202" s="619">
        <v>0</v>
      </c>
      <c r="AL202" s="619">
        <v>574621.77</v>
      </c>
      <c r="AM202" s="619">
        <v>612592.55000000005</v>
      </c>
      <c r="AN202" s="619">
        <v>0</v>
      </c>
      <c r="AO202" s="619">
        <v>612592.55000000005</v>
      </c>
      <c r="AP202" s="619">
        <v>654603.1</v>
      </c>
      <c r="AQ202" s="619">
        <v>0</v>
      </c>
      <c r="AR202" s="619">
        <v>654603.1</v>
      </c>
      <c r="AS202" s="619">
        <v>804255.54</v>
      </c>
      <c r="AT202" s="619">
        <v>0</v>
      </c>
      <c r="AU202" s="619">
        <v>804255.54</v>
      </c>
      <c r="AV202" s="619">
        <v>2412.7666200000003</v>
      </c>
      <c r="AW202" s="654" t="s">
        <v>1490</v>
      </c>
      <c r="AX202" s="619">
        <v>1695112.7</v>
      </c>
      <c r="AY202" s="619">
        <v>0</v>
      </c>
      <c r="AZ202" s="619">
        <v>1695112.7</v>
      </c>
      <c r="BA202" s="619">
        <v>5085.3380999999999</v>
      </c>
      <c r="BB202" s="654" t="s">
        <v>1562</v>
      </c>
      <c r="BC202" s="619">
        <v>2309497</v>
      </c>
      <c r="BD202" s="619">
        <v>0</v>
      </c>
      <c r="BE202" s="619">
        <v>2309497</v>
      </c>
      <c r="BF202" s="619">
        <v>6971.9010299999991</v>
      </c>
      <c r="BG202" s="618" t="s">
        <v>1562</v>
      </c>
      <c r="BH202" s="619">
        <v>4808865.24</v>
      </c>
      <c r="BI202" s="619">
        <v>0</v>
      </c>
      <c r="BJ202" s="619">
        <v>4808865.24</v>
      </c>
      <c r="BK202" s="619">
        <f t="shared" si="468"/>
        <v>14470.00575</v>
      </c>
      <c r="BL202" s="551" t="s">
        <v>1585</v>
      </c>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row>
    <row r="203" spans="1:179" ht="18.75" hidden="1" customHeight="1">
      <c r="A203" s="701"/>
      <c r="B203" s="701"/>
      <c r="C203" s="701"/>
      <c r="D203" s="701"/>
      <c r="E203" s="701"/>
      <c r="F203" s="701"/>
      <c r="G203" s="701"/>
      <c r="H203" s="701"/>
      <c r="I203" s="701"/>
      <c r="J203" s="701"/>
      <c r="K203" s="701"/>
      <c r="L203" s="701"/>
      <c r="M203" s="701"/>
      <c r="N203" s="701"/>
      <c r="O203" s="701"/>
      <c r="P203" s="701"/>
      <c r="Q203" s="701"/>
      <c r="R203" s="701"/>
      <c r="S203" s="701"/>
      <c r="T203" s="701"/>
      <c r="U203" s="701"/>
      <c r="V203" s="701"/>
      <c r="W203" s="701"/>
      <c r="X203" s="701"/>
      <c r="Y203" s="701"/>
      <c r="Z203" s="701"/>
      <c r="AA203" s="701"/>
      <c r="AB203" s="701"/>
      <c r="AC203" s="701"/>
      <c r="AD203" s="701"/>
      <c r="AE203" s="701"/>
      <c r="AF203" s="701"/>
      <c r="AG203" s="701"/>
      <c r="AH203" s="701"/>
      <c r="AI203" s="701"/>
      <c r="AJ203" s="701"/>
      <c r="AK203" s="701"/>
      <c r="AL203" s="701"/>
      <c r="AM203" s="701"/>
      <c r="AN203" s="701"/>
      <c r="AO203" s="701"/>
      <c r="AP203" s="701"/>
      <c r="AQ203" s="701"/>
      <c r="AR203" s="701"/>
      <c r="AS203" s="701"/>
      <c r="AT203" s="701"/>
      <c r="AU203" s="541"/>
      <c r="AV203" s="541"/>
      <c r="AW203" s="581"/>
      <c r="AX203" s="541"/>
      <c r="AY203" s="541"/>
      <c r="AZ203" s="541"/>
      <c r="BA203" s="541"/>
      <c r="BB203" s="581"/>
      <c r="BC203" s="542"/>
      <c r="BD203" s="542"/>
      <c r="BE203" s="542"/>
      <c r="BF203" s="542"/>
      <c r="BG203" s="588"/>
      <c r="BH203" s="542"/>
      <c r="BI203" s="542"/>
      <c r="BJ203" s="542"/>
      <c r="BK203" s="542"/>
    </row>
    <row r="204" spans="1:179" ht="28.5" customHeight="1">
      <c r="A204" s="543" t="s">
        <v>1571</v>
      </c>
      <c r="B204" s="544"/>
      <c r="C204" s="545"/>
      <c r="D204" s="545"/>
      <c r="E204" s="545"/>
      <c r="F204" s="545"/>
      <c r="G204" s="545"/>
      <c r="H204" s="546"/>
      <c r="I204" s="546"/>
      <c r="J204" s="545"/>
      <c r="K204" s="547"/>
      <c r="L204" s="547"/>
      <c r="M204" s="547"/>
      <c r="N204" s="547"/>
      <c r="O204" s="547"/>
      <c r="P204" s="547"/>
      <c r="Q204" s="547"/>
      <c r="R204" s="547"/>
      <c r="S204" s="547"/>
      <c r="T204" s="547"/>
      <c r="U204" s="548"/>
      <c r="V204" s="548"/>
      <c r="W204" s="548"/>
      <c r="X204" s="545"/>
      <c r="Y204" s="545"/>
      <c r="Z204" s="545"/>
      <c r="AA204" s="549"/>
      <c r="AB204" s="549"/>
      <c r="AC204" s="549"/>
      <c r="AD204" s="549"/>
      <c r="AE204" s="549"/>
      <c r="AF204" s="549"/>
      <c r="AG204" s="549"/>
      <c r="AH204" s="549"/>
      <c r="AI204" s="549"/>
      <c r="AJ204" s="549"/>
      <c r="AK204" s="549"/>
      <c r="AL204" s="549"/>
      <c r="AM204" s="549"/>
      <c r="AN204" s="549"/>
      <c r="AO204" s="549"/>
      <c r="AP204" s="549"/>
      <c r="AQ204" s="549"/>
      <c r="AR204" s="549"/>
      <c r="AS204" s="549"/>
      <c r="AT204" s="549"/>
      <c r="AU204" s="549"/>
      <c r="AV204" s="549"/>
      <c r="AW204" s="582"/>
      <c r="AX204" s="549"/>
      <c r="AY204" s="549"/>
      <c r="AZ204" s="549"/>
      <c r="BA204" s="549"/>
      <c r="BB204" s="582"/>
      <c r="BC204" s="542"/>
      <c r="BD204" s="542"/>
      <c r="BE204" s="542"/>
      <c r="BF204" s="542"/>
      <c r="BG204" s="589"/>
      <c r="BH204" s="542"/>
      <c r="BI204" s="542"/>
      <c r="BJ204" s="542"/>
      <c r="BK204" s="542"/>
    </row>
    <row r="205" spans="1:179" ht="93.75" customHeight="1">
      <c r="A205" s="29"/>
      <c r="B205" s="31"/>
      <c r="C205" s="501"/>
      <c r="D205" s="501"/>
      <c r="E205" s="501"/>
      <c r="F205" s="501"/>
      <c r="G205" s="501"/>
      <c r="H205" s="501"/>
      <c r="I205" s="501"/>
      <c r="J205" s="501"/>
      <c r="K205" s="502"/>
      <c r="L205" s="503"/>
      <c r="M205" s="503"/>
      <c r="N205" s="503"/>
      <c r="O205" s="503"/>
      <c r="P205" s="503"/>
      <c r="Q205" s="503"/>
      <c r="R205" s="504"/>
      <c r="S205" s="504"/>
      <c r="T205" s="504"/>
      <c r="AA205" s="505"/>
      <c r="AB205" s="505"/>
      <c r="AC205" s="505"/>
      <c r="AD205" s="505"/>
      <c r="AE205" s="505"/>
      <c r="AF205" s="505"/>
      <c r="AG205" s="505"/>
      <c r="AH205" s="505"/>
      <c r="AI205" s="505"/>
      <c r="AJ205" s="505"/>
      <c r="AK205" s="505"/>
      <c r="AL205" s="505"/>
      <c r="AM205" s="505"/>
      <c r="AN205" s="505"/>
      <c r="AO205" s="505"/>
      <c r="AP205" s="505"/>
      <c r="AQ205" s="505"/>
      <c r="AR205" s="505"/>
      <c r="AS205" s="506"/>
      <c r="AT205" s="506"/>
      <c r="AU205" s="506"/>
      <c r="BC205" s="505"/>
      <c r="BD205" s="505"/>
      <c r="BE205" s="505"/>
      <c r="BF205" s="505"/>
      <c r="BH205" s="505"/>
      <c r="BI205" s="505"/>
      <c r="BJ205" s="505"/>
      <c r="BK205" s="505"/>
    </row>
    <row r="206" spans="1:179" ht="48" customHeight="1">
      <c r="A206" s="29"/>
      <c r="B206" s="31"/>
      <c r="C206" s="501"/>
      <c r="D206" s="501"/>
      <c r="E206" s="501"/>
      <c r="F206" s="501"/>
      <c r="G206" s="501"/>
      <c r="H206" s="501"/>
      <c r="I206" s="501"/>
      <c r="J206" s="501"/>
      <c r="K206" s="501"/>
      <c r="L206" s="507"/>
      <c r="M206" s="507"/>
      <c r="N206" s="507"/>
      <c r="O206" s="503"/>
      <c r="P206" s="503"/>
      <c r="Q206" s="503"/>
      <c r="R206" s="504"/>
      <c r="S206" s="504"/>
      <c r="T206" s="504"/>
      <c r="AA206" s="505"/>
      <c r="AB206" s="505"/>
      <c r="AC206" s="505"/>
      <c r="AD206" s="505"/>
      <c r="AE206" s="505"/>
      <c r="AF206" s="505"/>
      <c r="AG206" s="505"/>
      <c r="AH206" s="505"/>
      <c r="AI206" s="505"/>
      <c r="AJ206" s="505"/>
      <c r="AK206" s="505"/>
      <c r="AL206" s="505"/>
      <c r="AM206" s="505"/>
      <c r="AN206" s="505"/>
      <c r="AO206" s="505"/>
      <c r="AP206" s="505"/>
      <c r="AQ206" s="505"/>
      <c r="AR206" s="505"/>
      <c r="AS206" s="506"/>
      <c r="AT206" s="506"/>
      <c r="AU206" s="506"/>
      <c r="AV206" s="503"/>
      <c r="AW206" s="583"/>
      <c r="AX206" s="505"/>
      <c r="AY206" s="693" t="s">
        <v>1586</v>
      </c>
      <c r="AZ206" s="693"/>
      <c r="BA206" s="694"/>
      <c r="BB206" s="695"/>
      <c r="BC206" s="693"/>
      <c r="BD206" s="693"/>
      <c r="BE206" s="693"/>
      <c r="BF206" s="693"/>
      <c r="BG206" s="696"/>
      <c r="BH206" s="693" t="s">
        <v>1587</v>
      </c>
      <c r="BI206" s="505"/>
      <c r="BJ206" s="505"/>
      <c r="BK206" s="505"/>
    </row>
    <row r="207" spans="1:179" ht="84" customHeight="1">
      <c r="A207" s="503" t="s">
        <v>1595</v>
      </c>
      <c r="B207" s="32"/>
      <c r="C207" s="508"/>
      <c r="D207" s="508"/>
      <c r="E207" s="508"/>
      <c r="F207" s="508"/>
      <c r="G207" s="508"/>
      <c r="H207" s="508"/>
      <c r="I207" s="508"/>
      <c r="J207" s="508"/>
      <c r="K207" s="502"/>
      <c r="L207" s="503"/>
      <c r="M207" s="503"/>
      <c r="N207" s="503"/>
      <c r="O207" s="503"/>
      <c r="P207" s="503"/>
      <c r="Q207" s="503"/>
      <c r="R207" s="504"/>
      <c r="S207" s="504"/>
      <c r="T207" s="504"/>
      <c r="U207" s="504"/>
      <c r="V207" s="504"/>
      <c r="W207" s="504"/>
      <c r="X207" s="499"/>
      <c r="Y207" s="499"/>
      <c r="Z207" s="499"/>
    </row>
    <row r="208" spans="1:179">
      <c r="A208" s="503" t="s">
        <v>190</v>
      </c>
      <c r="B208" s="32"/>
      <c r="C208" s="508"/>
      <c r="D208" s="508"/>
      <c r="E208" s="508"/>
      <c r="F208" s="508"/>
      <c r="G208" s="508"/>
      <c r="H208" s="508"/>
      <c r="I208" s="508"/>
      <c r="J208" s="508"/>
      <c r="K208" s="508"/>
      <c r="L208" s="509"/>
      <c r="M208" s="509"/>
      <c r="N208" s="509"/>
      <c r="O208" s="509"/>
      <c r="P208" s="509"/>
      <c r="Q208" s="509"/>
      <c r="R208" s="509"/>
      <c r="S208" s="509"/>
      <c r="T208" s="509"/>
      <c r="U208" s="504"/>
      <c r="V208" s="504"/>
      <c r="W208" s="504"/>
      <c r="X208" s="499"/>
      <c r="Y208" s="499"/>
      <c r="Z208" s="499"/>
      <c r="AA208" s="510"/>
      <c r="AB208" s="510"/>
      <c r="AC208" s="510"/>
      <c r="AD208" s="510"/>
      <c r="AE208" s="510"/>
      <c r="AF208" s="510"/>
      <c r="AG208" s="510"/>
      <c r="AH208" s="510"/>
      <c r="AI208" s="510"/>
      <c r="AJ208" s="510"/>
      <c r="AK208" s="510"/>
      <c r="AL208" s="510"/>
      <c r="AM208" s="510"/>
      <c r="AN208" s="510"/>
      <c r="AO208" s="510"/>
      <c r="AP208" s="510"/>
      <c r="AQ208" s="510"/>
      <c r="AR208" s="510"/>
      <c r="AS208" s="510"/>
      <c r="AT208" s="510"/>
      <c r="AU208" s="510"/>
      <c r="AV208" s="510"/>
      <c r="AW208" s="584"/>
      <c r="AX208" s="510"/>
      <c r="AY208" s="510"/>
      <c r="AZ208" s="510"/>
      <c r="BA208" s="510"/>
      <c r="BB208" s="584"/>
      <c r="BC208" s="510"/>
      <c r="BD208" s="510"/>
      <c r="BE208" s="510"/>
      <c r="BF208" s="510"/>
      <c r="BG208" s="590"/>
      <c r="BH208" s="510"/>
      <c r="BI208" s="510"/>
      <c r="BJ208" s="510"/>
      <c r="BK208" s="510"/>
      <c r="BL208" s="611"/>
    </row>
    <row r="209" spans="1:64">
      <c r="A209" s="503" t="s">
        <v>191</v>
      </c>
      <c r="B209" s="32"/>
      <c r="C209" s="508"/>
      <c r="D209" s="508"/>
      <c r="E209" s="508"/>
      <c r="F209" s="508"/>
      <c r="G209" s="508"/>
      <c r="H209" s="508"/>
      <c r="I209" s="508"/>
      <c r="J209" s="508"/>
      <c r="K209" s="508"/>
      <c r="L209" s="509"/>
      <c r="M209" s="509"/>
      <c r="N209" s="509"/>
      <c r="O209" s="509"/>
      <c r="P209" s="509"/>
      <c r="Q209" s="509"/>
      <c r="R209" s="509"/>
      <c r="S209" s="509"/>
      <c r="T209" s="509"/>
      <c r="U209" s="504"/>
      <c r="V209" s="504"/>
      <c r="W209" s="504"/>
      <c r="X209" s="499"/>
      <c r="Y209" s="499"/>
      <c r="Z209" s="499"/>
      <c r="AA209" s="510"/>
      <c r="AB209" s="510"/>
      <c r="AC209" s="510"/>
      <c r="AD209" s="510"/>
      <c r="AE209" s="510"/>
      <c r="AF209" s="510"/>
      <c r="AG209" s="510"/>
      <c r="AH209" s="510"/>
      <c r="AI209" s="510"/>
      <c r="AJ209" s="510"/>
      <c r="AK209" s="510"/>
      <c r="AL209" s="510"/>
      <c r="AM209" s="510"/>
      <c r="AN209" s="510"/>
      <c r="AO209" s="510"/>
      <c r="AP209" s="510"/>
      <c r="AQ209" s="510"/>
      <c r="AR209" s="510"/>
      <c r="AS209" s="510"/>
      <c r="AT209" s="510"/>
      <c r="AU209" s="510"/>
      <c r="AV209" s="510"/>
      <c r="AW209" s="584"/>
      <c r="AX209" s="510"/>
      <c r="AY209" s="510"/>
      <c r="AZ209" s="510"/>
      <c r="BA209" s="510"/>
      <c r="BB209" s="584"/>
      <c r="BC209" s="510"/>
      <c r="BD209" s="510"/>
      <c r="BE209" s="510"/>
      <c r="BF209" s="510"/>
      <c r="BG209" s="590"/>
      <c r="BH209" s="510"/>
      <c r="BI209" s="510"/>
      <c r="BJ209" s="510"/>
      <c r="BK209" s="510"/>
      <c r="BL209" s="611"/>
    </row>
    <row r="210" spans="1:64">
      <c r="A210" s="512"/>
    </row>
  </sheetData>
  <autoFilter ref="A6:BL12">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filterColumn colId="54" showButton="0"/>
    <filterColumn colId="55" showButton="0"/>
    <filterColumn colId="56" showButton="0"/>
    <filterColumn colId="57" showButton="0"/>
    <filterColumn colId="59" showButton="0"/>
    <filterColumn colId="60" showButton="0"/>
    <filterColumn colId="61" showButton="0"/>
  </autoFilter>
  <mergeCells count="45">
    <mergeCell ref="BH6:BK6"/>
    <mergeCell ref="X7:Z7"/>
    <mergeCell ref="BJ7:BJ8"/>
    <mergeCell ref="BH7:BH8"/>
    <mergeCell ref="BI7:BI8"/>
    <mergeCell ref="BK7:BK8"/>
    <mergeCell ref="BC6:BG6"/>
    <mergeCell ref="BF7:BF8"/>
    <mergeCell ref="BG7:BG8"/>
    <mergeCell ref="BC7:BE7"/>
    <mergeCell ref="AD7:AF7"/>
    <mergeCell ref="AG7:AI7"/>
    <mergeCell ref="AP7:AR7"/>
    <mergeCell ref="AM7:AO7"/>
    <mergeCell ref="AJ7:AL7"/>
    <mergeCell ref="D6:D8"/>
    <mergeCell ref="E6:E8"/>
    <mergeCell ref="G6:G8"/>
    <mergeCell ref="AS7:AU7"/>
    <mergeCell ref="L7:N7"/>
    <mergeCell ref="O7:Q7"/>
    <mergeCell ref="R7:T7"/>
    <mergeCell ref="U7:W7"/>
    <mergeCell ref="AA7:AC7"/>
    <mergeCell ref="AX6:BB6"/>
    <mergeCell ref="BA7:BA8"/>
    <mergeCell ref="BB7:BB8"/>
    <mergeCell ref="AX7:AZ7"/>
    <mergeCell ref="H6:H8"/>
    <mergeCell ref="A4:BL4"/>
    <mergeCell ref="A3:BL3"/>
    <mergeCell ref="A203:AT203"/>
    <mergeCell ref="A6:A8"/>
    <mergeCell ref="B6:B8"/>
    <mergeCell ref="F6:F8"/>
    <mergeCell ref="BL6:BL8"/>
    <mergeCell ref="K6:K8"/>
    <mergeCell ref="AV7:AV8"/>
    <mergeCell ref="L6:AW6"/>
    <mergeCell ref="AW7:AW8"/>
    <mergeCell ref="C102:C103"/>
    <mergeCell ref="J6:J8"/>
    <mergeCell ref="I6:I8"/>
    <mergeCell ref="A5:AY5"/>
    <mergeCell ref="C6:C8"/>
  </mergeCells>
  <pageMargins left="0.23622047244094491" right="0.23622047244094491" top="0.35433070866141736" bottom="0.35433070866141736" header="0.11811023622047245" footer="0.11811023622047245"/>
  <pageSetup paperSize="8" scale="50" fitToWidth="0" fitToHeight="0" orientation="landscape" r:id="rId1"/>
  <headerFooter>
    <oddHeader>&amp;C&amp;P</oddHeader>
    <oddFooter>&amp;L&amp;F; Mērķi maksājumiem finansējuma saņēmējiem 2013.gadam</oddFooter>
  </headerFooter>
  <colBreaks count="1" manualBreakCount="1">
    <brk id="63" max="21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9"/>
  <sheetViews>
    <sheetView view="pageLayout" zoomScale="55" zoomScaleNormal="70" zoomScaleSheetLayoutView="55" zoomScalePageLayoutView="55" workbookViewId="0">
      <selection activeCell="B57" sqref="B57"/>
    </sheetView>
  </sheetViews>
  <sheetFormatPr defaultRowHeight="15.75"/>
  <cols>
    <col min="1" max="1" width="10.25" customWidth="1"/>
    <col min="2" max="2" width="59.5" customWidth="1"/>
    <col min="3" max="5" width="17.375" customWidth="1"/>
    <col min="6" max="11" width="17.375" hidden="1" customWidth="1"/>
    <col min="12" max="12" width="17.375" style="25" customWidth="1"/>
    <col min="13" max="13" width="17.375" customWidth="1"/>
    <col min="14" max="14" width="13.375" customWidth="1"/>
  </cols>
  <sheetData>
    <row r="1" spans="1:52" ht="20.25">
      <c r="A1" s="728" t="s">
        <v>1593</v>
      </c>
      <c r="B1" s="728"/>
      <c r="C1" s="728"/>
      <c r="D1" s="728"/>
      <c r="E1" s="728"/>
      <c r="F1" s="728"/>
      <c r="G1" s="728"/>
      <c r="H1" s="728"/>
      <c r="I1" s="728"/>
      <c r="J1" s="728"/>
      <c r="K1" s="728"/>
      <c r="L1" s="728"/>
      <c r="M1" s="728"/>
    </row>
    <row r="3" spans="1:52" ht="15.75" customHeight="1">
      <c r="A3" s="729" t="s">
        <v>171</v>
      </c>
      <c r="B3" s="729"/>
      <c r="C3" s="729" t="s">
        <v>378</v>
      </c>
      <c r="D3" s="729" t="s">
        <v>383</v>
      </c>
      <c r="E3" s="729"/>
      <c r="F3" s="555"/>
      <c r="G3" s="557"/>
      <c r="H3" s="557"/>
      <c r="I3" s="557"/>
      <c r="J3" s="557"/>
      <c r="K3" s="557"/>
      <c r="L3" s="732" t="s">
        <v>1573</v>
      </c>
      <c r="M3" s="733"/>
    </row>
    <row r="4" spans="1:52">
      <c r="A4" s="729"/>
      <c r="B4" s="729"/>
      <c r="C4" s="729"/>
      <c r="D4" s="729"/>
      <c r="E4" s="729"/>
      <c r="F4" s="556"/>
      <c r="G4" s="558"/>
      <c r="H4" s="558"/>
      <c r="I4" s="558"/>
      <c r="J4" s="558"/>
      <c r="K4" s="558"/>
      <c r="L4" s="734"/>
      <c r="M4" s="735"/>
    </row>
    <row r="5" spans="1:52" ht="35.25" customHeight="1">
      <c r="A5" s="729"/>
      <c r="B5" s="729"/>
      <c r="C5" s="729"/>
      <c r="D5" s="729"/>
      <c r="E5" s="729"/>
      <c r="F5" s="730" t="s">
        <v>1574</v>
      </c>
      <c r="G5" s="731"/>
      <c r="H5" s="730" t="s">
        <v>1575</v>
      </c>
      <c r="I5" s="731"/>
      <c r="J5" s="730" t="s">
        <v>1576</v>
      </c>
      <c r="K5" s="731"/>
      <c r="L5" s="736"/>
      <c r="M5" s="737"/>
    </row>
    <row r="6" spans="1:52" ht="100.5" customHeight="1">
      <c r="A6" s="729"/>
      <c r="B6" s="729"/>
      <c r="C6" s="729"/>
      <c r="D6" s="21" t="s">
        <v>172</v>
      </c>
      <c r="E6" s="21" t="s">
        <v>173</v>
      </c>
      <c r="F6" s="21" t="s">
        <v>172</v>
      </c>
      <c r="G6" s="21" t="s">
        <v>173</v>
      </c>
      <c r="H6" s="21" t="s">
        <v>172</v>
      </c>
      <c r="I6" s="21" t="s">
        <v>173</v>
      </c>
      <c r="J6" s="21" t="s">
        <v>172</v>
      </c>
      <c r="K6" s="21" t="s">
        <v>173</v>
      </c>
      <c r="L6" s="486" t="s">
        <v>172</v>
      </c>
      <c r="M6" s="21" t="s">
        <v>173</v>
      </c>
    </row>
    <row r="7" spans="1:52" s="35" customFormat="1" ht="12.75" customHeight="1">
      <c r="A7" s="723">
        <v>1</v>
      </c>
      <c r="B7" s="723"/>
      <c r="C7" s="481">
        <v>2</v>
      </c>
      <c r="D7" s="481">
        <v>3</v>
      </c>
      <c r="E7" s="481">
        <v>4</v>
      </c>
      <c r="F7" s="485">
        <v>5</v>
      </c>
      <c r="G7" s="485">
        <v>6</v>
      </c>
      <c r="H7" s="485">
        <v>7</v>
      </c>
      <c r="I7" s="485">
        <v>8</v>
      </c>
      <c r="J7" s="485">
        <v>9</v>
      </c>
      <c r="K7" s="485">
        <v>10</v>
      </c>
      <c r="L7" s="487">
        <v>5</v>
      </c>
      <c r="M7" s="485">
        <v>6</v>
      </c>
      <c r="N7"/>
      <c r="O7"/>
      <c r="P7"/>
      <c r="Q7"/>
      <c r="R7"/>
      <c r="S7"/>
      <c r="T7"/>
      <c r="U7"/>
      <c r="V7"/>
      <c r="W7"/>
      <c r="X7"/>
      <c r="Y7"/>
      <c r="Z7"/>
      <c r="AA7"/>
      <c r="AB7"/>
      <c r="AC7"/>
      <c r="AD7"/>
      <c r="AE7"/>
      <c r="AF7"/>
      <c r="AG7"/>
      <c r="AH7"/>
      <c r="AI7"/>
      <c r="AJ7"/>
      <c r="AK7"/>
      <c r="AL7"/>
      <c r="AM7"/>
      <c r="AN7"/>
      <c r="AO7"/>
      <c r="AP7"/>
      <c r="AQ7"/>
      <c r="AR7"/>
      <c r="AS7"/>
      <c r="AT7"/>
      <c r="AU7"/>
      <c r="AV7"/>
      <c r="AW7"/>
      <c r="AX7"/>
      <c r="AY7"/>
      <c r="AZ7"/>
    </row>
    <row r="8" spans="1:52" s="23" customFormat="1" ht="21" customHeight="1">
      <c r="A8" s="724" t="s">
        <v>189</v>
      </c>
      <c r="B8" s="725"/>
      <c r="C8" s="37">
        <f>C13+C20</f>
        <v>141684284.69999999</v>
      </c>
      <c r="D8" s="37">
        <f t="shared" ref="D8:M8" si="0">D13+D20</f>
        <v>62789041.084174559</v>
      </c>
      <c r="E8" s="37">
        <f t="shared" si="0"/>
        <v>147271531.89083391</v>
      </c>
      <c r="F8" s="37">
        <f t="shared" si="0"/>
        <v>2962475.3123433348</v>
      </c>
      <c r="G8" s="37">
        <f t="shared" si="0"/>
        <v>5893183.3461333485</v>
      </c>
      <c r="H8" s="37">
        <f t="shared" si="0"/>
        <v>7860949.9186223689</v>
      </c>
      <c r="I8" s="37">
        <f t="shared" si="0"/>
        <v>15473879.692266697</v>
      </c>
      <c r="J8" s="37">
        <f t="shared" si="0"/>
        <v>15714126.669014741</v>
      </c>
      <c r="K8" s="37">
        <f t="shared" si="0"/>
        <v>29033408.638400044</v>
      </c>
      <c r="L8" s="488">
        <f>L10+L11</f>
        <v>25121403.883813448</v>
      </c>
      <c r="M8" s="37">
        <f t="shared" si="0"/>
        <v>44636324.36388582</v>
      </c>
      <c r="N8"/>
      <c r="O8"/>
      <c r="P8"/>
      <c r="Q8"/>
      <c r="R8"/>
      <c r="S8"/>
      <c r="T8"/>
      <c r="U8"/>
      <c r="V8"/>
      <c r="W8"/>
      <c r="X8"/>
      <c r="Y8"/>
      <c r="Z8"/>
      <c r="AA8"/>
      <c r="AB8"/>
      <c r="AC8"/>
      <c r="AD8"/>
      <c r="AE8"/>
      <c r="AF8"/>
      <c r="AG8"/>
      <c r="AH8"/>
      <c r="AI8"/>
      <c r="AJ8"/>
      <c r="AK8"/>
      <c r="AL8"/>
      <c r="AM8"/>
      <c r="AN8"/>
      <c r="AO8"/>
      <c r="AP8"/>
      <c r="AQ8"/>
      <c r="AR8"/>
      <c r="AS8"/>
      <c r="AT8"/>
      <c r="AU8"/>
      <c r="AV8"/>
      <c r="AW8"/>
      <c r="AX8"/>
      <c r="AY8"/>
      <c r="AZ8"/>
    </row>
    <row r="9" spans="1:52" s="302" customFormat="1" ht="9" customHeight="1">
      <c r="A9" s="560"/>
      <c r="B9" s="561"/>
      <c r="C9" s="301"/>
      <c r="D9" s="301"/>
      <c r="E9" s="301"/>
      <c r="F9" s="301"/>
      <c r="G9" s="301"/>
      <c r="H9" s="301"/>
      <c r="I9" s="301"/>
      <c r="J9" s="301"/>
      <c r="K9" s="301"/>
      <c r="L9" s="489"/>
      <c r="M9" s="301"/>
      <c r="N9"/>
      <c r="O9"/>
      <c r="P9"/>
      <c r="Q9"/>
      <c r="R9"/>
      <c r="S9"/>
      <c r="T9"/>
      <c r="U9"/>
      <c r="V9"/>
      <c r="W9"/>
      <c r="X9"/>
      <c r="Y9"/>
      <c r="Z9"/>
      <c r="AA9"/>
      <c r="AB9"/>
      <c r="AC9"/>
      <c r="AD9"/>
      <c r="AE9"/>
      <c r="AF9"/>
      <c r="AG9"/>
      <c r="AH9"/>
      <c r="AI9"/>
      <c r="AJ9"/>
      <c r="AK9"/>
      <c r="AL9"/>
      <c r="AM9"/>
      <c r="AN9"/>
      <c r="AO9"/>
      <c r="AP9"/>
      <c r="AQ9"/>
      <c r="AR9"/>
      <c r="AS9"/>
      <c r="AT9"/>
      <c r="AU9"/>
      <c r="AV9"/>
      <c r="AW9"/>
      <c r="AX9"/>
      <c r="AY9"/>
      <c r="AZ9"/>
    </row>
    <row r="10" spans="1:52" s="23" customFormat="1" ht="21" customHeight="1">
      <c r="A10" s="724" t="s">
        <v>915</v>
      </c>
      <c r="B10" s="725"/>
      <c r="C10" s="37">
        <f>C14</f>
        <v>12167953</v>
      </c>
      <c r="D10" s="37">
        <f t="shared" ref="D10:M10" si="1">D13</f>
        <v>34763790</v>
      </c>
      <c r="E10" s="37">
        <f t="shared" si="1"/>
        <v>55456450</v>
      </c>
      <c r="F10" s="37">
        <f t="shared" si="1"/>
        <v>1465293.1660643001</v>
      </c>
      <c r="G10" s="37">
        <f t="shared" si="1"/>
        <v>2417487</v>
      </c>
      <c r="H10" s="37">
        <f t="shared" si="1"/>
        <v>4160559.8660642998</v>
      </c>
      <c r="I10" s="37">
        <f t="shared" si="1"/>
        <v>6722487</v>
      </c>
      <c r="J10" s="37">
        <f t="shared" si="1"/>
        <v>7442555.4660643004</v>
      </c>
      <c r="K10" s="37">
        <f t="shared" si="1"/>
        <v>11892487</v>
      </c>
      <c r="L10" s="488">
        <f>L14</f>
        <v>2508800</v>
      </c>
      <c r="M10" s="37">
        <f t="shared" si="1"/>
        <v>19092487</v>
      </c>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row>
    <row r="11" spans="1:52" s="23" customFormat="1" ht="21" customHeight="1">
      <c r="A11" s="724" t="s">
        <v>916</v>
      </c>
      <c r="B11" s="725"/>
      <c r="C11" s="37">
        <f>C19+C20</f>
        <v>129516331.7</v>
      </c>
      <c r="D11" s="37">
        <f t="shared" ref="D11:M11" si="2">D19+D20</f>
        <v>56787066.084174559</v>
      </c>
      <c r="E11" s="37">
        <f t="shared" si="2"/>
        <v>135632594.89083391</v>
      </c>
      <c r="F11" s="37">
        <f t="shared" si="2"/>
        <v>2273365.3123433343</v>
      </c>
      <c r="G11" s="37">
        <f t="shared" si="2"/>
        <v>4658183.3461333485</v>
      </c>
      <c r="H11" s="37">
        <f t="shared" si="2"/>
        <v>6445769.9186223689</v>
      </c>
      <c r="I11" s="37">
        <f t="shared" si="2"/>
        <v>12933879.692266697</v>
      </c>
      <c r="J11" s="37">
        <f t="shared" si="2"/>
        <v>13642546.669014741</v>
      </c>
      <c r="K11" s="37">
        <f t="shared" si="2"/>
        <v>25323408.638400044</v>
      </c>
      <c r="L11" s="488">
        <f t="shared" si="2"/>
        <v>22612603.883813448</v>
      </c>
      <c r="M11" s="37">
        <f t="shared" si="2"/>
        <v>40226324.36388582</v>
      </c>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row>
    <row r="12" spans="1:52" s="302" customFormat="1" ht="9.75" customHeight="1">
      <c r="A12" s="299"/>
      <c r="B12" s="300"/>
      <c r="C12" s="301"/>
      <c r="D12" s="301"/>
      <c r="E12" s="301"/>
      <c r="F12" s="301"/>
      <c r="G12" s="301"/>
      <c r="H12" s="301"/>
      <c r="I12" s="301"/>
      <c r="J12" s="301"/>
      <c r="K12" s="301"/>
      <c r="L12" s="489"/>
      <c r="M12" s="301"/>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row>
    <row r="13" spans="1:52" s="18" customFormat="1" ht="21" customHeight="1">
      <c r="A13" s="726" t="s">
        <v>174</v>
      </c>
      <c r="B13" s="726"/>
      <c r="C13" s="38">
        <f>C14+C19</f>
        <v>52482592</v>
      </c>
      <c r="D13" s="38">
        <f t="shared" ref="D13:M13" si="3">D14+D19</f>
        <v>34763790</v>
      </c>
      <c r="E13" s="38">
        <f t="shared" si="3"/>
        <v>55456450</v>
      </c>
      <c r="F13" s="38">
        <f t="shared" si="3"/>
        <v>1465293.1660643001</v>
      </c>
      <c r="G13" s="38">
        <f t="shared" si="3"/>
        <v>2417487</v>
      </c>
      <c r="H13" s="38">
        <f t="shared" si="3"/>
        <v>4160559.8660642998</v>
      </c>
      <c r="I13" s="38">
        <f t="shared" si="3"/>
        <v>6722487</v>
      </c>
      <c r="J13" s="38">
        <f t="shared" si="3"/>
        <v>7442555.4660643004</v>
      </c>
      <c r="K13" s="38">
        <f t="shared" si="3"/>
        <v>11892487</v>
      </c>
      <c r="L13" s="490">
        <f t="shared" si="3"/>
        <v>12146368.3160643</v>
      </c>
      <c r="M13" s="38">
        <f t="shared" si="3"/>
        <v>19092487</v>
      </c>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row>
    <row r="14" spans="1:52" s="19" customFormat="1" ht="42.75" customHeight="1">
      <c r="A14" s="22" t="s">
        <v>35</v>
      </c>
      <c r="B14" s="22" t="s">
        <v>175</v>
      </c>
      <c r="C14" s="39">
        <f>C15+C16+C17+C18</f>
        <v>12167953</v>
      </c>
      <c r="D14" s="39">
        <f>D15+D16+D17+D18</f>
        <v>6001975</v>
      </c>
      <c r="E14" s="39">
        <f t="shared" ref="E14:M14" si="4">E15+E16+E17+E18</f>
        <v>11638937</v>
      </c>
      <c r="F14" s="39">
        <f t="shared" si="4"/>
        <v>689110</v>
      </c>
      <c r="G14" s="39">
        <f t="shared" si="4"/>
        <v>1235000</v>
      </c>
      <c r="H14" s="39">
        <f t="shared" si="4"/>
        <v>1415180</v>
      </c>
      <c r="I14" s="39">
        <f t="shared" si="4"/>
        <v>2540000</v>
      </c>
      <c r="J14" s="39">
        <f t="shared" si="4"/>
        <v>2071580</v>
      </c>
      <c r="K14" s="39">
        <f t="shared" si="4"/>
        <v>3710000</v>
      </c>
      <c r="L14" s="42">
        <f t="shared" si="4"/>
        <v>2508800</v>
      </c>
      <c r="M14" s="39">
        <f t="shared" si="4"/>
        <v>4410000</v>
      </c>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row>
    <row r="15" spans="1:52" ht="18" customHeight="1">
      <c r="A15" s="727" t="s">
        <v>176</v>
      </c>
      <c r="B15" s="727"/>
      <c r="C15" s="40">
        <v>6579000</v>
      </c>
      <c r="D15" s="40">
        <v>3445731</v>
      </c>
      <c r="E15" s="40">
        <v>8631591</v>
      </c>
      <c r="F15" s="40">
        <v>319360</v>
      </c>
      <c r="G15" s="40">
        <v>800000</v>
      </c>
      <c r="H15" s="40">
        <v>658680</v>
      </c>
      <c r="I15" s="40">
        <v>1650000</v>
      </c>
      <c r="J15" s="40">
        <v>958080</v>
      </c>
      <c r="K15" s="40">
        <v>2400000</v>
      </c>
      <c r="L15" s="491">
        <v>1097800</v>
      </c>
      <c r="M15" s="40">
        <v>2750000</v>
      </c>
    </row>
    <row r="16" spans="1:52" ht="18" customHeight="1">
      <c r="A16" s="727" t="s">
        <v>177</v>
      </c>
      <c r="B16" s="727"/>
      <c r="C16" s="40">
        <v>1360000</v>
      </c>
      <c r="D16" s="40">
        <v>405748</v>
      </c>
      <c r="E16" s="40">
        <v>477351</v>
      </c>
      <c r="F16" s="40">
        <v>63750</v>
      </c>
      <c r="G16" s="40">
        <v>75000</v>
      </c>
      <c r="H16" s="40">
        <v>140250</v>
      </c>
      <c r="I16" s="40">
        <v>165000</v>
      </c>
      <c r="J16" s="40">
        <v>225250</v>
      </c>
      <c r="K16" s="40">
        <v>265000</v>
      </c>
      <c r="L16" s="491">
        <v>327250</v>
      </c>
      <c r="M16" s="40">
        <v>385000</v>
      </c>
    </row>
    <row r="17" spans="1:52" ht="18" customHeight="1">
      <c r="A17" s="727" t="s">
        <v>178</v>
      </c>
      <c r="B17" s="727"/>
      <c r="C17" s="40">
        <v>2310300</v>
      </c>
      <c r="D17" s="40">
        <v>1670598</v>
      </c>
      <c r="E17" s="40">
        <v>1965409</v>
      </c>
      <c r="F17" s="40">
        <v>221000</v>
      </c>
      <c r="G17" s="40">
        <v>260000</v>
      </c>
      <c r="H17" s="40">
        <v>416500</v>
      </c>
      <c r="I17" s="40">
        <v>490000</v>
      </c>
      <c r="J17" s="40">
        <v>561000</v>
      </c>
      <c r="K17" s="40">
        <v>660000</v>
      </c>
      <c r="L17" s="491">
        <v>637500</v>
      </c>
      <c r="M17" s="40">
        <v>750000</v>
      </c>
    </row>
    <row r="18" spans="1:52" ht="18" customHeight="1">
      <c r="A18" s="727" t="s">
        <v>386</v>
      </c>
      <c r="B18" s="727"/>
      <c r="C18" s="40">
        <v>1918653</v>
      </c>
      <c r="D18" s="40">
        <v>479898</v>
      </c>
      <c r="E18" s="40">
        <v>564586</v>
      </c>
      <c r="F18" s="40">
        <v>85000</v>
      </c>
      <c r="G18" s="40">
        <v>100000</v>
      </c>
      <c r="H18" s="40">
        <v>199750</v>
      </c>
      <c r="I18" s="40">
        <v>235000</v>
      </c>
      <c r="J18" s="40">
        <v>327250</v>
      </c>
      <c r="K18" s="40">
        <v>385000</v>
      </c>
      <c r="L18" s="491">
        <v>446250</v>
      </c>
      <c r="M18" s="40">
        <v>525000</v>
      </c>
    </row>
    <row r="19" spans="1:52" s="19" customFormat="1" ht="40.5" customHeight="1">
      <c r="A19" s="22" t="s">
        <v>147</v>
      </c>
      <c r="B19" s="22" t="s">
        <v>179</v>
      </c>
      <c r="C19" s="39">
        <v>40314639</v>
      </c>
      <c r="D19" s="41">
        <v>28761815</v>
      </c>
      <c r="E19" s="41">
        <v>43817513</v>
      </c>
      <c r="F19" s="41">
        <v>776183.16606429999</v>
      </c>
      <c r="G19" s="41">
        <v>1182487</v>
      </c>
      <c r="H19" s="41">
        <v>2745379.8660642998</v>
      </c>
      <c r="I19" s="41">
        <v>4182487</v>
      </c>
      <c r="J19" s="41">
        <v>5370975.4660643004</v>
      </c>
      <c r="K19" s="41">
        <v>8182487</v>
      </c>
      <c r="L19" s="492">
        <v>9637568.3160643</v>
      </c>
      <c r="M19" s="41">
        <v>14682487</v>
      </c>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row>
    <row r="20" spans="1:52" s="18" customFormat="1" ht="21" customHeight="1">
      <c r="A20" s="726" t="s">
        <v>180</v>
      </c>
      <c r="B20" s="726"/>
      <c r="C20" s="43">
        <f t="shared" ref="C20:M20" si="5">C21+C33+C36</f>
        <v>89201692.700000003</v>
      </c>
      <c r="D20" s="43">
        <f t="shared" si="5"/>
        <v>28025251.084174555</v>
      </c>
      <c r="E20" s="43">
        <f t="shared" si="5"/>
        <v>91815081.890833914</v>
      </c>
      <c r="F20" s="43">
        <f t="shared" si="5"/>
        <v>1497182.1462790344</v>
      </c>
      <c r="G20" s="43">
        <f t="shared" si="5"/>
        <v>3475696.3461333485</v>
      </c>
      <c r="H20" s="43">
        <f t="shared" si="5"/>
        <v>3700390.0525580691</v>
      </c>
      <c r="I20" s="43">
        <f t="shared" si="5"/>
        <v>8751392.6922666971</v>
      </c>
      <c r="J20" s="43">
        <f t="shared" si="5"/>
        <v>8271571.2029504403</v>
      </c>
      <c r="K20" s="43">
        <f t="shared" si="5"/>
        <v>17140921.638400044</v>
      </c>
      <c r="L20" s="493">
        <f t="shared" si="5"/>
        <v>12975035.567749146</v>
      </c>
      <c r="M20" s="43">
        <f t="shared" si="5"/>
        <v>25543837.363885824</v>
      </c>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row>
    <row r="21" spans="1:52" s="19" customFormat="1" ht="55.5" customHeight="1">
      <c r="A21" s="22" t="s">
        <v>11</v>
      </c>
      <c r="B21" s="22" t="s">
        <v>373</v>
      </c>
      <c r="C21" s="39">
        <v>58529800.700000003</v>
      </c>
      <c r="D21" s="39">
        <f t="shared" ref="D21:M21" si="6">D24+D28+D29+D30+D31</f>
        <v>9012727.6669992432</v>
      </c>
      <c r="E21" s="39">
        <f t="shared" si="6"/>
        <v>17013459.890833918</v>
      </c>
      <c r="F21" s="39">
        <f t="shared" si="6"/>
        <v>979511.18627903447</v>
      </c>
      <c r="G21" s="39">
        <f t="shared" si="6"/>
        <v>1575696.3461333485</v>
      </c>
      <c r="H21" s="39">
        <f t="shared" si="6"/>
        <v>1959022.3725580689</v>
      </c>
      <c r="I21" s="39">
        <f t="shared" si="6"/>
        <v>3151392.6922666971</v>
      </c>
      <c r="J21" s="39">
        <f t="shared" si="6"/>
        <v>4953493.9229504401</v>
      </c>
      <c r="K21" s="39">
        <f t="shared" si="6"/>
        <v>6940921.6384000452</v>
      </c>
      <c r="L21" s="42">
        <f t="shared" si="6"/>
        <v>7944906.7677491447</v>
      </c>
      <c r="M21" s="39">
        <f t="shared" si="6"/>
        <v>10543837.363885824</v>
      </c>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row>
    <row r="22" spans="1:52" ht="18" customHeight="1">
      <c r="A22" s="721" t="s">
        <v>374</v>
      </c>
      <c r="B22" s="721"/>
      <c r="C22" s="44">
        <v>2711483.7177713965</v>
      </c>
      <c r="D22" s="44">
        <v>2521200.9889700389</v>
      </c>
      <c r="E22" s="44">
        <v>5540076.1622328004</v>
      </c>
      <c r="F22" s="44">
        <f>G22/E22*D22</f>
        <v>45411.901610938985</v>
      </c>
      <c r="G22" s="44">
        <v>99787.916432319835</v>
      </c>
      <c r="H22" s="44">
        <f>F22+45411.901610939</f>
        <v>90823.803221877984</v>
      </c>
      <c r="I22" s="44">
        <f>G22+99787.9164323198</f>
        <v>199575.83286463964</v>
      </c>
      <c r="J22" s="44">
        <f>H22+45411.901610939</f>
        <v>136235.70483281699</v>
      </c>
      <c r="K22" s="44">
        <f>I22+99787.9164323198</f>
        <v>299363.74929695943</v>
      </c>
      <c r="L22" s="479">
        <v>0</v>
      </c>
      <c r="M22" s="44">
        <v>0</v>
      </c>
    </row>
    <row r="23" spans="1:52" ht="18" customHeight="1">
      <c r="A23" s="721" t="s">
        <v>375</v>
      </c>
      <c r="B23" s="721"/>
      <c r="C23" s="44">
        <v>2335074.1366513697</v>
      </c>
      <c r="D23" s="44">
        <v>2043794.856312572</v>
      </c>
      <c r="E23" s="44">
        <v>4491025.9886011202</v>
      </c>
      <c r="F23" s="44">
        <f>G23/E23*D23</f>
        <v>85128.83332322372</v>
      </c>
      <c r="G23" s="44">
        <v>187061.73061011979</v>
      </c>
      <c r="H23" s="44">
        <f>F23+85128.8333232237</f>
        <v>170257.66664644744</v>
      </c>
      <c r="I23" s="44">
        <f>G23+187061.73061012</f>
        <v>374123.46122023975</v>
      </c>
      <c r="J23" s="44">
        <f>H23+85128.8333232237</f>
        <v>255386.49996967113</v>
      </c>
      <c r="K23" s="44">
        <f>I23+187061.73061012</f>
        <v>561185.19183035975</v>
      </c>
      <c r="L23" s="479">
        <v>0</v>
      </c>
      <c r="M23" s="44">
        <v>0</v>
      </c>
    </row>
    <row r="24" spans="1:52" s="17" customFormat="1" ht="18" customHeight="1">
      <c r="A24" s="720" t="s">
        <v>181</v>
      </c>
      <c r="B24" s="720"/>
      <c r="C24" s="45">
        <f>C22+C23</f>
        <v>5046557.8544227667</v>
      </c>
      <c r="D24" s="45">
        <v>4564995.8452826105</v>
      </c>
      <c r="E24" s="45">
        <v>10031102.15083392</v>
      </c>
      <c r="F24" s="45">
        <f>F23+F22</f>
        <v>130540.7349341627</v>
      </c>
      <c r="G24" s="45">
        <f>G23+G22</f>
        <v>286849.64704243961</v>
      </c>
      <c r="H24" s="45">
        <f t="shared" ref="H24:M24" si="7">H23+H22</f>
        <v>261081.46986832542</v>
      </c>
      <c r="I24" s="45">
        <f t="shared" si="7"/>
        <v>573699.29408487934</v>
      </c>
      <c r="J24" s="45">
        <f t="shared" si="7"/>
        <v>391622.20480248809</v>
      </c>
      <c r="K24" s="45">
        <f t="shared" si="7"/>
        <v>860548.94112731912</v>
      </c>
      <c r="L24" s="494">
        <f t="shared" si="7"/>
        <v>0</v>
      </c>
      <c r="M24" s="45">
        <f t="shared" si="7"/>
        <v>0</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row>
    <row r="25" spans="1:52" ht="18" customHeight="1">
      <c r="A25" s="721" t="s">
        <v>376</v>
      </c>
      <c r="B25" s="721"/>
      <c r="C25" s="44">
        <f>14056080*0.910168349726776</f>
        <v>12793399.137227541</v>
      </c>
      <c r="D25" s="44">
        <v>3413705.3364502154</v>
      </c>
      <c r="E25" s="44">
        <v>5625946.0199999996</v>
      </c>
      <c r="F25" s="44">
        <f>G25/$E$25*$D$25</f>
        <v>484598.45216770982</v>
      </c>
      <c r="G25" s="44">
        <v>798640.90909090894</v>
      </c>
      <c r="H25" s="44">
        <f>I25/$E$25*$D$25</f>
        <v>969196.90433541965</v>
      </c>
      <c r="I25" s="44">
        <f>G25+798640.909090909</f>
        <v>1597281.8181818179</v>
      </c>
      <c r="J25" s="44">
        <f t="shared" ref="J25" si="8">K25/$E$25*$D$25</f>
        <v>1453795.3565031295</v>
      </c>
      <c r="K25" s="44">
        <f t="shared" ref="K25" si="9">I25+798640.909090909</f>
        <v>2395922.7272727266</v>
      </c>
      <c r="L25" s="479">
        <f t="shared" ref="L25" si="10">M25/$E$25*$D$25</f>
        <v>1938393.8086708393</v>
      </c>
      <c r="M25" s="44">
        <f>K25+798640.909090909</f>
        <v>3194563.6363636358</v>
      </c>
    </row>
    <row r="26" spans="1:52" ht="18" customHeight="1">
      <c r="A26" s="721" t="s">
        <v>377</v>
      </c>
      <c r="B26" s="721"/>
      <c r="C26" s="44">
        <f>2108412*0.910168349726776</f>
        <v>1919009.8705841312</v>
      </c>
      <c r="D26" s="44">
        <v>626876.55772414955</v>
      </c>
      <c r="E26" s="44">
        <v>688747.92</v>
      </c>
      <c r="F26" s="44">
        <f>G26/$E$26*$D$26</f>
        <v>198297.68662702688</v>
      </c>
      <c r="G26" s="44">
        <f>310000*0.702804</f>
        <v>217869.24</v>
      </c>
      <c r="H26" s="44">
        <f>I26/$E$26*$D$26</f>
        <v>396595.37325405376</v>
      </c>
      <c r="I26" s="44">
        <f>G26+310000*0.702804</f>
        <v>435738.48</v>
      </c>
      <c r="J26" s="44">
        <f t="shared" ref="J26" si="11">K26/$E$26*$D$26</f>
        <v>594893.05988108064</v>
      </c>
      <c r="K26" s="44">
        <f t="shared" ref="K26" si="12">I26+310000*0.702804</f>
        <v>653607.72</v>
      </c>
      <c r="L26" s="479">
        <f t="shared" ref="L26" si="13">M26/$E$26*$D$26</f>
        <v>793190.74650810752</v>
      </c>
      <c r="M26" s="44">
        <f>K26+310000*0.702804</f>
        <v>871476.96</v>
      </c>
    </row>
    <row r="27" spans="1:52" ht="18" customHeight="1">
      <c r="A27" s="721" t="s">
        <v>187</v>
      </c>
      <c r="B27" s="721"/>
      <c r="C27" s="44">
        <f>2833833.638328*0.910168349726776</f>
        <v>2579265.6859972212</v>
      </c>
      <c r="D27" s="44">
        <v>407149.92754226649</v>
      </c>
      <c r="E27" s="44">
        <v>667663.79999999993</v>
      </c>
      <c r="F27" s="44">
        <f>G27/$E$27*$D$27</f>
        <v>166074.31255013504</v>
      </c>
      <c r="G27" s="44">
        <f>387500*0.702804</f>
        <v>272336.55</v>
      </c>
      <c r="H27" s="44">
        <f>I27/$E$27*$D$27</f>
        <v>332148.62510027009</v>
      </c>
      <c r="I27" s="44">
        <f>G27+387500*0.702804</f>
        <v>544673.1</v>
      </c>
      <c r="J27" s="44">
        <f t="shared" ref="J27" si="14">K27/$E$27*$D$27</f>
        <v>498222.93765040505</v>
      </c>
      <c r="K27" s="44">
        <f t="shared" ref="K27" si="15">I27+387500*0.702804</f>
        <v>817009.64999999991</v>
      </c>
      <c r="L27" s="479">
        <f t="shared" ref="L27" si="16">M27/$E$27*$D$27</f>
        <v>664297.25020054018</v>
      </c>
      <c r="M27" s="44">
        <f>K27+387500*0.702804</f>
        <v>1089346.2</v>
      </c>
    </row>
    <row r="28" spans="1:52" s="17" customFormat="1" ht="18" customHeight="1">
      <c r="A28" s="720" t="s">
        <v>188</v>
      </c>
      <c r="B28" s="720"/>
      <c r="C28" s="45">
        <f t="shared" ref="C28" si="17">C27+C26+C25</f>
        <v>17291674.693808891</v>
      </c>
      <c r="D28" s="45">
        <v>4447731.8217166318</v>
      </c>
      <c r="E28" s="45">
        <v>6982357.7399999993</v>
      </c>
      <c r="F28" s="45">
        <f t="shared" ref="F28:M28" si="18">F27+F26+F25</f>
        <v>848970.45134487178</v>
      </c>
      <c r="G28" s="45">
        <f t="shared" si="18"/>
        <v>1288846.699090909</v>
      </c>
      <c r="H28" s="45">
        <f t="shared" si="18"/>
        <v>1697940.9026897436</v>
      </c>
      <c r="I28" s="45">
        <f t="shared" si="18"/>
        <v>2577693.398181818</v>
      </c>
      <c r="J28" s="45">
        <f t="shared" si="18"/>
        <v>2546911.3540346152</v>
      </c>
      <c r="K28" s="45">
        <f t="shared" si="18"/>
        <v>3866540.0972727267</v>
      </c>
      <c r="L28" s="494">
        <f t="shared" si="18"/>
        <v>3395881.8053794871</v>
      </c>
      <c r="M28" s="45">
        <f t="shared" si="18"/>
        <v>5155386.7963636359</v>
      </c>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row>
    <row r="29" spans="1:52" s="17" customFormat="1" ht="18" customHeight="1">
      <c r="A29" s="482"/>
      <c r="B29" s="574" t="s">
        <v>1577</v>
      </c>
      <c r="C29" s="44">
        <f>30000000*0.702804*0.910168349726776</f>
        <v>19190098.70584131</v>
      </c>
      <c r="D29" s="45"/>
      <c r="E29" s="45"/>
      <c r="F29" s="45"/>
      <c r="G29" s="45"/>
      <c r="H29" s="45"/>
      <c r="I29" s="45"/>
      <c r="J29" s="44">
        <f>C29/10</f>
        <v>1919009.870584131</v>
      </c>
      <c r="K29" s="44">
        <f>J29/0.910168349726776</f>
        <v>2108412</v>
      </c>
      <c r="L29" s="479">
        <f>J29+2108412</f>
        <v>4027421.8705841312</v>
      </c>
      <c r="M29" s="44">
        <f>K29+2108412/0.910168349726776</f>
        <v>4424919.710505343</v>
      </c>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row>
    <row r="30" spans="1:52" s="17" customFormat="1" ht="18" customHeight="1">
      <c r="A30" s="482"/>
      <c r="B30" s="574" t="s">
        <v>1578</v>
      </c>
      <c r="C30" s="44">
        <f>1500000*0.702804*0.910168349726776</f>
        <v>959504.93529206561</v>
      </c>
      <c r="D30" s="45"/>
      <c r="E30" s="45"/>
      <c r="F30" s="45"/>
      <c r="G30" s="45"/>
      <c r="H30" s="45"/>
      <c r="I30" s="45"/>
      <c r="J30" s="44">
        <f>C30/10</f>
        <v>95950.493529206564</v>
      </c>
      <c r="K30" s="44">
        <f>J30/0.910168349726776</f>
        <v>105420.6</v>
      </c>
      <c r="L30" s="479">
        <f>J30+70280.4</f>
        <v>166230.89352920657</v>
      </c>
      <c r="M30" s="44">
        <f>K30+70280.4/0.910168349726776</f>
        <v>182637.52368351142</v>
      </c>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row>
    <row r="31" spans="1:52" s="17" customFormat="1" ht="18" customHeight="1">
      <c r="A31" s="482"/>
      <c r="B31" s="574" t="s">
        <v>1579</v>
      </c>
      <c r="C31" s="44">
        <f>5000000*0.702804*0.910168349726776</f>
        <v>3198349.7843068852</v>
      </c>
      <c r="D31" s="45"/>
      <c r="E31" s="45"/>
      <c r="F31" s="45"/>
      <c r="G31" s="45"/>
      <c r="H31" s="45"/>
      <c r="I31" s="45"/>
      <c r="J31" s="44"/>
      <c r="K31" s="44"/>
      <c r="L31" s="479">
        <f>C31/9</f>
        <v>355372.19825632055</v>
      </c>
      <c r="M31" s="44">
        <f>L31*2/0.910168349726776</f>
        <v>780893.33333333326</v>
      </c>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row>
    <row r="32" spans="1:52" ht="18" customHeight="1">
      <c r="A32" s="721" t="s">
        <v>1580</v>
      </c>
      <c r="B32" s="721"/>
      <c r="C32" s="559">
        <f>C21-C24-C28-C29-C30-C31</f>
        <v>12843614.726328088</v>
      </c>
      <c r="D32" s="44"/>
      <c r="E32" s="44"/>
      <c r="F32" s="44"/>
      <c r="G32" s="44"/>
      <c r="H32" s="44"/>
      <c r="I32" s="44"/>
      <c r="J32" s="44"/>
      <c r="K32" s="44"/>
      <c r="L32" s="479"/>
      <c r="M32" s="44"/>
    </row>
    <row r="33" spans="1:52" s="19" customFormat="1" ht="30.75" customHeight="1">
      <c r="A33" s="22" t="s">
        <v>14</v>
      </c>
      <c r="B33" s="22" t="s">
        <v>389</v>
      </c>
      <c r="C33" s="39">
        <f>C34+C35</f>
        <v>20000000</v>
      </c>
      <c r="D33" s="39">
        <f>D34+D35</f>
        <v>18478492</v>
      </c>
      <c r="E33" s="39">
        <f t="shared" ref="E33:M33" si="19">E34+E35</f>
        <v>73913968</v>
      </c>
      <c r="F33" s="39">
        <f t="shared" si="19"/>
        <v>450000</v>
      </c>
      <c r="G33" s="39">
        <f t="shared" si="19"/>
        <v>1800000</v>
      </c>
      <c r="H33" s="39">
        <f t="shared" si="19"/>
        <v>1200000</v>
      </c>
      <c r="I33" s="39">
        <f t="shared" si="19"/>
        <v>4800000</v>
      </c>
      <c r="J33" s="39">
        <f t="shared" si="19"/>
        <v>2100000</v>
      </c>
      <c r="K33" s="39">
        <f t="shared" si="19"/>
        <v>8400000</v>
      </c>
      <c r="L33" s="42">
        <f t="shared" si="19"/>
        <v>3000000</v>
      </c>
      <c r="M33" s="39">
        <f t="shared" si="19"/>
        <v>12000000</v>
      </c>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row>
    <row r="34" spans="1:52" ht="18" customHeight="1">
      <c r="A34" s="721" t="s">
        <v>183</v>
      </c>
      <c r="B34" s="721"/>
      <c r="C34" s="44">
        <v>15000000</v>
      </c>
      <c r="D34" s="39">
        <f>E34/4</f>
        <v>17326268</v>
      </c>
      <c r="E34" s="44">
        <v>69305072</v>
      </c>
      <c r="F34" s="44">
        <f>G34/4</f>
        <v>375000</v>
      </c>
      <c r="G34" s="44">
        <f>1500000</f>
        <v>1500000</v>
      </c>
      <c r="H34" s="44">
        <f>I34/4</f>
        <v>1000000</v>
      </c>
      <c r="I34" s="44">
        <f>G34+2500000</f>
        <v>4000000</v>
      </c>
      <c r="J34" s="44">
        <f>K34/4</f>
        <v>1750000</v>
      </c>
      <c r="K34" s="44">
        <f>I34+3000000</f>
        <v>7000000</v>
      </c>
      <c r="L34" s="479">
        <f>M34/4</f>
        <v>2500000</v>
      </c>
      <c r="M34" s="44">
        <f>K34+3000000</f>
        <v>10000000</v>
      </c>
    </row>
    <row r="35" spans="1:52" ht="18" customHeight="1">
      <c r="A35" s="721" t="s">
        <v>184</v>
      </c>
      <c r="B35" s="721"/>
      <c r="C35" s="44">
        <v>5000000</v>
      </c>
      <c r="D35" s="39">
        <f>E35/4</f>
        <v>1152224</v>
      </c>
      <c r="E35" s="44">
        <v>4608896</v>
      </c>
      <c r="F35" s="44">
        <f>G35/4</f>
        <v>75000</v>
      </c>
      <c r="G35" s="44">
        <v>300000</v>
      </c>
      <c r="H35" s="44">
        <f>I35/4</f>
        <v>200000</v>
      </c>
      <c r="I35" s="44">
        <f>G35+500000</f>
        <v>800000</v>
      </c>
      <c r="J35" s="44">
        <f>K35/4</f>
        <v>350000</v>
      </c>
      <c r="K35" s="44">
        <f>I35+600000</f>
        <v>1400000</v>
      </c>
      <c r="L35" s="479">
        <f>M35/4</f>
        <v>500000</v>
      </c>
      <c r="M35" s="44">
        <f>K35+600000</f>
        <v>2000000</v>
      </c>
    </row>
    <row r="36" spans="1:52" s="19" customFormat="1" ht="40.5" customHeight="1">
      <c r="A36" s="22" t="s">
        <v>148</v>
      </c>
      <c r="B36" s="22" t="s">
        <v>185</v>
      </c>
      <c r="C36" s="39">
        <v>10671892</v>
      </c>
      <c r="D36" s="483">
        <v>534031.41717531101</v>
      </c>
      <c r="E36" s="41">
        <v>887654</v>
      </c>
      <c r="F36" s="41">
        <f>G36*0.6767096</f>
        <v>67670.960000000006</v>
      </c>
      <c r="G36" s="41">
        <v>100000</v>
      </c>
      <c r="H36" s="41">
        <f>I36*0.6767096</f>
        <v>541367.68000000005</v>
      </c>
      <c r="I36" s="41">
        <v>800000</v>
      </c>
      <c r="J36" s="41">
        <f>K36*0.6767096</f>
        <v>1218077.28</v>
      </c>
      <c r="K36" s="41">
        <v>1800000</v>
      </c>
      <c r="L36" s="492">
        <f>M36*0.6767096</f>
        <v>2030128.8</v>
      </c>
      <c r="M36" s="41">
        <v>3000000</v>
      </c>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row>
    <row r="37" spans="1:52" ht="21" customHeight="1">
      <c r="A37" s="722" t="s">
        <v>186</v>
      </c>
      <c r="B37" s="722"/>
      <c r="C37" s="722"/>
      <c r="D37" s="722"/>
      <c r="E37" s="722"/>
      <c r="F37" s="722"/>
      <c r="G37" s="722"/>
      <c r="H37" s="722"/>
      <c r="I37" s="722"/>
      <c r="J37" s="722"/>
      <c r="K37" s="722"/>
      <c r="L37" s="722"/>
      <c r="M37" s="722"/>
    </row>
    <row r="38" spans="1:52" ht="21" customHeight="1">
      <c r="A38" s="718" t="s">
        <v>917</v>
      </c>
      <c r="B38" s="718"/>
      <c r="C38" s="718"/>
      <c r="D38" s="718"/>
      <c r="E38" s="718"/>
      <c r="F38" s="718"/>
      <c r="G38" s="718"/>
      <c r="H38" s="718"/>
      <c r="I38" s="718"/>
      <c r="J38" s="718"/>
      <c r="K38" s="718"/>
      <c r="L38" s="718"/>
      <c r="M38" s="718"/>
    </row>
    <row r="39" spans="1:52" ht="21" customHeight="1">
      <c r="A39" s="718" t="s">
        <v>390</v>
      </c>
      <c r="B39" s="718"/>
      <c r="C39" s="718"/>
      <c r="D39" s="718"/>
      <c r="E39" s="718"/>
      <c r="F39" s="718"/>
      <c r="G39" s="718"/>
      <c r="H39" s="718"/>
      <c r="I39" s="718"/>
      <c r="J39" s="718"/>
      <c r="K39" s="718"/>
      <c r="L39" s="718"/>
      <c r="M39" s="718"/>
    </row>
    <row r="40" spans="1:52" ht="31.5" customHeight="1">
      <c r="A40" s="719" t="s">
        <v>388</v>
      </c>
      <c r="B40" s="719"/>
      <c r="C40" s="719"/>
      <c r="D40" s="719"/>
      <c r="E40" s="719"/>
      <c r="F40" s="719"/>
      <c r="G40" s="719"/>
      <c r="H40" s="719"/>
      <c r="I40" s="719"/>
      <c r="J40" s="719"/>
      <c r="K40" s="719"/>
      <c r="L40" s="719"/>
      <c r="M40" s="719"/>
    </row>
    <row r="41" spans="1:52" s="3" customFormat="1" ht="20.25" customHeight="1">
      <c r="A41" s="718" t="s">
        <v>1581</v>
      </c>
      <c r="B41" s="718"/>
      <c r="C41" s="718"/>
      <c r="D41" s="718"/>
      <c r="E41" s="718"/>
      <c r="F41" s="718"/>
      <c r="G41" s="718"/>
      <c r="H41" s="718"/>
      <c r="I41" s="718"/>
      <c r="J41" s="718"/>
      <c r="K41" s="718"/>
      <c r="L41" s="718"/>
      <c r="M41" s="718"/>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row>
    <row r="42" spans="1:52" s="3" customFormat="1" ht="107.25" customHeight="1">
      <c r="B42" s="27"/>
      <c r="C42" s="28"/>
      <c r="D42" s="24"/>
      <c r="E42" s="484"/>
      <c r="F42" s="34"/>
      <c r="G42" s="34"/>
      <c r="H42" s="34"/>
      <c r="I42" s="34"/>
      <c r="J42" s="34"/>
      <c r="K42" s="34"/>
      <c r="L42" s="495"/>
      <c r="M42" s="34"/>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row>
    <row r="43" spans="1:52" s="3" customFormat="1" ht="30" customHeight="1">
      <c r="A43" s="310"/>
      <c r="B43" s="562"/>
      <c r="C43"/>
      <c r="D43" s="687" t="s">
        <v>1586</v>
      </c>
      <c r="E43" s="688"/>
      <c r="F43" s="688"/>
      <c r="G43" s="689"/>
      <c r="H43" s="690"/>
      <c r="I43" s="690"/>
      <c r="J43" s="687"/>
      <c r="K43" s="688"/>
      <c r="L43" s="688"/>
      <c r="M43" s="691" t="s">
        <v>1587</v>
      </c>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row>
    <row r="44" spans="1:52" s="3" customFormat="1" ht="15.75" customHeight="1">
      <c r="A44" s="20"/>
      <c r="B44" s="562"/>
      <c r="C44"/>
      <c r="D44"/>
      <c r="E44"/>
      <c r="F44"/>
      <c r="G44" s="563"/>
      <c r="H44" s="566"/>
      <c r="I44" s="564"/>
      <c r="J44" s="567"/>
      <c r="K44" s="20"/>
      <c r="L44" s="20"/>
      <c r="M44" s="20"/>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row>
    <row r="45" spans="1:52" ht="15.75" customHeight="1">
      <c r="A45" s="20"/>
      <c r="B45" s="562"/>
      <c r="G45" s="569"/>
      <c r="H45" s="566"/>
      <c r="I45" s="570"/>
      <c r="J45" s="571"/>
      <c r="K45" s="571"/>
      <c r="L45" s="571"/>
      <c r="M45" s="571"/>
    </row>
    <row r="46" spans="1:52" ht="19.5" customHeight="1">
      <c r="A46" s="26" t="s">
        <v>1595</v>
      </c>
      <c r="B46" s="572"/>
      <c r="G46" s="569"/>
      <c r="H46" s="566"/>
      <c r="I46" s="570"/>
      <c r="J46" s="26"/>
      <c r="K46" s="26"/>
      <c r="L46" s="571"/>
      <c r="M46" s="571"/>
    </row>
    <row r="47" spans="1:52" ht="19.5" customHeight="1">
      <c r="A47" s="26" t="s">
        <v>1588</v>
      </c>
      <c r="B47" s="572"/>
      <c r="C47" s="20"/>
      <c r="D47" s="20"/>
      <c r="E47" s="20"/>
      <c r="F47" s="20"/>
      <c r="G47" s="20"/>
      <c r="H47" s="20"/>
      <c r="I47" s="568"/>
      <c r="J47" s="20"/>
      <c r="K47" s="20"/>
      <c r="L47" s="20"/>
      <c r="M47" s="20"/>
    </row>
    <row r="48" spans="1:52" ht="19.5" customHeight="1">
      <c r="A48" s="26" t="s">
        <v>1589</v>
      </c>
      <c r="B48" s="572"/>
      <c r="C48" s="20"/>
      <c r="D48" s="20"/>
      <c r="E48" s="20"/>
      <c r="F48" s="20"/>
      <c r="G48" s="20"/>
      <c r="H48" s="20"/>
      <c r="I48" s="568"/>
      <c r="J48" s="20"/>
      <c r="K48" s="20"/>
      <c r="L48" s="20"/>
      <c r="M48" s="20"/>
    </row>
    <row r="49" spans="1:13" ht="23.25">
      <c r="A49" s="20"/>
      <c r="B49" s="562"/>
      <c r="C49" s="20"/>
      <c r="D49" s="573"/>
      <c r="E49" s="573"/>
      <c r="F49" s="573"/>
      <c r="G49" s="573"/>
      <c r="H49" s="20"/>
      <c r="I49" s="568"/>
      <c r="J49" s="20"/>
      <c r="K49" s="20"/>
      <c r="L49" s="20"/>
      <c r="M49" s="20"/>
    </row>
  </sheetData>
  <mergeCells count="33">
    <mergeCell ref="A1:M1"/>
    <mergeCell ref="A3:B6"/>
    <mergeCell ref="C3:C6"/>
    <mergeCell ref="D3:E5"/>
    <mergeCell ref="J5:K5"/>
    <mergeCell ref="H5:I5"/>
    <mergeCell ref="F5:G5"/>
    <mergeCell ref="L3:M5"/>
    <mergeCell ref="A23:B23"/>
    <mergeCell ref="A7:B7"/>
    <mergeCell ref="A8:B8"/>
    <mergeCell ref="A10:B10"/>
    <mergeCell ref="A11:B11"/>
    <mergeCell ref="A13:B13"/>
    <mergeCell ref="A15:B15"/>
    <mergeCell ref="A16:B16"/>
    <mergeCell ref="A17:B17"/>
    <mergeCell ref="A18:B18"/>
    <mergeCell ref="A20:B20"/>
    <mergeCell ref="A22:B22"/>
    <mergeCell ref="A41:M41"/>
    <mergeCell ref="A40:M40"/>
    <mergeCell ref="A24:B24"/>
    <mergeCell ref="A25:B25"/>
    <mergeCell ref="A26:B26"/>
    <mergeCell ref="A27:B27"/>
    <mergeCell ref="A28:B28"/>
    <mergeCell ref="A32:B32"/>
    <mergeCell ref="A34:B34"/>
    <mergeCell ref="A35:B35"/>
    <mergeCell ref="A37:M37"/>
    <mergeCell ref="A38:M38"/>
    <mergeCell ref="A39:M39"/>
  </mergeCells>
  <pageMargins left="0.70866141732283472" right="0.70866141732283472" top="0.74803149606299213" bottom="0.74803149606299213" header="0.31496062992125984" footer="0.31496062992125984"/>
  <pageSetup paperSize="9" scale="52" fitToHeight="0" orientation="portrait" r:id="rId1"/>
  <headerFooter>
    <oddHeader>&amp;C&amp;P</oddHeader>
    <oddFooter>&amp;L&amp;F; Mērķi maksājumiem finansējuma saņēmējiem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view="pageLayout" zoomScale="70" zoomScaleNormal="80" zoomScalePageLayoutView="70" workbookViewId="0">
      <selection activeCell="G25" sqref="G25"/>
    </sheetView>
  </sheetViews>
  <sheetFormatPr defaultRowHeight="15.75"/>
  <cols>
    <col min="1" max="1" width="7.125" customWidth="1"/>
    <col min="2" max="2" width="33.125" customWidth="1"/>
    <col min="3" max="4" width="13.5" customWidth="1"/>
    <col min="5" max="5" width="11.875" customWidth="1"/>
    <col min="6" max="6" width="10.875" customWidth="1"/>
    <col min="7" max="7" width="10.375" customWidth="1"/>
    <col min="8" max="8" width="10.5" customWidth="1"/>
    <col min="9" max="9" width="9.625" customWidth="1"/>
    <col min="10" max="10" width="10.5" customWidth="1"/>
    <col min="11" max="11" width="9.875" customWidth="1"/>
    <col min="12" max="12" width="10.625" customWidth="1"/>
    <col min="13" max="13" width="10.875" bestFit="1" customWidth="1"/>
    <col min="14" max="14" width="10.5" customWidth="1"/>
    <col min="15" max="15" width="10.625" customWidth="1"/>
    <col min="16" max="16" width="10.875" bestFit="1" customWidth="1"/>
    <col min="258" max="258" width="7.125" customWidth="1"/>
    <col min="259" max="259" width="36.75" customWidth="1"/>
    <col min="260" max="260" width="13.5" customWidth="1"/>
    <col min="261" max="261" width="11" customWidth="1"/>
    <col min="262" max="262" width="10.875" customWidth="1"/>
    <col min="263" max="263" width="10.375" customWidth="1"/>
    <col min="264" max="264" width="10.5" customWidth="1"/>
    <col min="265" max="265" width="9.625" customWidth="1"/>
    <col min="266" max="266" width="10.5" customWidth="1"/>
    <col min="267" max="267" width="9.875" customWidth="1"/>
    <col min="268" max="268" width="10.625" customWidth="1"/>
    <col min="269" max="269" width="10.875" bestFit="1" customWidth="1"/>
    <col min="270" max="270" width="10.5" customWidth="1"/>
    <col min="271" max="271" width="10.625" customWidth="1"/>
    <col min="272" max="272" width="10.875" bestFit="1" customWidth="1"/>
    <col min="514" max="514" width="7.125" customWidth="1"/>
    <col min="515" max="515" width="36.75" customWidth="1"/>
    <col min="516" max="516" width="13.5" customWidth="1"/>
    <col min="517" max="517" width="11" customWidth="1"/>
    <col min="518" max="518" width="10.875" customWidth="1"/>
    <col min="519" max="519" width="10.375" customWidth="1"/>
    <col min="520" max="520" width="10.5" customWidth="1"/>
    <col min="521" max="521" width="9.625" customWidth="1"/>
    <col min="522" max="522" width="10.5" customWidth="1"/>
    <col min="523" max="523" width="9.875" customWidth="1"/>
    <col min="524" max="524" width="10.625" customWidth="1"/>
    <col min="525" max="525" width="10.875" bestFit="1" customWidth="1"/>
    <col min="526" max="526" width="10.5" customWidth="1"/>
    <col min="527" max="527" width="10.625" customWidth="1"/>
    <col min="528" max="528" width="10.875" bestFit="1" customWidth="1"/>
    <col min="770" max="770" width="7.125" customWidth="1"/>
    <col min="771" max="771" width="36.75" customWidth="1"/>
    <col min="772" max="772" width="13.5" customWidth="1"/>
    <col min="773" max="773" width="11" customWidth="1"/>
    <col min="774" max="774" width="10.875" customWidth="1"/>
    <col min="775" max="775" width="10.375" customWidth="1"/>
    <col min="776" max="776" width="10.5" customWidth="1"/>
    <col min="777" max="777" width="9.625" customWidth="1"/>
    <col min="778" max="778" width="10.5" customWidth="1"/>
    <col min="779" max="779" width="9.875" customWidth="1"/>
    <col min="780" max="780" width="10.625" customWidth="1"/>
    <col min="781" max="781" width="10.875" bestFit="1" customWidth="1"/>
    <col min="782" max="782" width="10.5" customWidth="1"/>
    <col min="783" max="783" width="10.625" customWidth="1"/>
    <col min="784" max="784" width="10.875" bestFit="1" customWidth="1"/>
    <col min="1026" max="1026" width="7.125" customWidth="1"/>
    <col min="1027" max="1027" width="36.75" customWidth="1"/>
    <col min="1028" max="1028" width="13.5" customWidth="1"/>
    <col min="1029" max="1029" width="11" customWidth="1"/>
    <col min="1030" max="1030" width="10.875" customWidth="1"/>
    <col min="1031" max="1031" width="10.375" customWidth="1"/>
    <col min="1032" max="1032" width="10.5" customWidth="1"/>
    <col min="1033" max="1033" width="9.625" customWidth="1"/>
    <col min="1034" max="1034" width="10.5" customWidth="1"/>
    <col min="1035" max="1035" width="9.875" customWidth="1"/>
    <col min="1036" max="1036" width="10.625" customWidth="1"/>
    <col min="1037" max="1037" width="10.875" bestFit="1" customWidth="1"/>
    <col min="1038" max="1038" width="10.5" customWidth="1"/>
    <col min="1039" max="1039" width="10.625" customWidth="1"/>
    <col min="1040" max="1040" width="10.875" bestFit="1" customWidth="1"/>
    <col min="1282" max="1282" width="7.125" customWidth="1"/>
    <col min="1283" max="1283" width="36.75" customWidth="1"/>
    <col min="1284" max="1284" width="13.5" customWidth="1"/>
    <col min="1285" max="1285" width="11" customWidth="1"/>
    <col min="1286" max="1286" width="10.875" customWidth="1"/>
    <col min="1287" max="1287" width="10.375" customWidth="1"/>
    <col min="1288" max="1288" width="10.5" customWidth="1"/>
    <col min="1289" max="1289" width="9.625" customWidth="1"/>
    <col min="1290" max="1290" width="10.5" customWidth="1"/>
    <col min="1291" max="1291" width="9.875" customWidth="1"/>
    <col min="1292" max="1292" width="10.625" customWidth="1"/>
    <col min="1293" max="1293" width="10.875" bestFit="1" customWidth="1"/>
    <col min="1294" max="1294" width="10.5" customWidth="1"/>
    <col min="1295" max="1295" width="10.625" customWidth="1"/>
    <col min="1296" max="1296" width="10.875" bestFit="1" customWidth="1"/>
    <col min="1538" max="1538" width="7.125" customWidth="1"/>
    <col min="1539" max="1539" width="36.75" customWidth="1"/>
    <col min="1540" max="1540" width="13.5" customWidth="1"/>
    <col min="1541" max="1541" width="11" customWidth="1"/>
    <col min="1542" max="1542" width="10.875" customWidth="1"/>
    <col min="1543" max="1543" width="10.375" customWidth="1"/>
    <col min="1544" max="1544" width="10.5" customWidth="1"/>
    <col min="1545" max="1545" width="9.625" customWidth="1"/>
    <col min="1546" max="1546" width="10.5" customWidth="1"/>
    <col min="1547" max="1547" width="9.875" customWidth="1"/>
    <col min="1548" max="1548" width="10.625" customWidth="1"/>
    <col min="1549" max="1549" width="10.875" bestFit="1" customWidth="1"/>
    <col min="1550" max="1550" width="10.5" customWidth="1"/>
    <col min="1551" max="1551" width="10.625" customWidth="1"/>
    <col min="1552" max="1552" width="10.875" bestFit="1" customWidth="1"/>
    <col min="1794" max="1794" width="7.125" customWidth="1"/>
    <col min="1795" max="1795" width="36.75" customWidth="1"/>
    <col min="1796" max="1796" width="13.5" customWidth="1"/>
    <col min="1797" max="1797" width="11" customWidth="1"/>
    <col min="1798" max="1798" width="10.875" customWidth="1"/>
    <col min="1799" max="1799" width="10.375" customWidth="1"/>
    <col min="1800" max="1800" width="10.5" customWidth="1"/>
    <col min="1801" max="1801" width="9.625" customWidth="1"/>
    <col min="1802" max="1802" width="10.5" customWidth="1"/>
    <col min="1803" max="1803" width="9.875" customWidth="1"/>
    <col min="1804" max="1804" width="10.625" customWidth="1"/>
    <col min="1805" max="1805" width="10.875" bestFit="1" customWidth="1"/>
    <col min="1806" max="1806" width="10.5" customWidth="1"/>
    <col min="1807" max="1807" width="10.625" customWidth="1"/>
    <col min="1808" max="1808" width="10.875" bestFit="1" customWidth="1"/>
    <col min="2050" max="2050" width="7.125" customWidth="1"/>
    <col min="2051" max="2051" width="36.75" customWidth="1"/>
    <col min="2052" max="2052" width="13.5" customWidth="1"/>
    <col min="2053" max="2053" width="11" customWidth="1"/>
    <col min="2054" max="2054" width="10.875" customWidth="1"/>
    <col min="2055" max="2055" width="10.375" customWidth="1"/>
    <col min="2056" max="2056" width="10.5" customWidth="1"/>
    <col min="2057" max="2057" width="9.625" customWidth="1"/>
    <col min="2058" max="2058" width="10.5" customWidth="1"/>
    <col min="2059" max="2059" width="9.875" customWidth="1"/>
    <col min="2060" max="2060" width="10.625" customWidth="1"/>
    <col min="2061" max="2061" width="10.875" bestFit="1" customWidth="1"/>
    <col min="2062" max="2062" width="10.5" customWidth="1"/>
    <col min="2063" max="2063" width="10.625" customWidth="1"/>
    <col min="2064" max="2064" width="10.875" bestFit="1" customWidth="1"/>
    <col min="2306" max="2306" width="7.125" customWidth="1"/>
    <col min="2307" max="2307" width="36.75" customWidth="1"/>
    <col min="2308" max="2308" width="13.5" customWidth="1"/>
    <col min="2309" max="2309" width="11" customWidth="1"/>
    <col min="2310" max="2310" width="10.875" customWidth="1"/>
    <col min="2311" max="2311" width="10.375" customWidth="1"/>
    <col min="2312" max="2312" width="10.5" customWidth="1"/>
    <col min="2313" max="2313" width="9.625" customWidth="1"/>
    <col min="2314" max="2314" width="10.5" customWidth="1"/>
    <col min="2315" max="2315" width="9.875" customWidth="1"/>
    <col min="2316" max="2316" width="10.625" customWidth="1"/>
    <col min="2317" max="2317" width="10.875" bestFit="1" customWidth="1"/>
    <col min="2318" max="2318" width="10.5" customWidth="1"/>
    <col min="2319" max="2319" width="10.625" customWidth="1"/>
    <col min="2320" max="2320" width="10.875" bestFit="1" customWidth="1"/>
    <col min="2562" max="2562" width="7.125" customWidth="1"/>
    <col min="2563" max="2563" width="36.75" customWidth="1"/>
    <col min="2564" max="2564" width="13.5" customWidth="1"/>
    <col min="2565" max="2565" width="11" customWidth="1"/>
    <col min="2566" max="2566" width="10.875" customWidth="1"/>
    <col min="2567" max="2567" width="10.375" customWidth="1"/>
    <col min="2568" max="2568" width="10.5" customWidth="1"/>
    <col min="2569" max="2569" width="9.625" customWidth="1"/>
    <col min="2570" max="2570" width="10.5" customWidth="1"/>
    <col min="2571" max="2571" width="9.875" customWidth="1"/>
    <col min="2572" max="2572" width="10.625" customWidth="1"/>
    <col min="2573" max="2573" width="10.875" bestFit="1" customWidth="1"/>
    <col min="2574" max="2574" width="10.5" customWidth="1"/>
    <col min="2575" max="2575" width="10.625" customWidth="1"/>
    <col min="2576" max="2576" width="10.875" bestFit="1" customWidth="1"/>
    <col min="2818" max="2818" width="7.125" customWidth="1"/>
    <col min="2819" max="2819" width="36.75" customWidth="1"/>
    <col min="2820" max="2820" width="13.5" customWidth="1"/>
    <col min="2821" max="2821" width="11" customWidth="1"/>
    <col min="2822" max="2822" width="10.875" customWidth="1"/>
    <col min="2823" max="2823" width="10.375" customWidth="1"/>
    <col min="2824" max="2824" width="10.5" customWidth="1"/>
    <col min="2825" max="2825" width="9.625" customWidth="1"/>
    <col min="2826" max="2826" width="10.5" customWidth="1"/>
    <col min="2827" max="2827" width="9.875" customWidth="1"/>
    <col min="2828" max="2828" width="10.625" customWidth="1"/>
    <col min="2829" max="2829" width="10.875" bestFit="1" customWidth="1"/>
    <col min="2830" max="2830" width="10.5" customWidth="1"/>
    <col min="2831" max="2831" width="10.625" customWidth="1"/>
    <col min="2832" max="2832" width="10.875" bestFit="1" customWidth="1"/>
    <col min="3074" max="3074" width="7.125" customWidth="1"/>
    <col min="3075" max="3075" width="36.75" customWidth="1"/>
    <col min="3076" max="3076" width="13.5" customWidth="1"/>
    <col min="3077" max="3077" width="11" customWidth="1"/>
    <col min="3078" max="3078" width="10.875" customWidth="1"/>
    <col min="3079" max="3079" width="10.375" customWidth="1"/>
    <col min="3080" max="3080" width="10.5" customWidth="1"/>
    <col min="3081" max="3081" width="9.625" customWidth="1"/>
    <col min="3082" max="3082" width="10.5" customWidth="1"/>
    <col min="3083" max="3083" width="9.875" customWidth="1"/>
    <col min="3084" max="3084" width="10.625" customWidth="1"/>
    <col min="3085" max="3085" width="10.875" bestFit="1" customWidth="1"/>
    <col min="3086" max="3086" width="10.5" customWidth="1"/>
    <col min="3087" max="3087" width="10.625" customWidth="1"/>
    <col min="3088" max="3088" width="10.875" bestFit="1" customWidth="1"/>
    <col min="3330" max="3330" width="7.125" customWidth="1"/>
    <col min="3331" max="3331" width="36.75" customWidth="1"/>
    <col min="3332" max="3332" width="13.5" customWidth="1"/>
    <col min="3333" max="3333" width="11" customWidth="1"/>
    <col min="3334" max="3334" width="10.875" customWidth="1"/>
    <col min="3335" max="3335" width="10.375" customWidth="1"/>
    <col min="3336" max="3336" width="10.5" customWidth="1"/>
    <col min="3337" max="3337" width="9.625" customWidth="1"/>
    <col min="3338" max="3338" width="10.5" customWidth="1"/>
    <col min="3339" max="3339" width="9.875" customWidth="1"/>
    <col min="3340" max="3340" width="10.625" customWidth="1"/>
    <col min="3341" max="3341" width="10.875" bestFit="1" customWidth="1"/>
    <col min="3342" max="3342" width="10.5" customWidth="1"/>
    <col min="3343" max="3343" width="10.625" customWidth="1"/>
    <col min="3344" max="3344" width="10.875" bestFit="1" customWidth="1"/>
    <col min="3586" max="3586" width="7.125" customWidth="1"/>
    <col min="3587" max="3587" width="36.75" customWidth="1"/>
    <col min="3588" max="3588" width="13.5" customWidth="1"/>
    <col min="3589" max="3589" width="11" customWidth="1"/>
    <col min="3590" max="3590" width="10.875" customWidth="1"/>
    <col min="3591" max="3591" width="10.375" customWidth="1"/>
    <col min="3592" max="3592" width="10.5" customWidth="1"/>
    <col min="3593" max="3593" width="9.625" customWidth="1"/>
    <col min="3594" max="3594" width="10.5" customWidth="1"/>
    <col min="3595" max="3595" width="9.875" customWidth="1"/>
    <col min="3596" max="3596" width="10.625" customWidth="1"/>
    <col min="3597" max="3597" width="10.875" bestFit="1" customWidth="1"/>
    <col min="3598" max="3598" width="10.5" customWidth="1"/>
    <col min="3599" max="3599" width="10.625" customWidth="1"/>
    <col min="3600" max="3600" width="10.875" bestFit="1" customWidth="1"/>
    <col min="3842" max="3842" width="7.125" customWidth="1"/>
    <col min="3843" max="3843" width="36.75" customWidth="1"/>
    <col min="3844" max="3844" width="13.5" customWidth="1"/>
    <col min="3845" max="3845" width="11" customWidth="1"/>
    <col min="3846" max="3846" width="10.875" customWidth="1"/>
    <col min="3847" max="3847" width="10.375" customWidth="1"/>
    <col min="3848" max="3848" width="10.5" customWidth="1"/>
    <col min="3849" max="3849" width="9.625" customWidth="1"/>
    <col min="3850" max="3850" width="10.5" customWidth="1"/>
    <col min="3851" max="3851" width="9.875" customWidth="1"/>
    <col min="3852" max="3852" width="10.625" customWidth="1"/>
    <col min="3853" max="3853" width="10.875" bestFit="1" customWidth="1"/>
    <col min="3854" max="3854" width="10.5" customWidth="1"/>
    <col min="3855" max="3855" width="10.625" customWidth="1"/>
    <col min="3856" max="3856" width="10.875" bestFit="1" customWidth="1"/>
    <col min="4098" max="4098" width="7.125" customWidth="1"/>
    <col min="4099" max="4099" width="36.75" customWidth="1"/>
    <col min="4100" max="4100" width="13.5" customWidth="1"/>
    <col min="4101" max="4101" width="11" customWidth="1"/>
    <col min="4102" max="4102" width="10.875" customWidth="1"/>
    <col min="4103" max="4103" width="10.375" customWidth="1"/>
    <col min="4104" max="4104" width="10.5" customWidth="1"/>
    <col min="4105" max="4105" width="9.625" customWidth="1"/>
    <col min="4106" max="4106" width="10.5" customWidth="1"/>
    <col min="4107" max="4107" width="9.875" customWidth="1"/>
    <col min="4108" max="4108" width="10.625" customWidth="1"/>
    <col min="4109" max="4109" width="10.875" bestFit="1" customWidth="1"/>
    <col min="4110" max="4110" width="10.5" customWidth="1"/>
    <col min="4111" max="4111" width="10.625" customWidth="1"/>
    <col min="4112" max="4112" width="10.875" bestFit="1" customWidth="1"/>
    <col min="4354" max="4354" width="7.125" customWidth="1"/>
    <col min="4355" max="4355" width="36.75" customWidth="1"/>
    <col min="4356" max="4356" width="13.5" customWidth="1"/>
    <col min="4357" max="4357" width="11" customWidth="1"/>
    <col min="4358" max="4358" width="10.875" customWidth="1"/>
    <col min="4359" max="4359" width="10.375" customWidth="1"/>
    <col min="4360" max="4360" width="10.5" customWidth="1"/>
    <col min="4361" max="4361" width="9.625" customWidth="1"/>
    <col min="4362" max="4362" width="10.5" customWidth="1"/>
    <col min="4363" max="4363" width="9.875" customWidth="1"/>
    <col min="4364" max="4364" width="10.625" customWidth="1"/>
    <col min="4365" max="4365" width="10.875" bestFit="1" customWidth="1"/>
    <col min="4366" max="4366" width="10.5" customWidth="1"/>
    <col min="4367" max="4367" width="10.625" customWidth="1"/>
    <col min="4368" max="4368" width="10.875" bestFit="1" customWidth="1"/>
    <col min="4610" max="4610" width="7.125" customWidth="1"/>
    <col min="4611" max="4611" width="36.75" customWidth="1"/>
    <col min="4612" max="4612" width="13.5" customWidth="1"/>
    <col min="4613" max="4613" width="11" customWidth="1"/>
    <col min="4614" max="4614" width="10.875" customWidth="1"/>
    <col min="4615" max="4615" width="10.375" customWidth="1"/>
    <col min="4616" max="4616" width="10.5" customWidth="1"/>
    <col min="4617" max="4617" width="9.625" customWidth="1"/>
    <col min="4618" max="4618" width="10.5" customWidth="1"/>
    <col min="4619" max="4619" width="9.875" customWidth="1"/>
    <col min="4620" max="4620" width="10.625" customWidth="1"/>
    <col min="4621" max="4621" width="10.875" bestFit="1" customWidth="1"/>
    <col min="4622" max="4622" width="10.5" customWidth="1"/>
    <col min="4623" max="4623" width="10.625" customWidth="1"/>
    <col min="4624" max="4624" width="10.875" bestFit="1" customWidth="1"/>
    <col min="4866" max="4866" width="7.125" customWidth="1"/>
    <col min="4867" max="4867" width="36.75" customWidth="1"/>
    <col min="4868" max="4868" width="13.5" customWidth="1"/>
    <col min="4869" max="4869" width="11" customWidth="1"/>
    <col min="4870" max="4870" width="10.875" customWidth="1"/>
    <col min="4871" max="4871" width="10.375" customWidth="1"/>
    <col min="4872" max="4872" width="10.5" customWidth="1"/>
    <col min="4873" max="4873" width="9.625" customWidth="1"/>
    <col min="4874" max="4874" width="10.5" customWidth="1"/>
    <col min="4875" max="4875" width="9.875" customWidth="1"/>
    <col min="4876" max="4876" width="10.625" customWidth="1"/>
    <col min="4877" max="4877" width="10.875" bestFit="1" customWidth="1"/>
    <col min="4878" max="4878" width="10.5" customWidth="1"/>
    <col min="4879" max="4879" width="10.625" customWidth="1"/>
    <col min="4880" max="4880" width="10.875" bestFit="1" customWidth="1"/>
    <col min="5122" max="5122" width="7.125" customWidth="1"/>
    <col min="5123" max="5123" width="36.75" customWidth="1"/>
    <col min="5124" max="5124" width="13.5" customWidth="1"/>
    <col min="5125" max="5125" width="11" customWidth="1"/>
    <col min="5126" max="5126" width="10.875" customWidth="1"/>
    <col min="5127" max="5127" width="10.375" customWidth="1"/>
    <col min="5128" max="5128" width="10.5" customWidth="1"/>
    <col min="5129" max="5129" width="9.625" customWidth="1"/>
    <col min="5130" max="5130" width="10.5" customWidth="1"/>
    <col min="5131" max="5131" width="9.875" customWidth="1"/>
    <col min="5132" max="5132" width="10.625" customWidth="1"/>
    <col min="5133" max="5133" width="10.875" bestFit="1" customWidth="1"/>
    <col min="5134" max="5134" width="10.5" customWidth="1"/>
    <col min="5135" max="5135" width="10.625" customWidth="1"/>
    <col min="5136" max="5136" width="10.875" bestFit="1" customWidth="1"/>
    <col min="5378" max="5378" width="7.125" customWidth="1"/>
    <col min="5379" max="5379" width="36.75" customWidth="1"/>
    <col min="5380" max="5380" width="13.5" customWidth="1"/>
    <col min="5381" max="5381" width="11" customWidth="1"/>
    <col min="5382" max="5382" width="10.875" customWidth="1"/>
    <col min="5383" max="5383" width="10.375" customWidth="1"/>
    <col min="5384" max="5384" width="10.5" customWidth="1"/>
    <col min="5385" max="5385" width="9.625" customWidth="1"/>
    <col min="5386" max="5386" width="10.5" customWidth="1"/>
    <col min="5387" max="5387" width="9.875" customWidth="1"/>
    <col min="5388" max="5388" width="10.625" customWidth="1"/>
    <col min="5389" max="5389" width="10.875" bestFit="1" customWidth="1"/>
    <col min="5390" max="5390" width="10.5" customWidth="1"/>
    <col min="5391" max="5391" width="10.625" customWidth="1"/>
    <col min="5392" max="5392" width="10.875" bestFit="1" customWidth="1"/>
    <col min="5634" max="5634" width="7.125" customWidth="1"/>
    <col min="5635" max="5635" width="36.75" customWidth="1"/>
    <col min="5636" max="5636" width="13.5" customWidth="1"/>
    <col min="5637" max="5637" width="11" customWidth="1"/>
    <col min="5638" max="5638" width="10.875" customWidth="1"/>
    <col min="5639" max="5639" width="10.375" customWidth="1"/>
    <col min="5640" max="5640" width="10.5" customWidth="1"/>
    <col min="5641" max="5641" width="9.625" customWidth="1"/>
    <col min="5642" max="5642" width="10.5" customWidth="1"/>
    <col min="5643" max="5643" width="9.875" customWidth="1"/>
    <col min="5644" max="5644" width="10.625" customWidth="1"/>
    <col min="5645" max="5645" width="10.875" bestFit="1" customWidth="1"/>
    <col min="5646" max="5646" width="10.5" customWidth="1"/>
    <col min="5647" max="5647" width="10.625" customWidth="1"/>
    <col min="5648" max="5648" width="10.875" bestFit="1" customWidth="1"/>
    <col min="5890" max="5890" width="7.125" customWidth="1"/>
    <col min="5891" max="5891" width="36.75" customWidth="1"/>
    <col min="5892" max="5892" width="13.5" customWidth="1"/>
    <col min="5893" max="5893" width="11" customWidth="1"/>
    <col min="5894" max="5894" width="10.875" customWidth="1"/>
    <col min="5895" max="5895" width="10.375" customWidth="1"/>
    <col min="5896" max="5896" width="10.5" customWidth="1"/>
    <col min="5897" max="5897" width="9.625" customWidth="1"/>
    <col min="5898" max="5898" width="10.5" customWidth="1"/>
    <col min="5899" max="5899" width="9.875" customWidth="1"/>
    <col min="5900" max="5900" width="10.625" customWidth="1"/>
    <col min="5901" max="5901" width="10.875" bestFit="1" customWidth="1"/>
    <col min="5902" max="5902" width="10.5" customWidth="1"/>
    <col min="5903" max="5903" width="10.625" customWidth="1"/>
    <col min="5904" max="5904" width="10.875" bestFit="1" customWidth="1"/>
    <col min="6146" max="6146" width="7.125" customWidth="1"/>
    <col min="6147" max="6147" width="36.75" customWidth="1"/>
    <col min="6148" max="6148" width="13.5" customWidth="1"/>
    <col min="6149" max="6149" width="11" customWidth="1"/>
    <col min="6150" max="6150" width="10.875" customWidth="1"/>
    <col min="6151" max="6151" width="10.375" customWidth="1"/>
    <col min="6152" max="6152" width="10.5" customWidth="1"/>
    <col min="6153" max="6153" width="9.625" customWidth="1"/>
    <col min="6154" max="6154" width="10.5" customWidth="1"/>
    <col min="6155" max="6155" width="9.875" customWidth="1"/>
    <col min="6156" max="6156" width="10.625" customWidth="1"/>
    <col min="6157" max="6157" width="10.875" bestFit="1" customWidth="1"/>
    <col min="6158" max="6158" width="10.5" customWidth="1"/>
    <col min="6159" max="6159" width="10.625" customWidth="1"/>
    <col min="6160" max="6160" width="10.875" bestFit="1" customWidth="1"/>
    <col min="6402" max="6402" width="7.125" customWidth="1"/>
    <col min="6403" max="6403" width="36.75" customWidth="1"/>
    <col min="6404" max="6404" width="13.5" customWidth="1"/>
    <col min="6405" max="6405" width="11" customWidth="1"/>
    <col min="6406" max="6406" width="10.875" customWidth="1"/>
    <col min="6407" max="6407" width="10.375" customWidth="1"/>
    <col min="6408" max="6408" width="10.5" customWidth="1"/>
    <col min="6409" max="6409" width="9.625" customWidth="1"/>
    <col min="6410" max="6410" width="10.5" customWidth="1"/>
    <col min="6411" max="6411" width="9.875" customWidth="1"/>
    <col min="6412" max="6412" width="10.625" customWidth="1"/>
    <col min="6413" max="6413" width="10.875" bestFit="1" customWidth="1"/>
    <col min="6414" max="6414" width="10.5" customWidth="1"/>
    <col min="6415" max="6415" width="10.625" customWidth="1"/>
    <col min="6416" max="6416" width="10.875" bestFit="1" customWidth="1"/>
    <col min="6658" max="6658" width="7.125" customWidth="1"/>
    <col min="6659" max="6659" width="36.75" customWidth="1"/>
    <col min="6660" max="6660" width="13.5" customWidth="1"/>
    <col min="6661" max="6661" width="11" customWidth="1"/>
    <col min="6662" max="6662" width="10.875" customWidth="1"/>
    <col min="6663" max="6663" width="10.375" customWidth="1"/>
    <col min="6664" max="6664" width="10.5" customWidth="1"/>
    <col min="6665" max="6665" width="9.625" customWidth="1"/>
    <col min="6666" max="6666" width="10.5" customWidth="1"/>
    <col min="6667" max="6667" width="9.875" customWidth="1"/>
    <col min="6668" max="6668" width="10.625" customWidth="1"/>
    <col min="6669" max="6669" width="10.875" bestFit="1" customWidth="1"/>
    <col min="6670" max="6670" width="10.5" customWidth="1"/>
    <col min="6671" max="6671" width="10.625" customWidth="1"/>
    <col min="6672" max="6672" width="10.875" bestFit="1" customWidth="1"/>
    <col min="6914" max="6914" width="7.125" customWidth="1"/>
    <col min="6915" max="6915" width="36.75" customWidth="1"/>
    <col min="6916" max="6916" width="13.5" customWidth="1"/>
    <col min="6917" max="6917" width="11" customWidth="1"/>
    <col min="6918" max="6918" width="10.875" customWidth="1"/>
    <col min="6919" max="6919" width="10.375" customWidth="1"/>
    <col min="6920" max="6920" width="10.5" customWidth="1"/>
    <col min="6921" max="6921" width="9.625" customWidth="1"/>
    <col min="6922" max="6922" width="10.5" customWidth="1"/>
    <col min="6923" max="6923" width="9.875" customWidth="1"/>
    <col min="6924" max="6924" width="10.625" customWidth="1"/>
    <col min="6925" max="6925" width="10.875" bestFit="1" customWidth="1"/>
    <col min="6926" max="6926" width="10.5" customWidth="1"/>
    <col min="6927" max="6927" width="10.625" customWidth="1"/>
    <col min="6928" max="6928" width="10.875" bestFit="1" customWidth="1"/>
    <col min="7170" max="7170" width="7.125" customWidth="1"/>
    <col min="7171" max="7171" width="36.75" customWidth="1"/>
    <col min="7172" max="7172" width="13.5" customWidth="1"/>
    <col min="7173" max="7173" width="11" customWidth="1"/>
    <col min="7174" max="7174" width="10.875" customWidth="1"/>
    <col min="7175" max="7175" width="10.375" customWidth="1"/>
    <col min="7176" max="7176" width="10.5" customWidth="1"/>
    <col min="7177" max="7177" width="9.625" customWidth="1"/>
    <col min="7178" max="7178" width="10.5" customWidth="1"/>
    <col min="7179" max="7179" width="9.875" customWidth="1"/>
    <col min="7180" max="7180" width="10.625" customWidth="1"/>
    <col min="7181" max="7181" width="10.875" bestFit="1" customWidth="1"/>
    <col min="7182" max="7182" width="10.5" customWidth="1"/>
    <col min="7183" max="7183" width="10.625" customWidth="1"/>
    <col min="7184" max="7184" width="10.875" bestFit="1" customWidth="1"/>
    <col min="7426" max="7426" width="7.125" customWidth="1"/>
    <col min="7427" max="7427" width="36.75" customWidth="1"/>
    <col min="7428" max="7428" width="13.5" customWidth="1"/>
    <col min="7429" max="7429" width="11" customWidth="1"/>
    <col min="7430" max="7430" width="10.875" customWidth="1"/>
    <col min="7431" max="7431" width="10.375" customWidth="1"/>
    <col min="7432" max="7432" width="10.5" customWidth="1"/>
    <col min="7433" max="7433" width="9.625" customWidth="1"/>
    <col min="7434" max="7434" width="10.5" customWidth="1"/>
    <col min="7435" max="7435" width="9.875" customWidth="1"/>
    <col min="7436" max="7436" width="10.625" customWidth="1"/>
    <col min="7437" max="7437" width="10.875" bestFit="1" customWidth="1"/>
    <col min="7438" max="7438" width="10.5" customWidth="1"/>
    <col min="7439" max="7439" width="10.625" customWidth="1"/>
    <col min="7440" max="7440" width="10.875" bestFit="1" customWidth="1"/>
    <col min="7682" max="7682" width="7.125" customWidth="1"/>
    <col min="7683" max="7683" width="36.75" customWidth="1"/>
    <col min="7684" max="7684" width="13.5" customWidth="1"/>
    <col min="7685" max="7685" width="11" customWidth="1"/>
    <col min="7686" max="7686" width="10.875" customWidth="1"/>
    <col min="7687" max="7687" width="10.375" customWidth="1"/>
    <col min="7688" max="7688" width="10.5" customWidth="1"/>
    <col min="7689" max="7689" width="9.625" customWidth="1"/>
    <col min="7690" max="7690" width="10.5" customWidth="1"/>
    <col min="7691" max="7691" width="9.875" customWidth="1"/>
    <col min="7692" max="7692" width="10.625" customWidth="1"/>
    <col min="7693" max="7693" width="10.875" bestFit="1" customWidth="1"/>
    <col min="7694" max="7694" width="10.5" customWidth="1"/>
    <col min="7695" max="7695" width="10.625" customWidth="1"/>
    <col min="7696" max="7696" width="10.875" bestFit="1" customWidth="1"/>
    <col min="7938" max="7938" width="7.125" customWidth="1"/>
    <col min="7939" max="7939" width="36.75" customWidth="1"/>
    <col min="7940" max="7940" width="13.5" customWidth="1"/>
    <col min="7941" max="7941" width="11" customWidth="1"/>
    <col min="7942" max="7942" width="10.875" customWidth="1"/>
    <col min="7943" max="7943" width="10.375" customWidth="1"/>
    <col min="7944" max="7944" width="10.5" customWidth="1"/>
    <col min="7945" max="7945" width="9.625" customWidth="1"/>
    <col min="7946" max="7946" width="10.5" customWidth="1"/>
    <col min="7947" max="7947" width="9.875" customWidth="1"/>
    <col min="7948" max="7948" width="10.625" customWidth="1"/>
    <col min="7949" max="7949" width="10.875" bestFit="1" customWidth="1"/>
    <col min="7950" max="7950" width="10.5" customWidth="1"/>
    <col min="7951" max="7951" width="10.625" customWidth="1"/>
    <col min="7952" max="7952" width="10.875" bestFit="1" customWidth="1"/>
    <col min="8194" max="8194" width="7.125" customWidth="1"/>
    <col min="8195" max="8195" width="36.75" customWidth="1"/>
    <col min="8196" max="8196" width="13.5" customWidth="1"/>
    <col min="8197" max="8197" width="11" customWidth="1"/>
    <col min="8198" max="8198" width="10.875" customWidth="1"/>
    <col min="8199" max="8199" width="10.375" customWidth="1"/>
    <col min="8200" max="8200" width="10.5" customWidth="1"/>
    <col min="8201" max="8201" width="9.625" customWidth="1"/>
    <col min="8202" max="8202" width="10.5" customWidth="1"/>
    <col min="8203" max="8203" width="9.875" customWidth="1"/>
    <col min="8204" max="8204" width="10.625" customWidth="1"/>
    <col min="8205" max="8205" width="10.875" bestFit="1" customWidth="1"/>
    <col min="8206" max="8206" width="10.5" customWidth="1"/>
    <col min="8207" max="8207" width="10.625" customWidth="1"/>
    <col min="8208" max="8208" width="10.875" bestFit="1" customWidth="1"/>
    <col min="8450" max="8450" width="7.125" customWidth="1"/>
    <col min="8451" max="8451" width="36.75" customWidth="1"/>
    <col min="8452" max="8452" width="13.5" customWidth="1"/>
    <col min="8453" max="8453" width="11" customWidth="1"/>
    <col min="8454" max="8454" width="10.875" customWidth="1"/>
    <col min="8455" max="8455" width="10.375" customWidth="1"/>
    <col min="8456" max="8456" width="10.5" customWidth="1"/>
    <col min="8457" max="8457" width="9.625" customWidth="1"/>
    <col min="8458" max="8458" width="10.5" customWidth="1"/>
    <col min="8459" max="8459" width="9.875" customWidth="1"/>
    <col min="8460" max="8460" width="10.625" customWidth="1"/>
    <col min="8461" max="8461" width="10.875" bestFit="1" customWidth="1"/>
    <col min="8462" max="8462" width="10.5" customWidth="1"/>
    <col min="8463" max="8463" width="10.625" customWidth="1"/>
    <col min="8464" max="8464" width="10.875" bestFit="1" customWidth="1"/>
    <col min="8706" max="8706" width="7.125" customWidth="1"/>
    <col min="8707" max="8707" width="36.75" customWidth="1"/>
    <col min="8708" max="8708" width="13.5" customWidth="1"/>
    <col min="8709" max="8709" width="11" customWidth="1"/>
    <col min="8710" max="8710" width="10.875" customWidth="1"/>
    <col min="8711" max="8711" width="10.375" customWidth="1"/>
    <col min="8712" max="8712" width="10.5" customWidth="1"/>
    <col min="8713" max="8713" width="9.625" customWidth="1"/>
    <col min="8714" max="8714" width="10.5" customWidth="1"/>
    <col min="8715" max="8715" width="9.875" customWidth="1"/>
    <col min="8716" max="8716" width="10.625" customWidth="1"/>
    <col min="8717" max="8717" width="10.875" bestFit="1" customWidth="1"/>
    <col min="8718" max="8718" width="10.5" customWidth="1"/>
    <col min="8719" max="8719" width="10.625" customWidth="1"/>
    <col min="8720" max="8720" width="10.875" bestFit="1" customWidth="1"/>
    <col min="8962" max="8962" width="7.125" customWidth="1"/>
    <col min="8963" max="8963" width="36.75" customWidth="1"/>
    <col min="8964" max="8964" width="13.5" customWidth="1"/>
    <col min="8965" max="8965" width="11" customWidth="1"/>
    <col min="8966" max="8966" width="10.875" customWidth="1"/>
    <col min="8967" max="8967" width="10.375" customWidth="1"/>
    <col min="8968" max="8968" width="10.5" customWidth="1"/>
    <col min="8969" max="8969" width="9.625" customWidth="1"/>
    <col min="8970" max="8970" width="10.5" customWidth="1"/>
    <col min="8971" max="8971" width="9.875" customWidth="1"/>
    <col min="8972" max="8972" width="10.625" customWidth="1"/>
    <col min="8973" max="8973" width="10.875" bestFit="1" customWidth="1"/>
    <col min="8974" max="8974" width="10.5" customWidth="1"/>
    <col min="8975" max="8975" width="10.625" customWidth="1"/>
    <col min="8976" max="8976" width="10.875" bestFit="1" customWidth="1"/>
    <col min="9218" max="9218" width="7.125" customWidth="1"/>
    <col min="9219" max="9219" width="36.75" customWidth="1"/>
    <col min="9220" max="9220" width="13.5" customWidth="1"/>
    <col min="9221" max="9221" width="11" customWidth="1"/>
    <col min="9222" max="9222" width="10.875" customWidth="1"/>
    <col min="9223" max="9223" width="10.375" customWidth="1"/>
    <col min="9224" max="9224" width="10.5" customWidth="1"/>
    <col min="9225" max="9225" width="9.625" customWidth="1"/>
    <col min="9226" max="9226" width="10.5" customWidth="1"/>
    <col min="9227" max="9227" width="9.875" customWidth="1"/>
    <col min="9228" max="9228" width="10.625" customWidth="1"/>
    <col min="9229" max="9229" width="10.875" bestFit="1" customWidth="1"/>
    <col min="9230" max="9230" width="10.5" customWidth="1"/>
    <col min="9231" max="9231" width="10.625" customWidth="1"/>
    <col min="9232" max="9232" width="10.875" bestFit="1" customWidth="1"/>
    <col min="9474" max="9474" width="7.125" customWidth="1"/>
    <col min="9475" max="9475" width="36.75" customWidth="1"/>
    <col min="9476" max="9476" width="13.5" customWidth="1"/>
    <col min="9477" max="9477" width="11" customWidth="1"/>
    <col min="9478" max="9478" width="10.875" customWidth="1"/>
    <col min="9479" max="9479" width="10.375" customWidth="1"/>
    <col min="9480" max="9480" width="10.5" customWidth="1"/>
    <col min="9481" max="9481" width="9.625" customWidth="1"/>
    <col min="9482" max="9482" width="10.5" customWidth="1"/>
    <col min="9483" max="9483" width="9.875" customWidth="1"/>
    <col min="9484" max="9484" width="10.625" customWidth="1"/>
    <col min="9485" max="9485" width="10.875" bestFit="1" customWidth="1"/>
    <col min="9486" max="9486" width="10.5" customWidth="1"/>
    <col min="9487" max="9487" width="10.625" customWidth="1"/>
    <col min="9488" max="9488" width="10.875" bestFit="1" customWidth="1"/>
    <col min="9730" max="9730" width="7.125" customWidth="1"/>
    <col min="9731" max="9731" width="36.75" customWidth="1"/>
    <col min="9732" max="9732" width="13.5" customWidth="1"/>
    <col min="9733" max="9733" width="11" customWidth="1"/>
    <col min="9734" max="9734" width="10.875" customWidth="1"/>
    <col min="9735" max="9735" width="10.375" customWidth="1"/>
    <col min="9736" max="9736" width="10.5" customWidth="1"/>
    <col min="9737" max="9737" width="9.625" customWidth="1"/>
    <col min="9738" max="9738" width="10.5" customWidth="1"/>
    <col min="9739" max="9739" width="9.875" customWidth="1"/>
    <col min="9740" max="9740" width="10.625" customWidth="1"/>
    <col min="9741" max="9741" width="10.875" bestFit="1" customWidth="1"/>
    <col min="9742" max="9742" width="10.5" customWidth="1"/>
    <col min="9743" max="9743" width="10.625" customWidth="1"/>
    <col min="9744" max="9744" width="10.875" bestFit="1" customWidth="1"/>
    <col min="9986" max="9986" width="7.125" customWidth="1"/>
    <col min="9987" max="9987" width="36.75" customWidth="1"/>
    <col min="9988" max="9988" width="13.5" customWidth="1"/>
    <col min="9989" max="9989" width="11" customWidth="1"/>
    <col min="9990" max="9990" width="10.875" customWidth="1"/>
    <col min="9991" max="9991" width="10.375" customWidth="1"/>
    <col min="9992" max="9992" width="10.5" customWidth="1"/>
    <col min="9993" max="9993" width="9.625" customWidth="1"/>
    <col min="9994" max="9994" width="10.5" customWidth="1"/>
    <col min="9995" max="9995" width="9.875" customWidth="1"/>
    <col min="9996" max="9996" width="10.625" customWidth="1"/>
    <col min="9997" max="9997" width="10.875" bestFit="1" customWidth="1"/>
    <col min="9998" max="9998" width="10.5" customWidth="1"/>
    <col min="9999" max="9999" width="10.625" customWidth="1"/>
    <col min="10000" max="10000" width="10.875" bestFit="1" customWidth="1"/>
    <col min="10242" max="10242" width="7.125" customWidth="1"/>
    <col min="10243" max="10243" width="36.75" customWidth="1"/>
    <col min="10244" max="10244" width="13.5" customWidth="1"/>
    <col min="10245" max="10245" width="11" customWidth="1"/>
    <col min="10246" max="10246" width="10.875" customWidth="1"/>
    <col min="10247" max="10247" width="10.375" customWidth="1"/>
    <col min="10248" max="10248" width="10.5" customWidth="1"/>
    <col min="10249" max="10249" width="9.625" customWidth="1"/>
    <col min="10250" max="10250" width="10.5" customWidth="1"/>
    <col min="10251" max="10251" width="9.875" customWidth="1"/>
    <col min="10252" max="10252" width="10.625" customWidth="1"/>
    <col min="10253" max="10253" width="10.875" bestFit="1" customWidth="1"/>
    <col min="10254" max="10254" width="10.5" customWidth="1"/>
    <col min="10255" max="10255" width="10.625" customWidth="1"/>
    <col min="10256" max="10256" width="10.875" bestFit="1" customWidth="1"/>
    <col min="10498" max="10498" width="7.125" customWidth="1"/>
    <col min="10499" max="10499" width="36.75" customWidth="1"/>
    <col min="10500" max="10500" width="13.5" customWidth="1"/>
    <col min="10501" max="10501" width="11" customWidth="1"/>
    <col min="10502" max="10502" width="10.875" customWidth="1"/>
    <col min="10503" max="10503" width="10.375" customWidth="1"/>
    <col min="10504" max="10504" width="10.5" customWidth="1"/>
    <col min="10505" max="10505" width="9.625" customWidth="1"/>
    <col min="10506" max="10506" width="10.5" customWidth="1"/>
    <col min="10507" max="10507" width="9.875" customWidth="1"/>
    <col min="10508" max="10508" width="10.625" customWidth="1"/>
    <col min="10509" max="10509" width="10.875" bestFit="1" customWidth="1"/>
    <col min="10510" max="10510" width="10.5" customWidth="1"/>
    <col min="10511" max="10511" width="10.625" customWidth="1"/>
    <col min="10512" max="10512" width="10.875" bestFit="1" customWidth="1"/>
    <col min="10754" max="10754" width="7.125" customWidth="1"/>
    <col min="10755" max="10755" width="36.75" customWidth="1"/>
    <col min="10756" max="10756" width="13.5" customWidth="1"/>
    <col min="10757" max="10757" width="11" customWidth="1"/>
    <col min="10758" max="10758" width="10.875" customWidth="1"/>
    <col min="10759" max="10759" width="10.375" customWidth="1"/>
    <col min="10760" max="10760" width="10.5" customWidth="1"/>
    <col min="10761" max="10761" width="9.625" customWidth="1"/>
    <col min="10762" max="10762" width="10.5" customWidth="1"/>
    <col min="10763" max="10763" width="9.875" customWidth="1"/>
    <col min="10764" max="10764" width="10.625" customWidth="1"/>
    <col min="10765" max="10765" width="10.875" bestFit="1" customWidth="1"/>
    <col min="10766" max="10766" width="10.5" customWidth="1"/>
    <col min="10767" max="10767" width="10.625" customWidth="1"/>
    <col min="10768" max="10768" width="10.875" bestFit="1" customWidth="1"/>
    <col min="11010" max="11010" width="7.125" customWidth="1"/>
    <col min="11011" max="11011" width="36.75" customWidth="1"/>
    <col min="11012" max="11012" width="13.5" customWidth="1"/>
    <col min="11013" max="11013" width="11" customWidth="1"/>
    <col min="11014" max="11014" width="10.875" customWidth="1"/>
    <col min="11015" max="11015" width="10.375" customWidth="1"/>
    <col min="11016" max="11016" width="10.5" customWidth="1"/>
    <col min="11017" max="11017" width="9.625" customWidth="1"/>
    <col min="11018" max="11018" width="10.5" customWidth="1"/>
    <col min="11019" max="11019" width="9.875" customWidth="1"/>
    <col min="11020" max="11020" width="10.625" customWidth="1"/>
    <col min="11021" max="11021" width="10.875" bestFit="1" customWidth="1"/>
    <col min="11022" max="11022" width="10.5" customWidth="1"/>
    <col min="11023" max="11023" width="10.625" customWidth="1"/>
    <col min="11024" max="11024" width="10.875" bestFit="1" customWidth="1"/>
    <col min="11266" max="11266" width="7.125" customWidth="1"/>
    <col min="11267" max="11267" width="36.75" customWidth="1"/>
    <col min="11268" max="11268" width="13.5" customWidth="1"/>
    <col min="11269" max="11269" width="11" customWidth="1"/>
    <col min="11270" max="11270" width="10.875" customWidth="1"/>
    <col min="11271" max="11271" width="10.375" customWidth="1"/>
    <col min="11272" max="11272" width="10.5" customWidth="1"/>
    <col min="11273" max="11273" width="9.625" customWidth="1"/>
    <col min="11274" max="11274" width="10.5" customWidth="1"/>
    <col min="11275" max="11275" width="9.875" customWidth="1"/>
    <col min="11276" max="11276" width="10.625" customWidth="1"/>
    <col min="11277" max="11277" width="10.875" bestFit="1" customWidth="1"/>
    <col min="11278" max="11278" width="10.5" customWidth="1"/>
    <col min="11279" max="11279" width="10.625" customWidth="1"/>
    <col min="11280" max="11280" width="10.875" bestFit="1" customWidth="1"/>
    <col min="11522" max="11522" width="7.125" customWidth="1"/>
    <col min="11523" max="11523" width="36.75" customWidth="1"/>
    <col min="11524" max="11524" width="13.5" customWidth="1"/>
    <col min="11525" max="11525" width="11" customWidth="1"/>
    <col min="11526" max="11526" width="10.875" customWidth="1"/>
    <col min="11527" max="11527" width="10.375" customWidth="1"/>
    <col min="11528" max="11528" width="10.5" customWidth="1"/>
    <col min="11529" max="11529" width="9.625" customWidth="1"/>
    <col min="11530" max="11530" width="10.5" customWidth="1"/>
    <col min="11531" max="11531" width="9.875" customWidth="1"/>
    <col min="11532" max="11532" width="10.625" customWidth="1"/>
    <col min="11533" max="11533" width="10.875" bestFit="1" customWidth="1"/>
    <col min="11534" max="11534" width="10.5" customWidth="1"/>
    <col min="11535" max="11535" width="10.625" customWidth="1"/>
    <col min="11536" max="11536" width="10.875" bestFit="1" customWidth="1"/>
    <col min="11778" max="11778" width="7.125" customWidth="1"/>
    <col min="11779" max="11779" width="36.75" customWidth="1"/>
    <col min="11780" max="11780" width="13.5" customWidth="1"/>
    <col min="11781" max="11781" width="11" customWidth="1"/>
    <col min="11782" max="11782" width="10.875" customWidth="1"/>
    <col min="11783" max="11783" width="10.375" customWidth="1"/>
    <col min="11784" max="11784" width="10.5" customWidth="1"/>
    <col min="11785" max="11785" width="9.625" customWidth="1"/>
    <col min="11786" max="11786" width="10.5" customWidth="1"/>
    <col min="11787" max="11787" width="9.875" customWidth="1"/>
    <col min="11788" max="11788" width="10.625" customWidth="1"/>
    <col min="11789" max="11789" width="10.875" bestFit="1" customWidth="1"/>
    <col min="11790" max="11790" width="10.5" customWidth="1"/>
    <col min="11791" max="11791" width="10.625" customWidth="1"/>
    <col min="11792" max="11792" width="10.875" bestFit="1" customWidth="1"/>
    <col min="12034" max="12034" width="7.125" customWidth="1"/>
    <col min="12035" max="12035" width="36.75" customWidth="1"/>
    <col min="12036" max="12036" width="13.5" customWidth="1"/>
    <col min="12037" max="12037" width="11" customWidth="1"/>
    <col min="12038" max="12038" width="10.875" customWidth="1"/>
    <col min="12039" max="12039" width="10.375" customWidth="1"/>
    <col min="12040" max="12040" width="10.5" customWidth="1"/>
    <col min="12041" max="12041" width="9.625" customWidth="1"/>
    <col min="12042" max="12042" width="10.5" customWidth="1"/>
    <col min="12043" max="12043" width="9.875" customWidth="1"/>
    <col min="12044" max="12044" width="10.625" customWidth="1"/>
    <col min="12045" max="12045" width="10.875" bestFit="1" customWidth="1"/>
    <col min="12046" max="12046" width="10.5" customWidth="1"/>
    <col min="12047" max="12047" width="10.625" customWidth="1"/>
    <col min="12048" max="12048" width="10.875" bestFit="1" customWidth="1"/>
    <col min="12290" max="12290" width="7.125" customWidth="1"/>
    <col min="12291" max="12291" width="36.75" customWidth="1"/>
    <col min="12292" max="12292" width="13.5" customWidth="1"/>
    <col min="12293" max="12293" width="11" customWidth="1"/>
    <col min="12294" max="12294" width="10.875" customWidth="1"/>
    <col min="12295" max="12295" width="10.375" customWidth="1"/>
    <col min="12296" max="12296" width="10.5" customWidth="1"/>
    <col min="12297" max="12297" width="9.625" customWidth="1"/>
    <col min="12298" max="12298" width="10.5" customWidth="1"/>
    <col min="12299" max="12299" width="9.875" customWidth="1"/>
    <col min="12300" max="12300" width="10.625" customWidth="1"/>
    <col min="12301" max="12301" width="10.875" bestFit="1" customWidth="1"/>
    <col min="12302" max="12302" width="10.5" customWidth="1"/>
    <col min="12303" max="12303" width="10.625" customWidth="1"/>
    <col min="12304" max="12304" width="10.875" bestFit="1" customWidth="1"/>
    <col min="12546" max="12546" width="7.125" customWidth="1"/>
    <col min="12547" max="12547" width="36.75" customWidth="1"/>
    <col min="12548" max="12548" width="13.5" customWidth="1"/>
    <col min="12549" max="12549" width="11" customWidth="1"/>
    <col min="12550" max="12550" width="10.875" customWidth="1"/>
    <col min="12551" max="12551" width="10.375" customWidth="1"/>
    <col min="12552" max="12552" width="10.5" customWidth="1"/>
    <col min="12553" max="12553" width="9.625" customWidth="1"/>
    <col min="12554" max="12554" width="10.5" customWidth="1"/>
    <col min="12555" max="12555" width="9.875" customWidth="1"/>
    <col min="12556" max="12556" width="10.625" customWidth="1"/>
    <col min="12557" max="12557" width="10.875" bestFit="1" customWidth="1"/>
    <col min="12558" max="12558" width="10.5" customWidth="1"/>
    <col min="12559" max="12559" width="10.625" customWidth="1"/>
    <col min="12560" max="12560" width="10.875" bestFit="1" customWidth="1"/>
    <col min="12802" max="12802" width="7.125" customWidth="1"/>
    <col min="12803" max="12803" width="36.75" customWidth="1"/>
    <col min="12804" max="12804" width="13.5" customWidth="1"/>
    <col min="12805" max="12805" width="11" customWidth="1"/>
    <col min="12806" max="12806" width="10.875" customWidth="1"/>
    <col min="12807" max="12807" width="10.375" customWidth="1"/>
    <col min="12808" max="12808" width="10.5" customWidth="1"/>
    <col min="12809" max="12809" width="9.625" customWidth="1"/>
    <col min="12810" max="12810" width="10.5" customWidth="1"/>
    <col min="12811" max="12811" width="9.875" customWidth="1"/>
    <col min="12812" max="12812" width="10.625" customWidth="1"/>
    <col min="12813" max="12813" width="10.875" bestFit="1" customWidth="1"/>
    <col min="12814" max="12814" width="10.5" customWidth="1"/>
    <col min="12815" max="12815" width="10.625" customWidth="1"/>
    <col min="12816" max="12816" width="10.875" bestFit="1" customWidth="1"/>
    <col min="13058" max="13058" width="7.125" customWidth="1"/>
    <col min="13059" max="13059" width="36.75" customWidth="1"/>
    <col min="13060" max="13060" width="13.5" customWidth="1"/>
    <col min="13061" max="13061" width="11" customWidth="1"/>
    <col min="13062" max="13062" width="10.875" customWidth="1"/>
    <col min="13063" max="13063" width="10.375" customWidth="1"/>
    <col min="13064" max="13064" width="10.5" customWidth="1"/>
    <col min="13065" max="13065" width="9.625" customWidth="1"/>
    <col min="13066" max="13066" width="10.5" customWidth="1"/>
    <col min="13067" max="13067" width="9.875" customWidth="1"/>
    <col min="13068" max="13068" width="10.625" customWidth="1"/>
    <col min="13069" max="13069" width="10.875" bestFit="1" customWidth="1"/>
    <col min="13070" max="13070" width="10.5" customWidth="1"/>
    <col min="13071" max="13071" width="10.625" customWidth="1"/>
    <col min="13072" max="13072" width="10.875" bestFit="1" customWidth="1"/>
    <col min="13314" max="13314" width="7.125" customWidth="1"/>
    <col min="13315" max="13315" width="36.75" customWidth="1"/>
    <col min="13316" max="13316" width="13.5" customWidth="1"/>
    <col min="13317" max="13317" width="11" customWidth="1"/>
    <col min="13318" max="13318" width="10.875" customWidth="1"/>
    <col min="13319" max="13319" width="10.375" customWidth="1"/>
    <col min="13320" max="13320" width="10.5" customWidth="1"/>
    <col min="13321" max="13321" width="9.625" customWidth="1"/>
    <col min="13322" max="13322" width="10.5" customWidth="1"/>
    <col min="13323" max="13323" width="9.875" customWidth="1"/>
    <col min="13324" max="13324" width="10.625" customWidth="1"/>
    <col min="13325" max="13325" width="10.875" bestFit="1" customWidth="1"/>
    <col min="13326" max="13326" width="10.5" customWidth="1"/>
    <col min="13327" max="13327" width="10.625" customWidth="1"/>
    <col min="13328" max="13328" width="10.875" bestFit="1" customWidth="1"/>
    <col min="13570" max="13570" width="7.125" customWidth="1"/>
    <col min="13571" max="13571" width="36.75" customWidth="1"/>
    <col min="13572" max="13572" width="13.5" customWidth="1"/>
    <col min="13573" max="13573" width="11" customWidth="1"/>
    <col min="13574" max="13574" width="10.875" customWidth="1"/>
    <col min="13575" max="13575" width="10.375" customWidth="1"/>
    <col min="13576" max="13576" width="10.5" customWidth="1"/>
    <col min="13577" max="13577" width="9.625" customWidth="1"/>
    <col min="13578" max="13578" width="10.5" customWidth="1"/>
    <col min="13579" max="13579" width="9.875" customWidth="1"/>
    <col min="13580" max="13580" width="10.625" customWidth="1"/>
    <col min="13581" max="13581" width="10.875" bestFit="1" customWidth="1"/>
    <col min="13582" max="13582" width="10.5" customWidth="1"/>
    <col min="13583" max="13583" width="10.625" customWidth="1"/>
    <col min="13584" max="13584" width="10.875" bestFit="1" customWidth="1"/>
    <col min="13826" max="13826" width="7.125" customWidth="1"/>
    <col min="13827" max="13827" width="36.75" customWidth="1"/>
    <col min="13828" max="13828" width="13.5" customWidth="1"/>
    <col min="13829" max="13829" width="11" customWidth="1"/>
    <col min="13830" max="13830" width="10.875" customWidth="1"/>
    <col min="13831" max="13831" width="10.375" customWidth="1"/>
    <col min="13832" max="13832" width="10.5" customWidth="1"/>
    <col min="13833" max="13833" width="9.625" customWidth="1"/>
    <col min="13834" max="13834" width="10.5" customWidth="1"/>
    <col min="13835" max="13835" width="9.875" customWidth="1"/>
    <col min="13836" max="13836" width="10.625" customWidth="1"/>
    <col min="13837" max="13837" width="10.875" bestFit="1" customWidth="1"/>
    <col min="13838" max="13838" width="10.5" customWidth="1"/>
    <col min="13839" max="13839" width="10.625" customWidth="1"/>
    <col min="13840" max="13840" width="10.875" bestFit="1" customWidth="1"/>
    <col min="14082" max="14082" width="7.125" customWidth="1"/>
    <col min="14083" max="14083" width="36.75" customWidth="1"/>
    <col min="14084" max="14084" width="13.5" customWidth="1"/>
    <col min="14085" max="14085" width="11" customWidth="1"/>
    <col min="14086" max="14086" width="10.875" customWidth="1"/>
    <col min="14087" max="14087" width="10.375" customWidth="1"/>
    <col min="14088" max="14088" width="10.5" customWidth="1"/>
    <col min="14089" max="14089" width="9.625" customWidth="1"/>
    <col min="14090" max="14090" width="10.5" customWidth="1"/>
    <col min="14091" max="14091" width="9.875" customWidth="1"/>
    <col min="14092" max="14092" width="10.625" customWidth="1"/>
    <col min="14093" max="14093" width="10.875" bestFit="1" customWidth="1"/>
    <col min="14094" max="14094" width="10.5" customWidth="1"/>
    <col min="14095" max="14095" width="10.625" customWidth="1"/>
    <col min="14096" max="14096" width="10.875" bestFit="1" customWidth="1"/>
    <col min="14338" max="14338" width="7.125" customWidth="1"/>
    <col min="14339" max="14339" width="36.75" customWidth="1"/>
    <col min="14340" max="14340" width="13.5" customWidth="1"/>
    <col min="14341" max="14341" width="11" customWidth="1"/>
    <col min="14342" max="14342" width="10.875" customWidth="1"/>
    <col min="14343" max="14343" width="10.375" customWidth="1"/>
    <col min="14344" max="14344" width="10.5" customWidth="1"/>
    <col min="14345" max="14345" width="9.625" customWidth="1"/>
    <col min="14346" max="14346" width="10.5" customWidth="1"/>
    <col min="14347" max="14347" width="9.875" customWidth="1"/>
    <col min="14348" max="14348" width="10.625" customWidth="1"/>
    <col min="14349" max="14349" width="10.875" bestFit="1" customWidth="1"/>
    <col min="14350" max="14350" width="10.5" customWidth="1"/>
    <col min="14351" max="14351" width="10.625" customWidth="1"/>
    <col min="14352" max="14352" width="10.875" bestFit="1" customWidth="1"/>
    <col min="14594" max="14594" width="7.125" customWidth="1"/>
    <col min="14595" max="14595" width="36.75" customWidth="1"/>
    <col min="14596" max="14596" width="13.5" customWidth="1"/>
    <col min="14597" max="14597" width="11" customWidth="1"/>
    <col min="14598" max="14598" width="10.875" customWidth="1"/>
    <col min="14599" max="14599" width="10.375" customWidth="1"/>
    <col min="14600" max="14600" width="10.5" customWidth="1"/>
    <col min="14601" max="14601" width="9.625" customWidth="1"/>
    <col min="14602" max="14602" width="10.5" customWidth="1"/>
    <col min="14603" max="14603" width="9.875" customWidth="1"/>
    <col min="14604" max="14604" width="10.625" customWidth="1"/>
    <col min="14605" max="14605" width="10.875" bestFit="1" customWidth="1"/>
    <col min="14606" max="14606" width="10.5" customWidth="1"/>
    <col min="14607" max="14607" width="10.625" customWidth="1"/>
    <col min="14608" max="14608" width="10.875" bestFit="1" customWidth="1"/>
    <col min="14850" max="14850" width="7.125" customWidth="1"/>
    <col min="14851" max="14851" width="36.75" customWidth="1"/>
    <col min="14852" max="14852" width="13.5" customWidth="1"/>
    <col min="14853" max="14853" width="11" customWidth="1"/>
    <col min="14854" max="14854" width="10.875" customWidth="1"/>
    <col min="14855" max="14855" width="10.375" customWidth="1"/>
    <col min="14856" max="14856" width="10.5" customWidth="1"/>
    <col min="14857" max="14857" width="9.625" customWidth="1"/>
    <col min="14858" max="14858" width="10.5" customWidth="1"/>
    <col min="14859" max="14859" width="9.875" customWidth="1"/>
    <col min="14860" max="14860" width="10.625" customWidth="1"/>
    <col min="14861" max="14861" width="10.875" bestFit="1" customWidth="1"/>
    <col min="14862" max="14862" width="10.5" customWidth="1"/>
    <col min="14863" max="14863" width="10.625" customWidth="1"/>
    <col min="14864" max="14864" width="10.875" bestFit="1" customWidth="1"/>
    <col min="15106" max="15106" width="7.125" customWidth="1"/>
    <col min="15107" max="15107" width="36.75" customWidth="1"/>
    <col min="15108" max="15108" width="13.5" customWidth="1"/>
    <col min="15109" max="15109" width="11" customWidth="1"/>
    <col min="15110" max="15110" width="10.875" customWidth="1"/>
    <col min="15111" max="15111" width="10.375" customWidth="1"/>
    <col min="15112" max="15112" width="10.5" customWidth="1"/>
    <col min="15113" max="15113" width="9.625" customWidth="1"/>
    <col min="15114" max="15114" width="10.5" customWidth="1"/>
    <col min="15115" max="15115" width="9.875" customWidth="1"/>
    <col min="15116" max="15116" width="10.625" customWidth="1"/>
    <col min="15117" max="15117" width="10.875" bestFit="1" customWidth="1"/>
    <col min="15118" max="15118" width="10.5" customWidth="1"/>
    <col min="15119" max="15119" width="10.625" customWidth="1"/>
    <col min="15120" max="15120" width="10.875" bestFit="1" customWidth="1"/>
    <col min="15362" max="15362" width="7.125" customWidth="1"/>
    <col min="15363" max="15363" width="36.75" customWidth="1"/>
    <col min="15364" max="15364" width="13.5" customWidth="1"/>
    <col min="15365" max="15365" width="11" customWidth="1"/>
    <col min="15366" max="15366" width="10.875" customWidth="1"/>
    <col min="15367" max="15367" width="10.375" customWidth="1"/>
    <col min="15368" max="15368" width="10.5" customWidth="1"/>
    <col min="15369" max="15369" width="9.625" customWidth="1"/>
    <col min="15370" max="15370" width="10.5" customWidth="1"/>
    <col min="15371" max="15371" width="9.875" customWidth="1"/>
    <col min="15372" max="15372" width="10.625" customWidth="1"/>
    <col min="15373" max="15373" width="10.875" bestFit="1" customWidth="1"/>
    <col min="15374" max="15374" width="10.5" customWidth="1"/>
    <col min="15375" max="15375" width="10.625" customWidth="1"/>
    <col min="15376" max="15376" width="10.875" bestFit="1" customWidth="1"/>
    <col min="15618" max="15618" width="7.125" customWidth="1"/>
    <col min="15619" max="15619" width="36.75" customWidth="1"/>
    <col min="15620" max="15620" width="13.5" customWidth="1"/>
    <col min="15621" max="15621" width="11" customWidth="1"/>
    <col min="15622" max="15622" width="10.875" customWidth="1"/>
    <col min="15623" max="15623" width="10.375" customWidth="1"/>
    <col min="15624" max="15624" width="10.5" customWidth="1"/>
    <col min="15625" max="15625" width="9.625" customWidth="1"/>
    <col min="15626" max="15626" width="10.5" customWidth="1"/>
    <col min="15627" max="15627" width="9.875" customWidth="1"/>
    <col min="15628" max="15628" width="10.625" customWidth="1"/>
    <col min="15629" max="15629" width="10.875" bestFit="1" customWidth="1"/>
    <col min="15630" max="15630" width="10.5" customWidth="1"/>
    <col min="15631" max="15631" width="10.625" customWidth="1"/>
    <col min="15632" max="15632" width="10.875" bestFit="1" customWidth="1"/>
    <col min="15874" max="15874" width="7.125" customWidth="1"/>
    <col min="15875" max="15875" width="36.75" customWidth="1"/>
    <col min="15876" max="15876" width="13.5" customWidth="1"/>
    <col min="15877" max="15877" width="11" customWidth="1"/>
    <col min="15878" max="15878" width="10.875" customWidth="1"/>
    <col min="15879" max="15879" width="10.375" customWidth="1"/>
    <col min="15880" max="15880" width="10.5" customWidth="1"/>
    <col min="15881" max="15881" width="9.625" customWidth="1"/>
    <col min="15882" max="15882" width="10.5" customWidth="1"/>
    <col min="15883" max="15883" width="9.875" customWidth="1"/>
    <col min="15884" max="15884" width="10.625" customWidth="1"/>
    <col min="15885" max="15885" width="10.875" bestFit="1" customWidth="1"/>
    <col min="15886" max="15886" width="10.5" customWidth="1"/>
    <col min="15887" max="15887" width="10.625" customWidth="1"/>
    <col min="15888" max="15888" width="10.875" bestFit="1" customWidth="1"/>
    <col min="16130" max="16130" width="7.125" customWidth="1"/>
    <col min="16131" max="16131" width="36.75" customWidth="1"/>
    <col min="16132" max="16132" width="13.5" customWidth="1"/>
    <col min="16133" max="16133" width="11" customWidth="1"/>
    <col min="16134" max="16134" width="10.875" customWidth="1"/>
    <col min="16135" max="16135" width="10.375" customWidth="1"/>
    <col min="16136" max="16136" width="10.5" customWidth="1"/>
    <col min="16137" max="16137" width="9.625" customWidth="1"/>
    <col min="16138" max="16138" width="10.5" customWidth="1"/>
    <col min="16139" max="16139" width="9.875" customWidth="1"/>
    <col min="16140" max="16140" width="10.625" customWidth="1"/>
    <col min="16141" max="16141" width="10.875" bestFit="1" customWidth="1"/>
    <col min="16142" max="16142" width="10.5" customWidth="1"/>
    <col min="16143" max="16143" width="10.625" customWidth="1"/>
    <col min="16144" max="16144" width="10.875" bestFit="1" customWidth="1"/>
  </cols>
  <sheetData>
    <row r="1" spans="1:17" ht="20.25" customHeight="1">
      <c r="A1" s="738" t="s">
        <v>1561</v>
      </c>
      <c r="B1" s="738"/>
      <c r="C1" s="738"/>
      <c r="D1" s="738"/>
      <c r="E1" s="738"/>
      <c r="F1" s="738"/>
      <c r="G1" s="738"/>
      <c r="H1" s="738"/>
      <c r="I1" s="738"/>
      <c r="J1" s="738"/>
      <c r="K1" s="738"/>
      <c r="L1" s="738"/>
      <c r="M1" s="738"/>
      <c r="N1" s="738"/>
      <c r="O1" s="738"/>
    </row>
    <row r="2" spans="1:17">
      <c r="M2" s="455"/>
    </row>
    <row r="3" spans="1:17" s="456" customFormat="1" ht="36.75" customHeight="1">
      <c r="A3" s="739" t="s">
        <v>1397</v>
      </c>
      <c r="B3" s="739" t="s">
        <v>1398</v>
      </c>
      <c r="C3" s="739" t="s">
        <v>1399</v>
      </c>
      <c r="D3" s="744" t="s">
        <v>1400</v>
      </c>
      <c r="E3" s="744" t="s">
        <v>1594</v>
      </c>
      <c r="F3" s="742" t="s">
        <v>1401</v>
      </c>
      <c r="G3" s="742"/>
      <c r="H3" s="742"/>
      <c r="I3" s="742"/>
      <c r="J3" s="742"/>
      <c r="K3" s="742"/>
      <c r="L3" s="742"/>
      <c r="M3" s="739" t="s">
        <v>1402</v>
      </c>
      <c r="N3" s="743"/>
      <c r="O3" s="743"/>
    </row>
    <row r="4" spans="1:17" s="456" customFormat="1" ht="47.25">
      <c r="A4" s="740"/>
      <c r="B4" s="740"/>
      <c r="C4" s="741"/>
      <c r="D4" s="745"/>
      <c r="E4" s="745"/>
      <c r="F4" s="480" t="s">
        <v>153</v>
      </c>
      <c r="G4" s="480" t="s">
        <v>1403</v>
      </c>
      <c r="H4" s="480" t="s">
        <v>1404</v>
      </c>
      <c r="I4" s="480" t="s">
        <v>1405</v>
      </c>
      <c r="J4" s="480" t="s">
        <v>1406</v>
      </c>
      <c r="K4" s="480" t="s">
        <v>1407</v>
      </c>
      <c r="L4" s="480" t="s">
        <v>1408</v>
      </c>
      <c r="M4" s="480" t="s">
        <v>1409</v>
      </c>
      <c r="N4" s="480" t="s">
        <v>1410</v>
      </c>
      <c r="O4" s="480" t="s">
        <v>1411</v>
      </c>
    </row>
    <row r="5" spans="1:17" s="456" customFormat="1" ht="15">
      <c r="A5" s="457">
        <v>1</v>
      </c>
      <c r="B5" s="457">
        <v>2</v>
      </c>
      <c r="C5" s="458">
        <v>3</v>
      </c>
      <c r="D5" s="458">
        <v>4</v>
      </c>
      <c r="E5" s="458">
        <v>5</v>
      </c>
      <c r="F5" s="457">
        <v>6</v>
      </c>
      <c r="G5" s="457">
        <v>7</v>
      </c>
      <c r="H5" s="457">
        <v>8</v>
      </c>
      <c r="I5" s="457">
        <v>9</v>
      </c>
      <c r="J5" s="457">
        <v>10</v>
      </c>
      <c r="K5" s="457">
        <v>11</v>
      </c>
      <c r="L5" s="457">
        <v>12</v>
      </c>
      <c r="M5" s="457">
        <v>13</v>
      </c>
      <c r="N5" s="457">
        <v>14</v>
      </c>
      <c r="O5" s="457">
        <v>15</v>
      </c>
    </row>
    <row r="6" spans="1:17">
      <c r="A6" s="459"/>
      <c r="B6" s="460" t="s">
        <v>1412</v>
      </c>
      <c r="C6" s="461">
        <f t="shared" ref="C6:O6" si="0">C20+C17+C18+C15+C12+C10+C8</f>
        <v>48461870.035999998</v>
      </c>
      <c r="D6" s="461">
        <f>D8+D10+D12+D13+D15+D17+D18+D20</f>
        <v>298737.36425600003</v>
      </c>
      <c r="E6" s="461">
        <f>E8+E10+E12+E13+E15+E17+E18+E20</f>
        <v>249999</v>
      </c>
      <c r="F6" s="461">
        <f t="shared" si="0"/>
        <v>8121673.0738399997</v>
      </c>
      <c r="G6" s="461">
        <f t="shared" si="0"/>
        <v>7291975.1464399993</v>
      </c>
      <c r="H6" s="461">
        <f t="shared" si="0"/>
        <v>829697.92739999993</v>
      </c>
      <c r="I6" s="461">
        <f t="shared" si="0"/>
        <v>405027</v>
      </c>
      <c r="J6" s="461">
        <f t="shared" si="0"/>
        <v>1591776</v>
      </c>
      <c r="K6" s="461">
        <f t="shared" si="0"/>
        <v>3342543</v>
      </c>
      <c r="L6" s="461">
        <f t="shared" si="0"/>
        <v>2782327</v>
      </c>
      <c r="M6" s="462">
        <f t="shared" si="0"/>
        <v>14993698.187791999</v>
      </c>
      <c r="N6" s="462">
        <f t="shared" si="0"/>
        <v>11983717.258616</v>
      </c>
      <c r="O6" s="462">
        <f t="shared" si="0"/>
        <v>12606804.151496001</v>
      </c>
    </row>
    <row r="7" spans="1:17" ht="15.75" customHeight="1">
      <c r="A7" s="746" t="s">
        <v>1413</v>
      </c>
      <c r="B7" s="746"/>
      <c r="C7" s="747"/>
      <c r="D7" s="747"/>
      <c r="E7" s="747"/>
      <c r="F7" s="747"/>
      <c r="G7" s="747"/>
      <c r="H7" s="747"/>
      <c r="I7" s="747"/>
      <c r="J7" s="747"/>
      <c r="K7" s="747"/>
      <c r="L7" s="747"/>
      <c r="M7" s="747"/>
      <c r="N7" s="747"/>
      <c r="O7" s="747"/>
    </row>
    <row r="8" spans="1:17" ht="19.5" customHeight="1">
      <c r="A8" s="463" t="s">
        <v>1414</v>
      </c>
      <c r="B8" s="464" t="s">
        <v>1415</v>
      </c>
      <c r="C8" s="465">
        <v>8845960</v>
      </c>
      <c r="D8" s="465">
        <v>10722</v>
      </c>
      <c r="E8" s="465">
        <f>76390-D8</f>
        <v>65668</v>
      </c>
      <c r="F8" s="685">
        <v>2265007</v>
      </c>
      <c r="G8" s="465">
        <f>F8*0.9</f>
        <v>2038506.3</v>
      </c>
      <c r="H8" s="465">
        <f>F8*0.1</f>
        <v>226500.7</v>
      </c>
      <c r="I8" s="465">
        <v>254323</v>
      </c>
      <c r="J8" s="465">
        <v>81495</v>
      </c>
      <c r="K8" s="465">
        <v>1226559</v>
      </c>
      <c r="L8" s="465">
        <v>702630</v>
      </c>
      <c r="M8" s="466">
        <v>2873774</v>
      </c>
      <c r="N8" s="466">
        <v>3034184</v>
      </c>
      <c r="O8" s="466">
        <v>596606</v>
      </c>
      <c r="P8" s="467"/>
    </row>
    <row r="9" spans="1:17" ht="13.5" customHeight="1">
      <c r="A9" s="746" t="s">
        <v>1416</v>
      </c>
      <c r="B9" s="746"/>
      <c r="C9" s="748"/>
      <c r="D9" s="748"/>
      <c r="E9" s="748"/>
      <c r="F9" s="748"/>
      <c r="G9" s="748"/>
      <c r="H9" s="748"/>
      <c r="I9" s="748"/>
      <c r="J9" s="748"/>
      <c r="K9" s="748"/>
      <c r="L9" s="748"/>
      <c r="M9" s="748"/>
      <c r="N9" s="748"/>
      <c r="O9" s="748"/>
      <c r="P9" s="467"/>
    </row>
    <row r="10" spans="1:17" ht="33.75" customHeight="1">
      <c r="A10" s="463" t="s">
        <v>1417</v>
      </c>
      <c r="B10" s="464" t="s">
        <v>1418</v>
      </c>
      <c r="C10" s="465">
        <v>8284406</v>
      </c>
      <c r="D10" s="465">
        <v>26181</v>
      </c>
      <c r="E10" s="465">
        <f>55796-D10</f>
        <v>29615</v>
      </c>
      <c r="F10" s="685">
        <v>1760561</v>
      </c>
      <c r="G10" s="465">
        <f>F10*0.85</f>
        <v>1496476.8499999999</v>
      </c>
      <c r="H10" s="465">
        <f>F10*0.15</f>
        <v>264084.14999999997</v>
      </c>
      <c r="I10" s="465">
        <v>6546</v>
      </c>
      <c r="J10" s="465">
        <v>575035</v>
      </c>
      <c r="K10" s="465">
        <v>465685</v>
      </c>
      <c r="L10" s="465">
        <v>713295</v>
      </c>
      <c r="M10" s="466">
        <v>2167917</v>
      </c>
      <c r="N10" s="466">
        <v>2876410</v>
      </c>
      <c r="O10" s="466">
        <v>1423722</v>
      </c>
      <c r="P10" s="467"/>
    </row>
    <row r="11" spans="1:17" ht="14.25" customHeight="1">
      <c r="A11" s="749" t="s">
        <v>1419</v>
      </c>
      <c r="B11" s="749"/>
      <c r="C11" s="750"/>
      <c r="D11" s="750"/>
      <c r="E11" s="750"/>
      <c r="F11" s="750"/>
      <c r="G11" s="750"/>
      <c r="H11" s="750"/>
      <c r="I11" s="750"/>
      <c r="J11" s="750"/>
      <c r="K11" s="750"/>
      <c r="L11" s="750"/>
      <c r="M11" s="750"/>
      <c r="N11" s="750"/>
      <c r="O11" s="750"/>
      <c r="P11" s="467"/>
    </row>
    <row r="12" spans="1:17" ht="32.25" customHeight="1">
      <c r="A12" s="463" t="s">
        <v>1420</v>
      </c>
      <c r="B12" s="476" t="s">
        <v>1421</v>
      </c>
      <c r="C12" s="465">
        <v>10795069</v>
      </c>
      <c r="D12" s="465">
        <v>11190</v>
      </c>
      <c r="E12" s="465">
        <f>125216-D12</f>
        <v>114026</v>
      </c>
      <c r="F12" s="685">
        <v>740000</v>
      </c>
      <c r="G12" s="683">
        <f>F12*0.85</f>
        <v>629000</v>
      </c>
      <c r="H12" s="683">
        <f>F12*0.15</f>
        <v>111000</v>
      </c>
      <c r="I12" s="683">
        <v>11001</v>
      </c>
      <c r="J12" s="683">
        <v>107052</v>
      </c>
      <c r="K12" s="683">
        <v>229346</v>
      </c>
      <c r="L12" s="684">
        <v>392601</v>
      </c>
      <c r="M12" s="468">
        <f>2881231+924832</f>
        <v>3806063</v>
      </c>
      <c r="N12" s="468">
        <f>999904+665158</f>
        <v>1665062</v>
      </c>
      <c r="O12" s="468">
        <f>465715+822043+3170970</f>
        <v>4458728</v>
      </c>
      <c r="P12" s="467"/>
      <c r="Q12" s="469"/>
    </row>
    <row r="13" spans="1:17" ht="19.5" customHeight="1">
      <c r="A13" s="751" t="s">
        <v>1422</v>
      </c>
      <c r="B13" s="751"/>
      <c r="C13" s="465">
        <f>F13+M13+N13+O13</f>
        <v>2457387</v>
      </c>
      <c r="D13" s="465">
        <v>0</v>
      </c>
      <c r="E13" s="465">
        <v>0</v>
      </c>
      <c r="F13" s="465">
        <v>45353</v>
      </c>
      <c r="G13" s="465">
        <f>F13*0.85</f>
        <v>38550.049999999996</v>
      </c>
      <c r="H13" s="465">
        <f>F13*0.15</f>
        <v>6802.95</v>
      </c>
      <c r="I13" s="465">
        <v>1250</v>
      </c>
      <c r="J13" s="465">
        <v>6103</v>
      </c>
      <c r="K13" s="465">
        <v>17750</v>
      </c>
      <c r="L13" s="465">
        <v>20250</v>
      </c>
      <c r="M13" s="468">
        <v>924832</v>
      </c>
      <c r="N13" s="468">
        <v>665158</v>
      </c>
      <c r="O13" s="468">
        <v>822044</v>
      </c>
      <c r="P13" s="467"/>
      <c r="Q13" s="469"/>
    </row>
    <row r="14" spans="1:17" ht="16.5" customHeight="1">
      <c r="A14" s="746" t="s">
        <v>1423</v>
      </c>
      <c r="B14" s="746"/>
      <c r="C14" s="470"/>
      <c r="D14" s="470"/>
      <c r="E14" s="470"/>
      <c r="F14" s="470"/>
      <c r="G14" s="470"/>
      <c r="H14" s="470"/>
      <c r="I14" s="470"/>
      <c r="J14" s="470"/>
      <c r="K14" s="470"/>
      <c r="L14" s="470"/>
      <c r="M14" s="470"/>
      <c r="N14" s="470"/>
      <c r="O14" s="470"/>
      <c r="P14" s="467"/>
    </row>
    <row r="15" spans="1:17" ht="20.25" customHeight="1">
      <c r="A15" s="463" t="s">
        <v>1424</v>
      </c>
      <c r="B15" s="464" t="s">
        <v>1425</v>
      </c>
      <c r="C15" s="465">
        <v>7667962</v>
      </c>
      <c r="D15" s="465">
        <v>68152</v>
      </c>
      <c r="E15" s="465">
        <f>96071-D15</f>
        <v>27919</v>
      </c>
      <c r="F15" s="685">
        <v>2032453</v>
      </c>
      <c r="G15" s="465">
        <f>F15*0.95</f>
        <v>1930830.3499999999</v>
      </c>
      <c r="H15" s="465">
        <f>F15*0.05</f>
        <v>101622.65000000001</v>
      </c>
      <c r="I15" s="465">
        <v>55616</v>
      </c>
      <c r="J15" s="465">
        <v>119089</v>
      </c>
      <c r="K15" s="465">
        <v>1297783</v>
      </c>
      <c r="L15" s="465">
        <v>559965</v>
      </c>
      <c r="M15" s="468">
        <v>2886787</v>
      </c>
      <c r="N15" s="468">
        <v>2156724</v>
      </c>
      <c r="O15" s="468">
        <v>495927</v>
      </c>
      <c r="P15" s="467"/>
    </row>
    <row r="16" spans="1:17" ht="33.75" customHeight="1">
      <c r="A16" s="752" t="s">
        <v>1426</v>
      </c>
      <c r="B16" s="752"/>
      <c r="C16" s="470"/>
      <c r="D16" s="470"/>
      <c r="E16" s="470"/>
      <c r="F16" s="470"/>
      <c r="G16" s="470"/>
      <c r="H16" s="470"/>
      <c r="I16" s="470"/>
      <c r="J16" s="470"/>
      <c r="K16" s="470"/>
      <c r="L16" s="470"/>
      <c r="M16" s="470"/>
      <c r="N16" s="470"/>
      <c r="O16" s="470"/>
      <c r="P16" s="467"/>
    </row>
    <row r="17" spans="1:16" ht="17.25" customHeight="1">
      <c r="A17" s="471" t="s">
        <v>1427</v>
      </c>
      <c r="B17" s="472" t="s">
        <v>1428</v>
      </c>
      <c r="C17" s="465">
        <v>7875204</v>
      </c>
      <c r="D17" s="465">
        <v>0</v>
      </c>
      <c r="E17" s="465">
        <v>0</v>
      </c>
      <c r="F17" s="686">
        <f>I17+J17+K17+L17</f>
        <v>164961</v>
      </c>
      <c r="G17" s="473">
        <f>F17-H17</f>
        <v>152588.92499999999</v>
      </c>
      <c r="H17" s="473">
        <f>F17*0.075</f>
        <v>12372.074999999999</v>
      </c>
      <c r="I17" s="473">
        <v>9364</v>
      </c>
      <c r="J17" s="473">
        <v>50779</v>
      </c>
      <c r="K17" s="473">
        <v>58212</v>
      </c>
      <c r="L17" s="473">
        <v>46606</v>
      </c>
      <c r="M17" s="474">
        <v>2609869</v>
      </c>
      <c r="N17" s="474">
        <v>1666106</v>
      </c>
      <c r="O17" s="474">
        <f>1249798+1977228</f>
        <v>3227026</v>
      </c>
      <c r="P17" s="467"/>
    </row>
    <row r="18" spans="1:16" ht="50.25" customHeight="1">
      <c r="A18" s="475" t="s">
        <v>1429</v>
      </c>
      <c r="B18" s="476" t="s">
        <v>1430</v>
      </c>
      <c r="C18" s="473">
        <v>3967878</v>
      </c>
      <c r="D18" s="473">
        <v>2389</v>
      </c>
      <c r="E18" s="473">
        <f>15160-D18</f>
        <v>12771</v>
      </c>
      <c r="F18" s="686">
        <v>985478</v>
      </c>
      <c r="G18" s="473">
        <f>F18*0.8842</f>
        <v>871359.64760000003</v>
      </c>
      <c r="H18" s="473">
        <f>F18*0.1158</f>
        <v>114118.3524</v>
      </c>
      <c r="I18" s="473">
        <v>24814</v>
      </c>
      <c r="J18" s="473">
        <v>615683</v>
      </c>
      <c r="K18" s="473">
        <v>27309</v>
      </c>
      <c r="L18" s="473">
        <v>317672</v>
      </c>
      <c r="M18" s="477">
        <v>436094</v>
      </c>
      <c r="N18" s="477">
        <v>362545</v>
      </c>
      <c r="O18" s="477">
        <f>C18-(D18+E18+F18+M18+N18)</f>
        <v>2168601</v>
      </c>
      <c r="P18" s="467"/>
    </row>
    <row r="19" spans="1:16" ht="15" customHeight="1">
      <c r="A19" s="746" t="s">
        <v>1431</v>
      </c>
      <c r="B19" s="746"/>
      <c r="C19" s="748"/>
      <c r="D19" s="748"/>
      <c r="E19" s="748"/>
      <c r="F19" s="748"/>
      <c r="G19" s="748"/>
      <c r="H19" s="748"/>
      <c r="I19" s="748"/>
      <c r="J19" s="748"/>
      <c r="K19" s="748"/>
      <c r="L19" s="748"/>
      <c r="M19" s="748"/>
      <c r="N19" s="748"/>
      <c r="O19" s="748"/>
      <c r="P19" s="467"/>
    </row>
    <row r="20" spans="1:16" ht="36" customHeight="1">
      <c r="A20" s="478" t="s">
        <v>1432</v>
      </c>
      <c r="B20" s="464" t="s">
        <v>1433</v>
      </c>
      <c r="C20" s="465">
        <f>D20+F20+M20+N20+O20</f>
        <v>1025391.036</v>
      </c>
      <c r="D20" s="465">
        <f>(52439+203825)*0.702804</f>
        <v>180103.364256</v>
      </c>
      <c r="E20" s="465">
        <v>0</v>
      </c>
      <c r="F20" s="685">
        <f>246460*0.702804</f>
        <v>173213.07384</v>
      </c>
      <c r="G20" s="465">
        <f>F20</f>
        <v>173213.07384</v>
      </c>
      <c r="H20" s="465">
        <v>0</v>
      </c>
      <c r="I20" s="465">
        <v>43363</v>
      </c>
      <c r="J20" s="465">
        <v>42643</v>
      </c>
      <c r="K20" s="465">
        <v>37649</v>
      </c>
      <c r="L20" s="466">
        <v>49558</v>
      </c>
      <c r="M20" s="466">
        <f>303348*0.702804</f>
        <v>213194.18779199998</v>
      </c>
      <c r="N20" s="466">
        <f>316854*0.702804</f>
        <v>222686.25861600001</v>
      </c>
      <c r="O20" s="466">
        <f>(175952+160122)*0.702804</f>
        <v>236194.15149600001</v>
      </c>
      <c r="P20" s="467"/>
    </row>
    <row r="22" spans="1:16" ht="63.75" customHeight="1">
      <c r="C22" s="469"/>
    </row>
    <row r="23" spans="1:16" ht="26.25">
      <c r="A23" s="575"/>
      <c r="B23" s="576"/>
      <c r="C23" s="576"/>
      <c r="D23" s="671"/>
      <c r="E23" s="576"/>
      <c r="G23" s="565" t="s">
        <v>1586</v>
      </c>
      <c r="H23" s="577"/>
      <c r="I23" s="576"/>
      <c r="J23" s="578"/>
      <c r="K23" s="612"/>
      <c r="L23" s="578"/>
      <c r="M23" s="578"/>
      <c r="N23" s="565" t="s">
        <v>1587</v>
      </c>
    </row>
    <row r="24" spans="1:16">
      <c r="A24" s="575"/>
      <c r="B24" s="576"/>
      <c r="C24" s="576"/>
      <c r="D24" s="576"/>
      <c r="E24" s="576"/>
      <c r="F24" s="576"/>
      <c r="G24" s="576"/>
      <c r="H24" s="578"/>
      <c r="I24" s="578"/>
      <c r="J24" s="578"/>
      <c r="K24" s="578"/>
      <c r="L24" s="578"/>
    </row>
    <row r="25" spans="1:16">
      <c r="A25" s="26" t="s">
        <v>1595</v>
      </c>
      <c r="B25" s="576"/>
      <c r="C25" s="576"/>
      <c r="D25" s="576"/>
      <c r="E25" s="671"/>
      <c r="F25" s="576"/>
      <c r="G25" s="576"/>
      <c r="H25" s="578"/>
      <c r="I25" s="578"/>
      <c r="J25" s="578"/>
      <c r="K25" s="612"/>
      <c r="L25" s="578"/>
    </row>
    <row r="26" spans="1:16">
      <c r="A26" s="26" t="s">
        <v>1590</v>
      </c>
      <c r="B26" s="576"/>
      <c r="C26" s="576"/>
      <c r="D26" s="576"/>
      <c r="E26" s="576"/>
      <c r="F26" s="576"/>
      <c r="G26" s="576"/>
      <c r="H26" s="612"/>
      <c r="I26" s="578"/>
      <c r="J26" s="612"/>
      <c r="K26" s="612"/>
      <c r="L26" s="612"/>
    </row>
    <row r="27" spans="1:16">
      <c r="A27" s="26" t="s">
        <v>1591</v>
      </c>
      <c r="B27" s="576"/>
      <c r="C27" s="576"/>
      <c r="D27" s="576"/>
      <c r="E27" s="576"/>
      <c r="F27" s="576"/>
      <c r="G27" s="576"/>
      <c r="H27" s="578"/>
      <c r="I27" s="578"/>
      <c r="J27" s="612"/>
      <c r="K27" s="578"/>
      <c r="L27" s="578"/>
    </row>
  </sheetData>
  <mergeCells count="19">
    <mergeCell ref="A13:B13"/>
    <mergeCell ref="A14:B14"/>
    <mergeCell ref="A16:B16"/>
    <mergeCell ref="A19:B19"/>
    <mergeCell ref="C19:O19"/>
    <mergeCell ref="A7:B7"/>
    <mergeCell ref="C7:O7"/>
    <mergeCell ref="A9:B9"/>
    <mergeCell ref="C9:O9"/>
    <mergeCell ref="A11:B11"/>
    <mergeCell ref="C11:O11"/>
    <mergeCell ref="A1:O1"/>
    <mergeCell ref="A3:A4"/>
    <mergeCell ref="B3:B4"/>
    <mergeCell ref="C3:C4"/>
    <mergeCell ref="F3:L3"/>
    <mergeCell ref="M3:O3"/>
    <mergeCell ref="E3:E4"/>
    <mergeCell ref="D3:D4"/>
  </mergeCells>
  <pageMargins left="0.70866141732283472" right="0.70866141732283472" top="0.74803149606299213" bottom="0.74803149606299213" header="0.31496062992125984" footer="0.31496062992125984"/>
  <pageSetup paperSize="9" scale="67" orientation="landscape" r:id="rId1"/>
  <headerFooter>
    <oddHeader>&amp;C&amp;P</oddHeader>
    <oddFooter>&amp;L&amp;10&amp;F; Mērķi maksājumiem finansējuma saņēmējiem</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01"/>
  <sheetViews>
    <sheetView topLeftCell="A262" zoomScale="70" zoomScaleNormal="70" workbookViewId="0">
      <selection activeCell="AD92" sqref="AD92"/>
    </sheetView>
  </sheetViews>
  <sheetFormatPr defaultColWidth="8" defaultRowHeight="17.25" outlineLevelCol="1"/>
  <cols>
    <col min="1" max="1" width="15.125" style="47" customWidth="1"/>
    <col min="2" max="2" width="30.25" style="51" customWidth="1"/>
    <col min="3" max="3" width="77.875" style="47" hidden="1" customWidth="1"/>
    <col min="4" max="4" width="11.625" style="47" customWidth="1"/>
    <col min="5" max="5" width="24.25" style="47" hidden="1" customWidth="1" outlineLevel="1"/>
    <col min="6" max="6" width="20.25" style="47" customWidth="1" collapsed="1"/>
    <col min="7" max="7" width="26.875" style="47" hidden="1" customWidth="1" outlineLevel="1"/>
    <col min="8" max="8" width="18.375" style="47" hidden="1" customWidth="1" outlineLevel="1"/>
    <col min="9" max="9" width="24.375" style="47" hidden="1" customWidth="1" outlineLevel="1"/>
    <col min="10" max="10" width="16.375" style="47" customWidth="1" collapsed="1"/>
    <col min="11" max="11" width="27.5" style="47" customWidth="1"/>
    <col min="12" max="13" width="16.375" style="47" customWidth="1"/>
    <col min="14" max="14" width="21.5" style="47" customWidth="1"/>
    <col min="15" max="15" width="15.5" style="276" customWidth="1"/>
    <col min="16" max="16" width="16.5" style="56" customWidth="1"/>
    <col min="17" max="17" width="15.75" style="47" customWidth="1"/>
    <col min="18" max="18" width="15.125" style="47" customWidth="1" outlineLevel="1"/>
    <col min="19" max="20" width="17.5" style="47" customWidth="1"/>
    <col min="21" max="21" width="15.625" style="56" customWidth="1"/>
    <col min="22" max="22" width="12.375" style="47" customWidth="1"/>
    <col min="23" max="23" width="13.375" style="47" customWidth="1" outlineLevel="1"/>
    <col min="24" max="25" width="15" style="47" customWidth="1"/>
    <col min="26" max="26" width="18.375" style="47" customWidth="1" outlineLevel="1"/>
    <col min="27" max="27" width="17.25" style="47" customWidth="1" outlineLevel="1"/>
    <col min="28" max="28" width="19.25" style="47" customWidth="1" outlineLevel="1"/>
    <col min="29" max="30" width="17.25" style="47" customWidth="1" outlineLevel="1"/>
    <col min="31" max="31" width="17.25" style="47" customWidth="1"/>
    <col min="32" max="32" width="17.375" style="47" customWidth="1"/>
    <col min="33" max="33" width="17.375" style="298" customWidth="1"/>
    <col min="34" max="34" width="14.75" style="47" customWidth="1"/>
    <col min="35" max="35" width="14.125" style="47" hidden="1" customWidth="1" outlineLevel="1"/>
    <col min="36" max="36" width="15.25" style="47" customWidth="1" collapsed="1"/>
    <col min="37" max="37" width="15.5" style="47" customWidth="1"/>
    <col min="38" max="39" width="19.25" style="47" hidden="1" customWidth="1"/>
    <col min="40" max="40" width="19.375" style="47" hidden="1" customWidth="1" outlineLevel="1"/>
    <col min="41" max="41" width="19.875" style="47" hidden="1" customWidth="1"/>
    <col min="42" max="42" width="20.375" style="47" hidden="1" customWidth="1"/>
    <col min="43" max="43" width="20.75" style="47" hidden="1" customWidth="1"/>
    <col min="44" max="44" width="21.375" style="47" hidden="1" customWidth="1" outlineLevel="1"/>
    <col min="45" max="45" width="18.125" style="47" hidden="1" customWidth="1"/>
    <col min="46" max="46" width="8" style="47" hidden="1" customWidth="1"/>
    <col min="47" max="16384" width="8" style="47"/>
  </cols>
  <sheetData>
    <row r="1" spans="1:45" ht="24">
      <c r="A1" s="754" t="s">
        <v>395</v>
      </c>
      <c r="B1" s="754"/>
      <c r="C1" s="754"/>
      <c r="D1" s="754"/>
      <c r="E1" s="754"/>
      <c r="F1" s="754"/>
      <c r="G1" s="754"/>
      <c r="H1" s="754"/>
      <c r="I1" s="754"/>
      <c r="J1" s="754"/>
      <c r="K1" s="754"/>
      <c r="L1" s="754"/>
      <c r="M1" s="754"/>
      <c r="N1" s="754"/>
      <c r="O1" s="754"/>
      <c r="P1" s="754"/>
      <c r="Q1" s="754"/>
      <c r="R1" s="754"/>
      <c r="S1" s="754"/>
      <c r="T1" s="754"/>
      <c r="U1" s="754"/>
      <c r="V1" s="754"/>
      <c r="W1" s="754"/>
      <c r="X1" s="754"/>
      <c r="Y1" s="754"/>
      <c r="Z1" s="754"/>
      <c r="AA1" s="754"/>
      <c r="AB1" s="754"/>
      <c r="AC1" s="754"/>
      <c r="AD1" s="754"/>
      <c r="AE1" s="754"/>
      <c r="AF1" s="754"/>
      <c r="AG1" s="754"/>
      <c r="AH1" s="754"/>
      <c r="AI1" s="754"/>
      <c r="AJ1" s="754"/>
      <c r="AK1" s="46"/>
    </row>
    <row r="2" spans="1:45" ht="20.25">
      <c r="A2" s="755" t="s">
        <v>396</v>
      </c>
      <c r="B2" s="755"/>
      <c r="C2" s="755"/>
      <c r="D2" s="755"/>
      <c r="E2" s="755"/>
      <c r="F2" s="755"/>
      <c r="G2" s="755"/>
      <c r="H2" s="755"/>
      <c r="I2" s="755"/>
      <c r="J2" s="755"/>
      <c r="K2" s="755"/>
      <c r="L2" s="755"/>
      <c r="M2" s="755"/>
      <c r="N2" s="755"/>
      <c r="O2" s="755"/>
      <c r="P2" s="755"/>
      <c r="Q2" s="755"/>
      <c r="R2" s="755"/>
      <c r="S2" s="755"/>
      <c r="T2" s="755"/>
      <c r="U2" s="755"/>
      <c r="V2" s="755"/>
      <c r="W2" s="755"/>
      <c r="X2" s="755"/>
      <c r="Y2" s="755"/>
      <c r="Z2" s="755"/>
      <c r="AA2" s="755"/>
      <c r="AB2" s="755"/>
      <c r="AC2" s="755"/>
      <c r="AD2" s="755"/>
      <c r="AE2" s="755"/>
      <c r="AF2" s="755"/>
      <c r="AG2" s="755"/>
      <c r="AH2" s="755"/>
      <c r="AI2" s="755"/>
      <c r="AJ2" s="755"/>
      <c r="AK2" s="48"/>
      <c r="AL2" s="49"/>
      <c r="AM2" s="50"/>
      <c r="AN2" s="50"/>
      <c r="AO2" s="50"/>
      <c r="AP2" s="49"/>
      <c r="AQ2" s="50"/>
      <c r="AR2" s="50"/>
      <c r="AS2" s="50"/>
    </row>
    <row r="3" spans="1:45" ht="18" thickBot="1">
      <c r="D3" s="52"/>
      <c r="E3" s="52"/>
      <c r="F3" s="53"/>
      <c r="G3" s="52"/>
      <c r="H3" s="52"/>
      <c r="I3" s="52"/>
      <c r="O3" s="54"/>
      <c r="P3" s="55"/>
      <c r="Q3" s="52"/>
      <c r="S3" s="52"/>
      <c r="T3" s="52"/>
      <c r="AG3" s="277"/>
      <c r="AH3" s="52"/>
      <c r="AL3" s="49"/>
      <c r="AM3" s="50"/>
      <c r="AN3" s="50"/>
      <c r="AO3" s="50"/>
      <c r="AP3" s="49"/>
      <c r="AQ3" s="50"/>
      <c r="AR3" s="50"/>
      <c r="AS3" s="50"/>
    </row>
    <row r="4" spans="1:45" s="63" customFormat="1" ht="215.25" thickTop="1">
      <c r="A4" s="57" t="s">
        <v>397</v>
      </c>
      <c r="B4" s="58" t="s">
        <v>398</v>
      </c>
      <c r="C4" s="59" t="s">
        <v>399</v>
      </c>
      <c r="D4" s="59" t="s">
        <v>400</v>
      </c>
      <c r="E4" s="59" t="s">
        <v>401</v>
      </c>
      <c r="F4" s="59" t="s">
        <v>402</v>
      </c>
      <c r="G4" s="59" t="s">
        <v>403</v>
      </c>
      <c r="H4" s="59" t="s">
        <v>404</v>
      </c>
      <c r="I4" s="59" t="s">
        <v>405</v>
      </c>
      <c r="J4" s="60" t="s">
        <v>406</v>
      </c>
      <c r="K4" s="60" t="s">
        <v>407</v>
      </c>
      <c r="L4" s="60" t="s">
        <v>391</v>
      </c>
      <c r="M4" s="60" t="s">
        <v>384</v>
      </c>
      <c r="N4" s="60" t="s">
        <v>408</v>
      </c>
      <c r="O4" s="61" t="s">
        <v>409</v>
      </c>
      <c r="P4" s="60" t="s">
        <v>410</v>
      </c>
      <c r="Q4" s="60" t="s">
        <v>411</v>
      </c>
      <c r="R4" s="60" t="s">
        <v>412</v>
      </c>
      <c r="S4" s="60" t="s">
        <v>413</v>
      </c>
      <c r="T4" s="60" t="s">
        <v>414</v>
      </c>
      <c r="U4" s="60" t="s">
        <v>415</v>
      </c>
      <c r="V4" s="60" t="s">
        <v>416</v>
      </c>
      <c r="W4" s="60" t="s">
        <v>416</v>
      </c>
      <c r="X4" s="60" t="s">
        <v>417</v>
      </c>
      <c r="Y4" s="60" t="s">
        <v>418</v>
      </c>
      <c r="Z4" s="60" t="s">
        <v>419</v>
      </c>
      <c r="AA4" s="60" t="s">
        <v>420</v>
      </c>
      <c r="AB4" s="60" t="s">
        <v>421</v>
      </c>
      <c r="AC4" s="60" t="s">
        <v>422</v>
      </c>
      <c r="AD4" s="60" t="s">
        <v>423</v>
      </c>
      <c r="AE4" s="60" t="s">
        <v>424</v>
      </c>
      <c r="AF4" s="60" t="s">
        <v>425</v>
      </c>
      <c r="AG4" s="278" t="s">
        <v>426</v>
      </c>
      <c r="AH4" s="60" t="s">
        <v>427</v>
      </c>
      <c r="AI4" s="60" t="s">
        <v>427</v>
      </c>
      <c r="AJ4" s="60" t="s">
        <v>428</v>
      </c>
      <c r="AK4" s="60" t="s">
        <v>429</v>
      </c>
      <c r="AL4" s="59" t="s">
        <v>430</v>
      </c>
      <c r="AM4" s="59" t="s">
        <v>431</v>
      </c>
      <c r="AN4" s="59" t="s">
        <v>432</v>
      </c>
      <c r="AO4" s="59" t="s">
        <v>433</v>
      </c>
      <c r="AP4" s="59" t="s">
        <v>434</v>
      </c>
      <c r="AQ4" s="59" t="s">
        <v>435</v>
      </c>
      <c r="AR4" s="59" t="s">
        <v>436</v>
      </c>
      <c r="AS4" s="62" t="s">
        <v>437</v>
      </c>
    </row>
    <row r="5" spans="1:45" s="63" customFormat="1">
      <c r="A5" s="64">
        <v>1</v>
      </c>
      <c r="B5" s="65">
        <v>2</v>
      </c>
      <c r="C5" s="65">
        <v>3</v>
      </c>
      <c r="D5" s="65">
        <v>4</v>
      </c>
      <c r="E5" s="65">
        <v>0.70280399999999998</v>
      </c>
      <c r="F5" s="65">
        <v>5</v>
      </c>
      <c r="G5" s="65">
        <v>0.70280399999999998</v>
      </c>
      <c r="H5" s="65" t="s">
        <v>438</v>
      </c>
      <c r="I5" s="65">
        <v>0.70280399999999998</v>
      </c>
      <c r="J5" s="65" t="s">
        <v>439</v>
      </c>
      <c r="K5" s="65" t="s">
        <v>440</v>
      </c>
      <c r="L5" s="65">
        <v>6</v>
      </c>
      <c r="M5" s="65" t="s">
        <v>441</v>
      </c>
      <c r="N5" s="65" t="s">
        <v>442</v>
      </c>
      <c r="O5" s="66">
        <v>7</v>
      </c>
      <c r="P5" s="65">
        <v>8</v>
      </c>
      <c r="Q5" s="65" t="s">
        <v>443</v>
      </c>
      <c r="R5" s="65" t="s">
        <v>444</v>
      </c>
      <c r="S5" s="67" t="s">
        <v>445</v>
      </c>
      <c r="T5" s="67" t="s">
        <v>446</v>
      </c>
      <c r="U5" s="65">
        <v>9</v>
      </c>
      <c r="V5" s="65" t="s">
        <v>447</v>
      </c>
      <c r="W5" s="65"/>
      <c r="X5" s="65" t="s">
        <v>448</v>
      </c>
      <c r="Y5" s="65" t="s">
        <v>449</v>
      </c>
      <c r="Z5" s="67" t="s">
        <v>450</v>
      </c>
      <c r="AA5" s="65" t="s">
        <v>451</v>
      </c>
      <c r="AB5" s="65" t="s">
        <v>452</v>
      </c>
      <c r="AC5" s="65" t="s">
        <v>453</v>
      </c>
      <c r="AD5" s="65" t="s">
        <v>454</v>
      </c>
      <c r="AE5" s="65">
        <v>10</v>
      </c>
      <c r="AF5" s="65">
        <v>11</v>
      </c>
      <c r="AG5" s="279">
        <v>12</v>
      </c>
      <c r="AH5" s="65" t="s">
        <v>455</v>
      </c>
      <c r="AI5" s="65"/>
      <c r="AJ5" s="65">
        <v>13</v>
      </c>
      <c r="AK5" s="65" t="s">
        <v>456</v>
      </c>
      <c r="AL5" s="65">
        <v>9</v>
      </c>
      <c r="AM5" s="65" t="s">
        <v>457</v>
      </c>
      <c r="AN5" s="65"/>
      <c r="AO5" s="65" t="s">
        <v>448</v>
      </c>
      <c r="AP5" s="65">
        <v>10</v>
      </c>
      <c r="AQ5" s="65" t="s">
        <v>458</v>
      </c>
      <c r="AR5" s="65"/>
      <c r="AS5" s="65" t="s">
        <v>451</v>
      </c>
    </row>
    <row r="6" spans="1:45" s="63" customFormat="1">
      <c r="A6" s="69"/>
      <c r="B6" s="70" t="s">
        <v>459</v>
      </c>
      <c r="C6" s="71"/>
      <c r="D6" s="71"/>
      <c r="E6" s="71"/>
      <c r="F6" s="72">
        <f>SUM(F9,F8,F10)</f>
        <v>3184016715.9766917</v>
      </c>
      <c r="G6" s="72"/>
      <c r="H6" s="72">
        <f>SUM(H9,H8,H10)</f>
        <v>3184016716.7283559</v>
      </c>
      <c r="I6" s="72"/>
      <c r="J6" s="72">
        <f>SUM(J9,J8,J10)</f>
        <v>3184016716.5960159</v>
      </c>
      <c r="K6" s="72"/>
      <c r="L6" s="72">
        <f>SUM(L9,L8,L10)</f>
        <v>298574716.90376997</v>
      </c>
      <c r="M6" s="72">
        <f>SUM(M9,M8,M10)</f>
        <v>276746563.56820315</v>
      </c>
      <c r="N6" s="72">
        <f>J6+M6</f>
        <v>3460763280.1642189</v>
      </c>
      <c r="O6" s="73">
        <f>SUM(O9,O8,O10,O262)</f>
        <v>2210675604.1800003</v>
      </c>
      <c r="P6" s="74">
        <f>SUM(P9,P8,P10)</f>
        <v>3036407906.4700003</v>
      </c>
      <c r="Q6" s="75">
        <f>P6/J6</f>
        <v>0.95364069247606775</v>
      </c>
      <c r="R6" s="75">
        <v>0.94480293847507579</v>
      </c>
      <c r="S6" s="75">
        <f>Q6-R6</f>
        <v>8.8377540009919597E-3</v>
      </c>
      <c r="T6" s="75">
        <f>P6/N6</f>
        <v>0.87738098814025722</v>
      </c>
      <c r="U6" s="74">
        <f>SUM(U9,U8,U10)</f>
        <v>2989547149.7299995</v>
      </c>
      <c r="V6" s="75">
        <f>U6/J6</f>
        <v>0.93892319539266711</v>
      </c>
      <c r="W6" s="75">
        <v>0.93352709626325681</v>
      </c>
      <c r="X6" s="75">
        <f>V6-W6</f>
        <v>5.3960991294103033E-3</v>
      </c>
      <c r="Y6" s="75">
        <f>U6/N6</f>
        <v>0.86384040389729877</v>
      </c>
      <c r="Z6" s="76">
        <f>SUM(Z9,Z8,Z10)</f>
        <v>1269436049.6400001</v>
      </c>
      <c r="AA6" s="76">
        <f>SUM(AA9,AA8,AA10)</f>
        <v>37195497.189999998</v>
      </c>
      <c r="AB6" s="76">
        <f>SUM(AB9,AB8,AB10)</f>
        <v>479121838.51999998</v>
      </c>
      <c r="AC6" s="76">
        <f>SUM(AC9,AC8,AC10)</f>
        <v>204346771.28000009</v>
      </c>
      <c r="AD6" s="76">
        <f>SUM(AD9,AD8,AD10)</f>
        <v>77612466.069999993</v>
      </c>
      <c r="AE6" s="77">
        <f>AG6-AD6</f>
        <v>1708140919.2800002</v>
      </c>
      <c r="AF6" s="76">
        <f>Z6+AA6+AC6</f>
        <v>1510978318.1100001</v>
      </c>
      <c r="AG6" s="280">
        <f>SUM(Z6:AB6)</f>
        <v>1785753385.3500001</v>
      </c>
      <c r="AH6" s="75">
        <f>AG6/J6</f>
        <v>0.56084924932778679</v>
      </c>
      <c r="AI6" s="75">
        <v>0.53302375211591313</v>
      </c>
      <c r="AJ6" s="75">
        <f>AH6-AI6</f>
        <v>2.7825497211873662E-2</v>
      </c>
      <c r="AK6" s="75">
        <f>AG6/N6</f>
        <v>0.51599986499662098</v>
      </c>
      <c r="AL6" s="76">
        <f>SUM(AL9,AL8,AL10)</f>
        <v>904444209.62112868</v>
      </c>
      <c r="AM6" s="75">
        <f>AL6/J6</f>
        <v>0.28405761970623583</v>
      </c>
      <c r="AN6" s="75">
        <v>0.28405761964320964</v>
      </c>
      <c r="AO6" s="75">
        <f>AM6-AN6</f>
        <v>6.302619537379428E-11</v>
      </c>
      <c r="AP6" s="76">
        <f>SUM(AP9,AP8,AP10)</f>
        <v>1199065655.1111741</v>
      </c>
      <c r="AQ6" s="75">
        <f>AP6/J6</f>
        <v>0.3765889949199378</v>
      </c>
      <c r="AR6" s="75">
        <v>0.36432961593980467</v>
      </c>
      <c r="AS6" s="75">
        <f>AQ6-AR6</f>
        <v>1.2259378980133129E-2</v>
      </c>
    </row>
    <row r="7" spans="1:45" s="63" customFormat="1">
      <c r="A7" s="78"/>
      <c r="B7" s="78"/>
      <c r="C7" s="65"/>
      <c r="D7" s="65"/>
      <c r="E7" s="65"/>
      <c r="F7" s="65"/>
      <c r="G7" s="65"/>
      <c r="H7" s="65"/>
      <c r="I7" s="65"/>
      <c r="J7" s="79"/>
      <c r="K7" s="79"/>
      <c r="L7" s="79"/>
      <c r="M7" s="79"/>
      <c r="N7" s="79"/>
      <c r="O7" s="80"/>
      <c r="P7" s="68"/>
      <c r="Q7" s="68"/>
      <c r="R7" s="68"/>
      <c r="S7" s="81"/>
      <c r="T7" s="81"/>
      <c r="U7" s="68"/>
      <c r="V7" s="68"/>
      <c r="W7" s="68"/>
      <c r="X7" s="81"/>
      <c r="Y7" s="81"/>
      <c r="Z7" s="81"/>
      <c r="AA7" s="81"/>
      <c r="AB7" s="81"/>
      <c r="AC7" s="81"/>
      <c r="AD7" s="81"/>
      <c r="AE7" s="81"/>
      <c r="AF7" s="81"/>
      <c r="AG7" s="279"/>
      <c r="AH7" s="68"/>
      <c r="AI7" s="68"/>
      <c r="AJ7" s="81"/>
      <c r="AK7" s="81"/>
      <c r="AL7" s="68"/>
      <c r="AM7" s="68"/>
      <c r="AN7" s="68"/>
      <c r="AO7" s="81"/>
      <c r="AP7" s="68"/>
      <c r="AQ7" s="68"/>
      <c r="AR7" s="68"/>
      <c r="AS7" s="81"/>
    </row>
    <row r="8" spans="1:45" s="63" customFormat="1">
      <c r="A8" s="69"/>
      <c r="B8" s="70" t="s">
        <v>460</v>
      </c>
      <c r="C8" s="71"/>
      <c r="D8" s="71"/>
      <c r="E8" s="71"/>
      <c r="F8" s="72">
        <f>SUM(F15)</f>
        <v>409807622.18142396</v>
      </c>
      <c r="G8" s="72"/>
      <c r="H8" s="72">
        <f>SUM(H15)</f>
        <v>409807622.18142396</v>
      </c>
      <c r="I8" s="72"/>
      <c r="J8" s="72">
        <f>SUM(J15)</f>
        <v>409807622.21894801</v>
      </c>
      <c r="K8" s="72"/>
      <c r="L8" s="72">
        <f>SUM(L15)</f>
        <v>40869460.113769993</v>
      </c>
      <c r="M8" s="72">
        <f>SUM(M15)</f>
        <v>35654549.478203177</v>
      </c>
      <c r="N8" s="72">
        <f>J8+M8</f>
        <v>445462171.69715118</v>
      </c>
      <c r="O8" s="73">
        <f>SUM(O15)</f>
        <v>385629730.92040014</v>
      </c>
      <c r="P8" s="74">
        <f>SUM(P15)</f>
        <v>423523517.30000001</v>
      </c>
      <c r="Q8" s="75">
        <f>P8/J8</f>
        <v>1.0334691068135478</v>
      </c>
      <c r="R8" s="75">
        <v>1.0153318491304824</v>
      </c>
      <c r="S8" s="75">
        <f>Q8-R8</f>
        <v>1.81372576830654E-2</v>
      </c>
      <c r="T8" s="75">
        <f>P8/N8</f>
        <v>0.95075080266957834</v>
      </c>
      <c r="U8" s="74">
        <f>SUM(U15)</f>
        <v>423488755.67000002</v>
      </c>
      <c r="V8" s="75">
        <f>U8/J8</f>
        <v>1.0333842825493924</v>
      </c>
      <c r="W8" s="75">
        <v>1.0151397373057824</v>
      </c>
      <c r="X8" s="75">
        <f>V8-W8</f>
        <v>1.8244545243609966E-2</v>
      </c>
      <c r="Y8" s="75">
        <f>U8/N8</f>
        <v>0.95067276769330289</v>
      </c>
      <c r="Z8" s="76">
        <f>SUM(Z15)</f>
        <v>293031618.21999997</v>
      </c>
      <c r="AA8" s="76">
        <f>SUM(AA15)</f>
        <v>0</v>
      </c>
      <c r="AB8" s="76">
        <f>SUM(AB15)</f>
        <v>24591847.589999996</v>
      </c>
      <c r="AC8" s="76">
        <f>SUM(AC15)</f>
        <v>12233749.720000016</v>
      </c>
      <c r="AD8" s="76">
        <f>SUM(AD15)</f>
        <v>132944.78999999998</v>
      </c>
      <c r="AE8" s="77">
        <f>AG8-AD8</f>
        <v>317490521.01999992</v>
      </c>
      <c r="AF8" s="76">
        <f>Z8+AA8+AC8</f>
        <v>305265367.94</v>
      </c>
      <c r="AG8" s="280">
        <f>SUM(Z8:AB8)</f>
        <v>317623465.80999994</v>
      </c>
      <c r="AH8" s="75">
        <f>AG8/J8</f>
        <v>0.77505504678071402</v>
      </c>
      <c r="AI8" s="75">
        <v>0.76147730637441635</v>
      </c>
      <c r="AJ8" s="75">
        <f>AH8-AI8</f>
        <v>1.3577740406297667E-2</v>
      </c>
      <c r="AK8" s="75">
        <f>AG8/N8</f>
        <v>0.71302006318493238</v>
      </c>
      <c r="AL8" s="76">
        <f>SUM(AL15)</f>
        <v>213988163.23065701</v>
      </c>
      <c r="AM8" s="75">
        <f>AL8/J8</f>
        <v>0.52216735762989175</v>
      </c>
      <c r="AN8" s="75">
        <v>0.52216735742971354</v>
      </c>
      <c r="AO8" s="75">
        <f>AM8-AN8</f>
        <v>2.0017820734352654E-10</v>
      </c>
      <c r="AP8" s="76">
        <f>AP15</f>
        <v>246050044.63774601</v>
      </c>
      <c r="AQ8" s="75">
        <f>AP8/J8</f>
        <v>0.6004037780104754</v>
      </c>
      <c r="AR8" s="75">
        <v>0.60040377778030429</v>
      </c>
      <c r="AS8" s="75">
        <f>AQ8-AR8</f>
        <v>2.3017110439838007E-10</v>
      </c>
    </row>
    <row r="9" spans="1:45" s="63" customFormat="1">
      <c r="A9" s="69"/>
      <c r="B9" s="70" t="s">
        <v>461</v>
      </c>
      <c r="C9" s="71"/>
      <c r="D9" s="71"/>
      <c r="E9" s="71"/>
      <c r="F9" s="72">
        <f>SUM(F106,F152)</f>
        <v>1692047973.2406559</v>
      </c>
      <c r="G9" s="72"/>
      <c r="H9" s="72">
        <f>SUM(H106,H152)</f>
        <v>1692047973.9923201</v>
      </c>
      <c r="I9" s="72"/>
      <c r="J9" s="72">
        <f>SUM(J106,J152)</f>
        <v>1692047973.8224561</v>
      </c>
      <c r="K9" s="72"/>
      <c r="L9" s="72">
        <f>SUM(L106,L152)</f>
        <v>210748299.78999999</v>
      </c>
      <c r="M9" s="72">
        <f>SUM(M106,M152)</f>
        <v>199404709.78999999</v>
      </c>
      <c r="N9" s="72">
        <f>J9+M9</f>
        <v>1891452683.6124561</v>
      </c>
      <c r="O9" s="73">
        <f>SUM(O106,O152)</f>
        <v>1127476170.1637001</v>
      </c>
      <c r="P9" s="74">
        <f>SUM(P106,P152)</f>
        <v>1566194050.2800002</v>
      </c>
      <c r="Q9" s="75">
        <f>P9/J9</f>
        <v>0.9256203574073949</v>
      </c>
      <c r="R9" s="75">
        <v>0.91320884478425846</v>
      </c>
      <c r="S9" s="75">
        <f>Q9-R9</f>
        <v>1.2411512623136445E-2</v>
      </c>
      <c r="T9" s="75">
        <f>P9/N9</f>
        <v>0.82803765795967499</v>
      </c>
      <c r="U9" s="74">
        <f>SUM(U106,U152)</f>
        <v>1539280953.7199998</v>
      </c>
      <c r="V9" s="75">
        <f>U9/J9</f>
        <v>0.90971472294763323</v>
      </c>
      <c r="W9" s="75">
        <v>0.90388094937269481</v>
      </c>
      <c r="X9" s="75">
        <f>V9-W9</f>
        <v>5.8337735749384168E-3</v>
      </c>
      <c r="Y9" s="75">
        <f>U9/N9</f>
        <v>0.81380886080647341</v>
      </c>
      <c r="Z9" s="76">
        <f>SUM(Z106,Z152)</f>
        <v>639064664.47000003</v>
      </c>
      <c r="AA9" s="76">
        <f>SUM(AA106,AA152)</f>
        <v>27253857.43</v>
      </c>
      <c r="AB9" s="76">
        <f>SUM(AB106,AB152)</f>
        <v>267671512.60000002</v>
      </c>
      <c r="AC9" s="76">
        <f>SUM(AC106,AC152)</f>
        <v>127766172.58999997</v>
      </c>
      <c r="AD9" s="76">
        <f>SUM(AD106,AD152)</f>
        <v>51853937.68</v>
      </c>
      <c r="AE9" s="77">
        <f>AG9-AD9</f>
        <v>882136096.82000005</v>
      </c>
      <c r="AF9" s="76">
        <f>Z9+AA9+AC9</f>
        <v>794084694.49000001</v>
      </c>
      <c r="AG9" s="280">
        <f>SUM(Z9:AB9)</f>
        <v>933990034.5</v>
      </c>
      <c r="AH9" s="75">
        <f>AG9/J9</f>
        <v>0.55198791579771256</v>
      </c>
      <c r="AI9" s="75">
        <v>0.52169981641887075</v>
      </c>
      <c r="AJ9" s="75">
        <f>AH9-AI9</f>
        <v>3.0288099378841804E-2</v>
      </c>
      <c r="AK9" s="75">
        <f>AG9/N9</f>
        <v>0.49379508279117346</v>
      </c>
      <c r="AL9" s="76">
        <f>SUM(AL106,AL152)</f>
        <v>456299584.31830704</v>
      </c>
      <c r="AM9" s="75">
        <f>AL9/J9</f>
        <v>0.26967295926456153</v>
      </c>
      <c r="AN9" s="75">
        <v>0.26967295917700634</v>
      </c>
      <c r="AO9" s="75">
        <f>AM9-AN9</f>
        <v>8.7555185324106333E-11</v>
      </c>
      <c r="AP9" s="76">
        <f>SUM(AP106,AP152)</f>
        <v>593881473.84819913</v>
      </c>
      <c r="AQ9" s="75">
        <f>AP9/J9</f>
        <v>0.35098382731228289</v>
      </c>
      <c r="AR9" s="75">
        <v>0.33463784651587508</v>
      </c>
      <c r="AS9" s="75">
        <f>AQ9-AR9</f>
        <v>1.6345980796407811E-2</v>
      </c>
    </row>
    <row r="10" spans="1:45" s="63" customFormat="1">
      <c r="A10" s="69"/>
      <c r="B10" s="70" t="s">
        <v>462</v>
      </c>
      <c r="C10" s="71"/>
      <c r="D10" s="71"/>
      <c r="E10" s="71"/>
      <c r="F10" s="72">
        <f>F153</f>
        <v>1082161120.5546119</v>
      </c>
      <c r="G10" s="72"/>
      <c r="H10" s="72">
        <f>H153</f>
        <v>1082161120.5546119</v>
      </c>
      <c r="I10" s="72"/>
      <c r="J10" s="72">
        <f>J153</f>
        <v>1082161120.5546119</v>
      </c>
      <c r="K10" s="72"/>
      <c r="L10" s="72">
        <f>L153</f>
        <v>46956957</v>
      </c>
      <c r="M10" s="72">
        <f>M153</f>
        <v>41687304.299999997</v>
      </c>
      <c r="N10" s="72">
        <f>J10+M10</f>
        <v>1123848424.8546119</v>
      </c>
      <c r="O10" s="73">
        <f>O153</f>
        <v>653058936.09589994</v>
      </c>
      <c r="P10" s="74">
        <f>P153</f>
        <v>1046690338.89</v>
      </c>
      <c r="Q10" s="75">
        <f>P10/J10</f>
        <v>0.96722227310621456</v>
      </c>
      <c r="R10" s="75">
        <v>0.96749404851415877</v>
      </c>
      <c r="S10" s="75">
        <f>Q10-R10</f>
        <v>-2.7177540794420807E-4</v>
      </c>
      <c r="T10" s="75">
        <f>P10/N10</f>
        <v>0.93134475765751634</v>
      </c>
      <c r="U10" s="74">
        <f>U153</f>
        <v>1026777440.3399999</v>
      </c>
      <c r="V10" s="75">
        <f>U10/J10</f>
        <v>0.94882122526613444</v>
      </c>
      <c r="W10" s="75">
        <v>0.94897509205809127</v>
      </c>
      <c r="X10" s="75">
        <f>V10-W10</f>
        <v>-1.5386679195683595E-4</v>
      </c>
      <c r="Y10" s="75">
        <f>U10/N10</f>
        <v>0.91362626634711019</v>
      </c>
      <c r="Z10" s="76">
        <f>Z153</f>
        <v>337339766.94999999</v>
      </c>
      <c r="AA10" s="76">
        <f>AA153</f>
        <v>9941639.7599999998</v>
      </c>
      <c r="AB10" s="76">
        <f>AB153</f>
        <v>186858478.32999998</v>
      </c>
      <c r="AC10" s="76">
        <f>AC153</f>
        <v>64346848.970000103</v>
      </c>
      <c r="AD10" s="76">
        <f>AD153</f>
        <v>25625583.600000001</v>
      </c>
      <c r="AE10" s="77">
        <f>AG10-AD10</f>
        <v>508514301.43999994</v>
      </c>
      <c r="AF10" s="76">
        <f>Z10+AA10+AC10</f>
        <v>411628255.68000007</v>
      </c>
      <c r="AG10" s="280">
        <f>SUM(Z10:AB10)</f>
        <v>534139885.03999996</v>
      </c>
      <c r="AH10" s="75">
        <f>AG10/J10</f>
        <v>0.49358628294301604</v>
      </c>
      <c r="AI10" s="75">
        <v>0.46421573092788654</v>
      </c>
      <c r="AJ10" s="75">
        <f>AH10-AI10</f>
        <v>2.9370552015129503E-2</v>
      </c>
      <c r="AK10" s="75">
        <f>AG10/N10</f>
        <v>0.47527751361052062</v>
      </c>
      <c r="AL10" s="76">
        <f>AL153</f>
        <v>234156462.07216462</v>
      </c>
      <c r="AM10" s="75">
        <f>AL10/J10</f>
        <v>0.21637855733733855</v>
      </c>
      <c r="AN10" s="75">
        <v>0.21637855733733855</v>
      </c>
      <c r="AO10" s="75">
        <f>AM10-AN10</f>
        <v>0</v>
      </c>
      <c r="AP10" s="76">
        <f>AP153</f>
        <v>359134136.62522894</v>
      </c>
      <c r="AQ10" s="75">
        <f>AP10/J10</f>
        <v>0.33186752859978119</v>
      </c>
      <c r="AR10" s="75">
        <v>0.32135533807547206</v>
      </c>
      <c r="AS10" s="75">
        <f>AQ10-AR10</f>
        <v>1.0512190524309128E-2</v>
      </c>
    </row>
    <row r="11" spans="1:45" s="63" customFormat="1">
      <c r="A11" s="78"/>
      <c r="B11" s="78"/>
      <c r="C11" s="65"/>
      <c r="D11" s="65"/>
      <c r="E11" s="65"/>
      <c r="F11" s="65"/>
      <c r="G11" s="65"/>
      <c r="H11" s="65"/>
      <c r="I11" s="65"/>
      <c r="J11" s="79"/>
      <c r="K11" s="79"/>
      <c r="L11" s="79"/>
      <c r="M11" s="79"/>
      <c r="N11" s="79"/>
      <c r="O11" s="80"/>
      <c r="P11" s="68"/>
      <c r="Q11" s="68"/>
      <c r="R11" s="68"/>
      <c r="S11" s="81"/>
      <c r="T11" s="81"/>
      <c r="U11" s="68"/>
      <c r="V11" s="68"/>
      <c r="W11" s="68"/>
      <c r="X11" s="81"/>
      <c r="Y11" s="81"/>
      <c r="Z11" s="81"/>
      <c r="AA11" s="81"/>
      <c r="AB11" s="81"/>
      <c r="AC11" s="81"/>
      <c r="AD11" s="81"/>
      <c r="AE11" s="81"/>
      <c r="AF11" s="81"/>
      <c r="AG11" s="279"/>
      <c r="AH11" s="68"/>
      <c r="AI11" s="68"/>
      <c r="AJ11" s="81"/>
      <c r="AK11" s="81"/>
      <c r="AL11" s="68"/>
      <c r="AM11" s="68"/>
      <c r="AN11" s="68"/>
      <c r="AO11" s="81"/>
      <c r="AP11" s="68"/>
      <c r="AQ11" s="68"/>
      <c r="AR11" s="68"/>
      <c r="AS11" s="81"/>
    </row>
    <row r="12" spans="1:45" s="63" customFormat="1">
      <c r="A12" s="82"/>
      <c r="B12" s="83" t="s">
        <v>463</v>
      </c>
      <c r="C12" s="84"/>
      <c r="D12" s="85"/>
      <c r="E12" s="85"/>
      <c r="F12" s="86">
        <f>F15</f>
        <v>409807622.18142396</v>
      </c>
      <c r="G12" s="86"/>
      <c r="H12" s="86">
        <f>H15</f>
        <v>409807622.18142396</v>
      </c>
      <c r="I12" s="86"/>
      <c r="J12" s="86">
        <f>J15</f>
        <v>409807622.21894801</v>
      </c>
      <c r="K12" s="86"/>
      <c r="L12" s="86">
        <f>L15</f>
        <v>40869460.113769993</v>
      </c>
      <c r="M12" s="86">
        <f>M15</f>
        <v>35654549.478203177</v>
      </c>
      <c r="N12" s="86">
        <f t="shared" ref="N12:N75" si="0">J12+M12</f>
        <v>445462171.69715118</v>
      </c>
      <c r="O12" s="87">
        <f>O15</f>
        <v>385629730.92040014</v>
      </c>
      <c r="P12" s="88">
        <f>P15</f>
        <v>423523517.30000001</v>
      </c>
      <c r="Q12" s="89">
        <f t="shared" ref="Q12:Q17" si="1">P12/J12</f>
        <v>1.0334691068135478</v>
      </c>
      <c r="R12" s="89">
        <v>1.0153318491304824</v>
      </c>
      <c r="S12" s="89">
        <f t="shared" ref="S12:S19" si="2">Q12-R12</f>
        <v>1.81372576830654E-2</v>
      </c>
      <c r="T12" s="89">
        <f t="shared" ref="T12:T74" si="3">P12/N12</f>
        <v>0.95075080266957834</v>
      </c>
      <c r="U12" s="88">
        <f>U15</f>
        <v>423488755.67000002</v>
      </c>
      <c r="V12" s="89">
        <f t="shared" ref="V12:V17" si="4">U12/J12</f>
        <v>1.0333842825493924</v>
      </c>
      <c r="W12" s="89">
        <v>1.0151397373057824</v>
      </c>
      <c r="X12" s="89">
        <f t="shared" ref="X12:X60" si="5">V12-W12</f>
        <v>1.8244545243609966E-2</v>
      </c>
      <c r="Y12" s="89">
        <f t="shared" ref="Y12:Y75" si="6">U12/N12</f>
        <v>0.95067276769330289</v>
      </c>
      <c r="Z12" s="88">
        <f>Z15</f>
        <v>293031618.21999997</v>
      </c>
      <c r="AA12" s="88">
        <f>AA15</f>
        <v>0</v>
      </c>
      <c r="AB12" s="88">
        <f>AB15</f>
        <v>24591847.589999996</v>
      </c>
      <c r="AC12" s="88">
        <f>AC15</f>
        <v>12233749.720000016</v>
      </c>
      <c r="AD12" s="88">
        <f>AD15</f>
        <v>132944.78999999998</v>
      </c>
      <c r="AE12" s="90">
        <f t="shared" ref="AE12:AE60" si="7">AG12-AD12</f>
        <v>317490521.01999992</v>
      </c>
      <c r="AF12" s="88">
        <f t="shared" ref="AF12:AF24" si="8">Z12+AA12+AC12</f>
        <v>305265367.94</v>
      </c>
      <c r="AG12" s="280">
        <f>SUM(Z12:AB12)</f>
        <v>317623465.80999994</v>
      </c>
      <c r="AH12" s="89">
        <f t="shared" ref="AH12:AH17" si="9">AG12/J12</f>
        <v>0.77505504678071402</v>
      </c>
      <c r="AI12" s="89">
        <v>0.76147730637441635</v>
      </c>
      <c r="AJ12" s="89">
        <f t="shared" ref="AJ12:AJ60" si="10">AH12-AI12</f>
        <v>1.3577740406297667E-2</v>
      </c>
      <c r="AK12" s="89">
        <f t="shared" ref="AK12:AK75" si="11">AG12/N12</f>
        <v>0.71302006318493238</v>
      </c>
      <c r="AL12" s="88">
        <f>AL15</f>
        <v>213988163.23065701</v>
      </c>
      <c r="AM12" s="89">
        <f>AL12/J12</f>
        <v>0.52216735762989175</v>
      </c>
      <c r="AN12" s="89">
        <v>0.52216735742971354</v>
      </c>
      <c r="AO12" s="89">
        <f>AM12-AN12</f>
        <v>2.0017820734352654E-10</v>
      </c>
      <c r="AP12" s="88">
        <f>AP15</f>
        <v>246050044.63774601</v>
      </c>
      <c r="AQ12" s="89">
        <f>AP12/J12</f>
        <v>0.6004037780104754</v>
      </c>
      <c r="AR12" s="89">
        <v>0.60040377778030429</v>
      </c>
      <c r="AS12" s="89">
        <f>AQ12-AR12</f>
        <v>2.3017110439838007E-10</v>
      </c>
    </row>
    <row r="13" spans="1:45" s="63" customFormat="1">
      <c r="A13" s="82"/>
      <c r="B13" s="83" t="s">
        <v>464</v>
      </c>
      <c r="C13" s="84"/>
      <c r="D13" s="85"/>
      <c r="E13" s="85"/>
      <c r="F13" s="86">
        <f>F106</f>
        <v>517777458.1358</v>
      </c>
      <c r="G13" s="86"/>
      <c r="H13" s="86">
        <f>H106</f>
        <v>517777458.88746399</v>
      </c>
      <c r="I13" s="86"/>
      <c r="J13" s="86">
        <f>J106</f>
        <v>517777458.71760005</v>
      </c>
      <c r="K13" s="86"/>
      <c r="L13" s="86">
        <f>L106</f>
        <v>41070677.789999999</v>
      </c>
      <c r="M13" s="86">
        <f>M106</f>
        <v>36962177.789999999</v>
      </c>
      <c r="N13" s="86">
        <f t="shared" si="0"/>
        <v>554739636.50760007</v>
      </c>
      <c r="O13" s="87">
        <f>O106</f>
        <v>343566082.9149</v>
      </c>
      <c r="P13" s="88">
        <f>P106</f>
        <v>479598594.38</v>
      </c>
      <c r="Q13" s="89">
        <f t="shared" si="1"/>
        <v>0.92626395047756782</v>
      </c>
      <c r="R13" s="89">
        <v>0.92777741146852888</v>
      </c>
      <c r="S13" s="89">
        <f t="shared" si="2"/>
        <v>-1.5134609909610575E-3</v>
      </c>
      <c r="T13" s="89">
        <f t="shared" si="3"/>
        <v>0.86454719082152587</v>
      </c>
      <c r="U13" s="88">
        <f>U106</f>
        <v>476010855.37</v>
      </c>
      <c r="V13" s="89">
        <f t="shared" si="4"/>
        <v>0.91933483653180836</v>
      </c>
      <c r="W13" s="89">
        <v>0.91570235447977588</v>
      </c>
      <c r="X13" s="89">
        <f t="shared" si="5"/>
        <v>3.6324820520324819E-3</v>
      </c>
      <c r="Y13" s="89">
        <f t="shared" si="6"/>
        <v>0.85807976218673987</v>
      </c>
      <c r="Z13" s="88">
        <f>Z106</f>
        <v>228595195.98000002</v>
      </c>
      <c r="AA13" s="88">
        <f>AA106</f>
        <v>27216414.289999999</v>
      </c>
      <c r="AB13" s="88">
        <f>AB106</f>
        <v>32147032.68</v>
      </c>
      <c r="AC13" s="88">
        <f>AC106</f>
        <v>11125437.57</v>
      </c>
      <c r="AD13" s="88">
        <f>AD106</f>
        <v>39812330.170000002</v>
      </c>
      <c r="AE13" s="90">
        <f t="shared" si="7"/>
        <v>248146312.77999997</v>
      </c>
      <c r="AF13" s="88">
        <f t="shared" si="8"/>
        <v>266937047.84</v>
      </c>
      <c r="AG13" s="280">
        <f>SUM(Z13:AB13)</f>
        <v>287958642.94999999</v>
      </c>
      <c r="AH13" s="89">
        <f t="shared" si="9"/>
        <v>0.55614364453639709</v>
      </c>
      <c r="AI13" s="89">
        <v>0.54028105358289003</v>
      </c>
      <c r="AJ13" s="89">
        <f t="shared" si="10"/>
        <v>1.5862590953507061E-2</v>
      </c>
      <c r="AK13" s="89">
        <f t="shared" si="11"/>
        <v>0.51908791800575604</v>
      </c>
      <c r="AL13" s="88">
        <f>AL106</f>
        <v>165856216.49573633</v>
      </c>
      <c r="AM13" s="89">
        <f>AL13/J13</f>
        <v>0.32032336229259378</v>
      </c>
      <c r="AN13" s="89">
        <v>0.32032336195273187</v>
      </c>
      <c r="AO13" s="89">
        <f>AM13-AN13</f>
        <v>3.3986191638746277E-10</v>
      </c>
      <c r="AP13" s="88">
        <f>AP106</f>
        <v>212669306.5</v>
      </c>
      <c r="AQ13" s="89">
        <f>AP13/J13</f>
        <v>0.41073496522372083</v>
      </c>
      <c r="AR13" s="89">
        <v>0.39917582273414387</v>
      </c>
      <c r="AS13" s="89">
        <f>AQ13-AR13</f>
        <v>1.1559142489576957E-2</v>
      </c>
    </row>
    <row r="14" spans="1:45" s="63" customFormat="1">
      <c r="A14" s="82"/>
      <c r="B14" s="83" t="s">
        <v>465</v>
      </c>
      <c r="C14" s="84"/>
      <c r="D14" s="85"/>
      <c r="E14" s="85"/>
      <c r="F14" s="86">
        <f>F151</f>
        <v>2256431635.6594682</v>
      </c>
      <c r="G14" s="86"/>
      <c r="H14" s="86">
        <f>H151</f>
        <v>2256431635.6594682</v>
      </c>
      <c r="I14" s="86"/>
      <c r="J14" s="86">
        <f>J151</f>
        <v>2256431635.6594682</v>
      </c>
      <c r="K14" s="86"/>
      <c r="L14" s="86">
        <f>L151</f>
        <v>216634579</v>
      </c>
      <c r="M14" s="86">
        <f>M151</f>
        <v>204129836.30000001</v>
      </c>
      <c r="N14" s="86">
        <f t="shared" si="0"/>
        <v>2460561471.9594684</v>
      </c>
      <c r="O14" s="87">
        <f>O151</f>
        <v>1436969023.3446999</v>
      </c>
      <c r="P14" s="88">
        <f>P151</f>
        <v>2133285794.79</v>
      </c>
      <c r="Q14" s="89">
        <f t="shared" si="1"/>
        <v>0.94542451943886285</v>
      </c>
      <c r="R14" s="89">
        <v>0.93590045247827924</v>
      </c>
      <c r="S14" s="89">
        <f t="shared" si="2"/>
        <v>9.5240669605836104E-3</v>
      </c>
      <c r="T14" s="89">
        <f t="shared" si="3"/>
        <v>0.86699146479407307</v>
      </c>
      <c r="U14" s="88">
        <f>U151</f>
        <v>2090047538.6899998</v>
      </c>
      <c r="V14" s="89">
        <f t="shared" si="4"/>
        <v>0.92626229204553734</v>
      </c>
      <c r="W14" s="89">
        <v>0.92279500385193192</v>
      </c>
      <c r="X14" s="89">
        <f t="shared" si="5"/>
        <v>3.4672881936054223E-3</v>
      </c>
      <c r="Y14" s="89">
        <f t="shared" si="6"/>
        <v>0.84941894868637047</v>
      </c>
      <c r="Z14" s="88">
        <f>Z151</f>
        <v>747809235.43999994</v>
      </c>
      <c r="AA14" s="88">
        <f>AA151</f>
        <v>9979082.9000000004</v>
      </c>
      <c r="AB14" s="88">
        <f>AB151</f>
        <v>422382958.25</v>
      </c>
      <c r="AC14" s="88">
        <f>AC151</f>
        <v>180987583.9900001</v>
      </c>
      <c r="AD14" s="88">
        <f>AD151</f>
        <v>37667191.109999999</v>
      </c>
      <c r="AE14" s="90">
        <f t="shared" si="7"/>
        <v>1142504085.48</v>
      </c>
      <c r="AF14" s="88">
        <f t="shared" si="8"/>
        <v>938775902.33000004</v>
      </c>
      <c r="AG14" s="280">
        <f>SUM(Z14:AB14)</f>
        <v>1180171276.5899999</v>
      </c>
      <c r="AH14" s="89">
        <f t="shared" si="9"/>
        <v>0.5230254965136939</v>
      </c>
      <c r="AI14" s="89">
        <v>0.48986725965528671</v>
      </c>
      <c r="AJ14" s="89">
        <f t="shared" si="10"/>
        <v>3.3158236858407186E-2</v>
      </c>
      <c r="AK14" s="89">
        <f t="shared" si="11"/>
        <v>0.47963494919318977</v>
      </c>
      <c r="AL14" s="88">
        <f>AL151</f>
        <v>524599829.89473534</v>
      </c>
      <c r="AM14" s="89">
        <f>AL14/J14</f>
        <v>0.23249090360382887</v>
      </c>
      <c r="AN14" s="89">
        <v>0.23249090360382887</v>
      </c>
      <c r="AO14" s="89">
        <f>AM14-AN14</f>
        <v>0</v>
      </c>
      <c r="AP14" s="88">
        <f>AP151</f>
        <v>740346303.97342801</v>
      </c>
      <c r="AQ14" s="89">
        <f>AP14/J14</f>
        <v>0.32810491231969158</v>
      </c>
      <c r="AR14" s="89">
        <v>0.31345833336316925</v>
      </c>
      <c r="AS14" s="89">
        <f>AQ14-AR14</f>
        <v>1.4646578956522327E-2</v>
      </c>
    </row>
    <row r="15" spans="1:45" s="63" customFormat="1" ht="109.5">
      <c r="A15" s="91">
        <v>1</v>
      </c>
      <c r="B15" s="92" t="s">
        <v>466</v>
      </c>
      <c r="C15" s="93" t="s">
        <v>467</v>
      </c>
      <c r="D15" s="93" t="s">
        <v>468</v>
      </c>
      <c r="E15" s="93"/>
      <c r="F15" s="94">
        <f>F16+F28+F54+F76+F85+F103</f>
        <v>409807622.18142396</v>
      </c>
      <c r="G15" s="94"/>
      <c r="H15" s="94">
        <f>H16+H28+H54+H76+H85+H103</f>
        <v>409807622.18142396</v>
      </c>
      <c r="I15" s="94">
        <f>I54</f>
        <v>0</v>
      </c>
      <c r="J15" s="94">
        <f>J16+J28+J54+J76+J85+J103</f>
        <v>409807622.21894801</v>
      </c>
      <c r="K15" s="94" t="s">
        <v>469</v>
      </c>
      <c r="L15" s="94">
        <f>L16+L28+L54+L76+L85+L103</f>
        <v>40869460.113769993</v>
      </c>
      <c r="M15" s="94">
        <f>M16+M28+M54+M76+M85+M103</f>
        <v>35654549.478203177</v>
      </c>
      <c r="N15" s="94">
        <f t="shared" si="0"/>
        <v>445462171.69715118</v>
      </c>
      <c r="O15" s="95">
        <f>O16+O28+O54+O76+O85+O103</f>
        <v>385629730.92040014</v>
      </c>
      <c r="P15" s="96">
        <f>P16+P28+P54+P76+P85+P103</f>
        <v>423523517.30000001</v>
      </c>
      <c r="Q15" s="97">
        <f t="shared" si="1"/>
        <v>1.0334691068135478</v>
      </c>
      <c r="R15" s="98">
        <v>1.0153318491304824</v>
      </c>
      <c r="S15" s="97">
        <f t="shared" si="2"/>
        <v>1.81372576830654E-2</v>
      </c>
      <c r="T15" s="97">
        <f t="shared" si="3"/>
        <v>0.95075080266957834</v>
      </c>
      <c r="U15" s="96">
        <f>U16+U28+U54+U76+U85+U103</f>
        <v>423488755.67000002</v>
      </c>
      <c r="V15" s="97">
        <f t="shared" si="4"/>
        <v>1.0333842825493924</v>
      </c>
      <c r="W15" s="99">
        <v>1.0151397373057824</v>
      </c>
      <c r="X15" s="97">
        <f t="shared" si="5"/>
        <v>1.8244545243609966E-2</v>
      </c>
      <c r="Y15" s="97">
        <f t="shared" si="6"/>
        <v>0.95067276769330289</v>
      </c>
      <c r="Z15" s="96">
        <f>Z16+Z28+Z54+Z76+Z85+Z103</f>
        <v>293031618.21999997</v>
      </c>
      <c r="AA15" s="96">
        <f>AA16+AA28+AA54+AA76+AA85+AA103</f>
        <v>0</v>
      </c>
      <c r="AB15" s="96">
        <f>AB16+AB28+AB54+AB76+AB85+AB103</f>
        <v>24591847.589999996</v>
      </c>
      <c r="AC15" s="96">
        <f>AC16+AC28+AC54+AC76+AC85+AC103</f>
        <v>12233749.720000016</v>
      </c>
      <c r="AD15" s="96">
        <f>AD16+AD28+AD54+AD76+AD85+AD103</f>
        <v>132944.78999999998</v>
      </c>
      <c r="AE15" s="96">
        <f t="shared" si="7"/>
        <v>317490521.01999998</v>
      </c>
      <c r="AF15" s="96">
        <f t="shared" si="8"/>
        <v>305265367.94</v>
      </c>
      <c r="AG15" s="281">
        <f>AG16+AG28+AG54+AG76+AG85+AG103</f>
        <v>317623465.81</v>
      </c>
      <c r="AH15" s="97">
        <f t="shared" si="9"/>
        <v>0.77505504678071424</v>
      </c>
      <c r="AI15" s="100">
        <v>0.76147730637441635</v>
      </c>
      <c r="AJ15" s="97">
        <f t="shared" si="10"/>
        <v>1.3577740406297889E-2</v>
      </c>
      <c r="AK15" s="97">
        <f t="shared" si="11"/>
        <v>0.7130200631849325</v>
      </c>
      <c r="AL15" s="101">
        <v>213988163.23065701</v>
      </c>
      <c r="AM15" s="102">
        <f>AL15/J15</f>
        <v>0.52216735762989175</v>
      </c>
      <c r="AN15" s="102">
        <v>0.52216735742971354</v>
      </c>
      <c r="AO15" s="102">
        <f>AM15-AN15</f>
        <v>2.0017820734352654E-10</v>
      </c>
      <c r="AP15" s="101">
        <v>246050044.63774601</v>
      </c>
      <c r="AQ15" s="102">
        <f>AP15/J15</f>
        <v>0.6004037780104754</v>
      </c>
      <c r="AR15" s="102">
        <v>0.60040377778030429</v>
      </c>
      <c r="AS15" s="103">
        <f>AQ15-AR15</f>
        <v>2.3017110439838007E-10</v>
      </c>
    </row>
    <row r="16" spans="1:45" s="63" customFormat="1" ht="49.5">
      <c r="A16" s="104" t="s">
        <v>470</v>
      </c>
      <c r="B16" s="105" t="s">
        <v>471</v>
      </c>
      <c r="C16" s="106" t="s">
        <v>467</v>
      </c>
      <c r="D16" s="106"/>
      <c r="E16" s="106"/>
      <c r="F16" s="107">
        <f>F17+F21</f>
        <v>82126550.392023996</v>
      </c>
      <c r="G16" s="107"/>
      <c r="H16" s="107">
        <f>H17+H21</f>
        <v>82126550.392023996</v>
      </c>
      <c r="I16" s="107"/>
      <c r="J16" s="107">
        <f>J17+J21</f>
        <v>82126550.392023996</v>
      </c>
      <c r="K16" s="107" t="s">
        <v>469</v>
      </c>
      <c r="L16" s="107">
        <f>L17+L21</f>
        <v>4463146</v>
      </c>
      <c r="M16" s="107">
        <f>M17+M21</f>
        <v>3862527</v>
      </c>
      <c r="N16" s="86">
        <f t="shared" si="0"/>
        <v>85989077.392023996</v>
      </c>
      <c r="O16" s="108">
        <f>O17+O21</f>
        <v>75006466.810000002</v>
      </c>
      <c r="P16" s="109">
        <f>P17+P21</f>
        <v>76404875.450000003</v>
      </c>
      <c r="Q16" s="110">
        <f t="shared" si="1"/>
        <v>0.93033099631346905</v>
      </c>
      <c r="R16" s="110">
        <v>0.93065001616606158</v>
      </c>
      <c r="S16" s="110">
        <f t="shared" si="2"/>
        <v>-3.1901985259252807E-4</v>
      </c>
      <c r="T16" s="110">
        <f t="shared" si="3"/>
        <v>0.88854163537155262</v>
      </c>
      <c r="U16" s="109">
        <f>U17+U21</f>
        <v>76404875.450000003</v>
      </c>
      <c r="V16" s="110">
        <f t="shared" si="4"/>
        <v>0.93033099631346905</v>
      </c>
      <c r="W16" s="110">
        <v>0.93065001616606158</v>
      </c>
      <c r="X16" s="110">
        <f t="shared" si="5"/>
        <v>-3.1901985259252807E-4</v>
      </c>
      <c r="Y16" s="89">
        <f t="shared" si="6"/>
        <v>0.88854163537155262</v>
      </c>
      <c r="Z16" s="109">
        <f>Z17+Z21</f>
        <v>51038544.460000001</v>
      </c>
      <c r="AA16" s="109">
        <f>AA17+AA21</f>
        <v>0</v>
      </c>
      <c r="AB16" s="109">
        <f>AB17+AB21</f>
        <v>15337528.77</v>
      </c>
      <c r="AC16" s="109">
        <f>AC17+AC21</f>
        <v>8076601.4200000092</v>
      </c>
      <c r="AD16" s="109">
        <f>AD17+AD21</f>
        <v>0</v>
      </c>
      <c r="AE16" s="109">
        <f t="shared" si="7"/>
        <v>66376073.230000004</v>
      </c>
      <c r="AF16" s="111">
        <f t="shared" si="8"/>
        <v>59115145.88000001</v>
      </c>
      <c r="AG16" s="279">
        <f>AG17+AG21</f>
        <v>66376073.230000004</v>
      </c>
      <c r="AH16" s="110">
        <f t="shared" si="9"/>
        <v>0.80821698845451995</v>
      </c>
      <c r="AI16" s="110">
        <v>0.80397802324365653</v>
      </c>
      <c r="AJ16" s="110">
        <f t="shared" si="10"/>
        <v>4.2389652108634213E-3</v>
      </c>
      <c r="AK16" s="89">
        <f t="shared" si="11"/>
        <v>0.77191284338813926</v>
      </c>
      <c r="AL16" s="107"/>
      <c r="AM16" s="112"/>
      <c r="AN16" s="112"/>
      <c r="AO16" s="112"/>
      <c r="AP16" s="107"/>
      <c r="AQ16" s="112"/>
      <c r="AR16" s="112"/>
      <c r="AS16" s="113"/>
    </row>
    <row r="17" spans="1:45" s="63" customFormat="1" ht="82.5">
      <c r="A17" s="104" t="s">
        <v>472</v>
      </c>
      <c r="B17" s="105" t="s">
        <v>473</v>
      </c>
      <c r="C17" s="106" t="s">
        <v>467</v>
      </c>
      <c r="D17" s="106"/>
      <c r="E17" s="106"/>
      <c r="F17" s="107">
        <f>SUM(F18:F20)</f>
        <v>38625269.394827999</v>
      </c>
      <c r="G17" s="107"/>
      <c r="H17" s="107">
        <f>SUM(H18:H20)</f>
        <v>38625269.394827999</v>
      </c>
      <c r="I17" s="107"/>
      <c r="J17" s="107">
        <f>SUM(J18:J20)</f>
        <v>38625269.394827999</v>
      </c>
      <c r="K17" s="107" t="s">
        <v>469</v>
      </c>
      <c r="L17" s="107">
        <f>SUM(L18:L20)</f>
        <v>4463146</v>
      </c>
      <c r="M17" s="107">
        <f>SUM(M18:M20)</f>
        <v>3862527</v>
      </c>
      <c r="N17" s="86">
        <f t="shared" si="0"/>
        <v>42487796.394827999</v>
      </c>
      <c r="O17" s="108">
        <f>SUM(O18:O20)</f>
        <v>35970994.299999997</v>
      </c>
      <c r="P17" s="109">
        <f>SUM(P18:P20)</f>
        <v>33392077</v>
      </c>
      <c r="Q17" s="110">
        <f t="shared" si="1"/>
        <v>0.86451376322235474</v>
      </c>
      <c r="R17" s="110">
        <v>0.86482596816458401</v>
      </c>
      <c r="S17" s="110">
        <f t="shared" si="2"/>
        <v>-3.1220494222927719E-4</v>
      </c>
      <c r="T17" s="110">
        <f t="shared" si="3"/>
        <v>0.78592160180999138</v>
      </c>
      <c r="U17" s="109">
        <f>SUM(U18:U20)</f>
        <v>33392077</v>
      </c>
      <c r="V17" s="110">
        <f t="shared" si="4"/>
        <v>0.86451376322235474</v>
      </c>
      <c r="W17" s="110">
        <v>0.86482596816458401</v>
      </c>
      <c r="X17" s="110">
        <f t="shared" si="5"/>
        <v>-3.1220494222927719E-4</v>
      </c>
      <c r="Y17" s="89">
        <f t="shared" si="6"/>
        <v>0.78592160180999138</v>
      </c>
      <c r="Z17" s="109">
        <f>SUM(Z18:Z20)</f>
        <v>23316681.32</v>
      </c>
      <c r="AA17" s="109">
        <f>SUM(AA18:AA20)</f>
        <v>0</v>
      </c>
      <c r="AB17" s="109">
        <f>SUM(AB18:AB20)</f>
        <v>6783360.3799999999</v>
      </c>
      <c r="AC17" s="109">
        <f>SUM(AC18:AC20)</f>
        <v>5391713.5099999998</v>
      </c>
      <c r="AD17" s="109">
        <f>SUM(AD18:AD20)</f>
        <v>0</v>
      </c>
      <c r="AE17" s="109">
        <f t="shared" si="7"/>
        <v>30100041.699999999</v>
      </c>
      <c r="AF17" s="111">
        <f t="shared" si="8"/>
        <v>28708394.829999998</v>
      </c>
      <c r="AG17" s="279">
        <f>SUM(AG18:AG20)</f>
        <v>30100041.699999999</v>
      </c>
      <c r="AH17" s="110">
        <f t="shared" si="9"/>
        <v>0.77928367029151269</v>
      </c>
      <c r="AI17" s="110">
        <v>0.77812829012978946</v>
      </c>
      <c r="AJ17" s="110">
        <f t="shared" si="10"/>
        <v>1.1553801617232295E-3</v>
      </c>
      <c r="AK17" s="89">
        <f t="shared" si="11"/>
        <v>0.70843969925595029</v>
      </c>
      <c r="AL17" s="107"/>
      <c r="AM17" s="112"/>
      <c r="AN17" s="112"/>
      <c r="AO17" s="112"/>
      <c r="AP17" s="107"/>
      <c r="AQ17" s="112"/>
      <c r="AR17" s="112"/>
      <c r="AS17" s="113"/>
    </row>
    <row r="18" spans="1:45" ht="115.5">
      <c r="A18" s="114" t="s">
        <v>46</v>
      </c>
      <c r="B18" s="115" t="s">
        <v>474</v>
      </c>
      <c r="C18" s="116" t="s">
        <v>467</v>
      </c>
      <c r="D18" s="116" t="s">
        <v>475</v>
      </c>
      <c r="E18" s="116"/>
      <c r="F18" s="117">
        <v>0</v>
      </c>
      <c r="G18" s="117"/>
      <c r="H18" s="117">
        <v>0</v>
      </c>
      <c r="I18" s="117"/>
      <c r="J18" s="117">
        <v>0</v>
      </c>
      <c r="K18" s="107" t="s">
        <v>469</v>
      </c>
      <c r="L18" s="117">
        <v>0</v>
      </c>
      <c r="M18" s="117"/>
      <c r="N18" s="118">
        <f t="shared" si="0"/>
        <v>0</v>
      </c>
      <c r="O18" s="119">
        <v>0</v>
      </c>
      <c r="P18" s="117">
        <v>0</v>
      </c>
      <c r="Q18" s="120">
        <v>0</v>
      </c>
      <c r="R18" s="121">
        <v>0</v>
      </c>
      <c r="S18" s="120">
        <f t="shared" si="2"/>
        <v>0</v>
      </c>
      <c r="T18" s="120" t="e">
        <f t="shared" si="3"/>
        <v>#DIV/0!</v>
      </c>
      <c r="U18" s="122">
        <v>0</v>
      </c>
      <c r="V18" s="120">
        <v>0</v>
      </c>
      <c r="W18" s="121">
        <v>0</v>
      </c>
      <c r="X18" s="120">
        <f t="shared" si="5"/>
        <v>0</v>
      </c>
      <c r="Y18" s="120" t="e">
        <f t="shared" si="6"/>
        <v>#DIV/0!</v>
      </c>
      <c r="Z18" s="123">
        <v>0</v>
      </c>
      <c r="AA18" s="123">
        <v>0</v>
      </c>
      <c r="AB18" s="123">
        <v>0</v>
      </c>
      <c r="AC18" s="123">
        <v>0</v>
      </c>
      <c r="AD18" s="123">
        <v>0</v>
      </c>
      <c r="AE18" s="122">
        <f t="shared" si="7"/>
        <v>0</v>
      </c>
      <c r="AF18" s="124">
        <f t="shared" si="8"/>
        <v>0</v>
      </c>
      <c r="AG18" s="282">
        <f>SUM(Z18:AB18)</f>
        <v>0</v>
      </c>
      <c r="AH18" s="120">
        <v>0</v>
      </c>
      <c r="AI18" s="120">
        <v>0</v>
      </c>
      <c r="AJ18" s="120">
        <f t="shared" si="10"/>
        <v>0</v>
      </c>
      <c r="AK18" s="125" t="e">
        <f t="shared" si="11"/>
        <v>#DIV/0!</v>
      </c>
      <c r="AL18" s="117"/>
      <c r="AM18" s="126"/>
      <c r="AN18" s="126"/>
      <c r="AO18" s="126"/>
      <c r="AP18" s="117"/>
      <c r="AQ18" s="126"/>
      <c r="AR18" s="126"/>
      <c r="AS18" s="127"/>
    </row>
    <row r="19" spans="1:45" ht="66">
      <c r="A19" s="114" t="s">
        <v>47</v>
      </c>
      <c r="B19" s="115" t="s">
        <v>476</v>
      </c>
      <c r="C19" s="116" t="s">
        <v>467</v>
      </c>
      <c r="D19" s="116" t="s">
        <v>475</v>
      </c>
      <c r="E19" s="116"/>
      <c r="F19" s="117">
        <v>38625269.394827999</v>
      </c>
      <c r="G19" s="117"/>
      <c r="H19" s="117">
        <v>38625269.394827999</v>
      </c>
      <c r="I19" s="117"/>
      <c r="J19" s="117">
        <f>H19</f>
        <v>38625269.394827999</v>
      </c>
      <c r="K19" s="107" t="s">
        <v>469</v>
      </c>
      <c r="L19" s="117">
        <v>4463146</v>
      </c>
      <c r="M19" s="128">
        <v>3862527</v>
      </c>
      <c r="N19" s="118">
        <f t="shared" si="0"/>
        <v>42487796.394827999</v>
      </c>
      <c r="O19" s="119">
        <v>35970994.299999997</v>
      </c>
      <c r="P19" s="129">
        <v>33392077</v>
      </c>
      <c r="Q19" s="130">
        <f>P19/J19</f>
        <v>0.86451376322235474</v>
      </c>
      <c r="R19" s="131">
        <v>0.86482596816458401</v>
      </c>
      <c r="S19" s="130">
        <f t="shared" si="2"/>
        <v>-3.1220494222927719E-4</v>
      </c>
      <c r="T19" s="130">
        <f t="shared" si="3"/>
        <v>0.78592160180999138</v>
      </c>
      <c r="U19" s="129">
        <v>33392077</v>
      </c>
      <c r="V19" s="130">
        <f>U19/J19</f>
        <v>0.86451376322235474</v>
      </c>
      <c r="W19" s="131">
        <v>0.86482596816458401</v>
      </c>
      <c r="X19" s="130">
        <f t="shared" si="5"/>
        <v>-3.1220494222927719E-4</v>
      </c>
      <c r="Y19" s="130">
        <f t="shared" si="6"/>
        <v>0.78592160180999138</v>
      </c>
      <c r="Z19" s="132">
        <v>23316681.32</v>
      </c>
      <c r="AA19" s="133">
        <v>0</v>
      </c>
      <c r="AB19" s="132">
        <v>6783360.3799999999</v>
      </c>
      <c r="AC19" s="132">
        <v>5391713.5099999998</v>
      </c>
      <c r="AD19" s="134">
        <v>0</v>
      </c>
      <c r="AE19" s="122">
        <f t="shared" si="7"/>
        <v>30100041.699999999</v>
      </c>
      <c r="AF19" s="124">
        <f t="shared" si="8"/>
        <v>28708394.829999998</v>
      </c>
      <c r="AG19" s="282">
        <f>SUM(Z19:AB19)</f>
        <v>30100041.699999999</v>
      </c>
      <c r="AH19" s="120">
        <f>AG19/J19</f>
        <v>0.77928367029151269</v>
      </c>
      <c r="AI19" s="120">
        <v>0.77812829012978946</v>
      </c>
      <c r="AJ19" s="120">
        <f t="shared" si="10"/>
        <v>1.1553801617232295E-3</v>
      </c>
      <c r="AK19" s="125">
        <f t="shared" si="11"/>
        <v>0.70843969925595029</v>
      </c>
      <c r="AL19" s="117"/>
      <c r="AM19" s="126"/>
      <c r="AN19" s="126"/>
      <c r="AO19" s="126"/>
      <c r="AP19" s="117"/>
      <c r="AQ19" s="126"/>
      <c r="AR19" s="126"/>
      <c r="AS19" s="127"/>
    </row>
    <row r="20" spans="1:45" ht="82.5">
      <c r="A20" s="114" t="s">
        <v>137</v>
      </c>
      <c r="B20" s="115" t="s">
        <v>477</v>
      </c>
      <c r="C20" s="116" t="s">
        <v>467</v>
      </c>
      <c r="D20" s="116" t="s">
        <v>475</v>
      </c>
      <c r="E20" s="116"/>
      <c r="F20" s="117">
        <v>0</v>
      </c>
      <c r="G20" s="117"/>
      <c r="H20" s="117">
        <v>0</v>
      </c>
      <c r="I20" s="117"/>
      <c r="J20" s="117">
        <v>0</v>
      </c>
      <c r="K20" s="107" t="s">
        <v>469</v>
      </c>
      <c r="L20" s="117">
        <v>0</v>
      </c>
      <c r="M20" s="117"/>
      <c r="N20" s="118">
        <f t="shared" si="0"/>
        <v>0</v>
      </c>
      <c r="O20" s="119">
        <v>0</v>
      </c>
      <c r="P20" s="135">
        <v>0</v>
      </c>
      <c r="Q20" s="130">
        <v>0</v>
      </c>
      <c r="R20" s="131">
        <v>0</v>
      </c>
      <c r="S20" s="130">
        <v>0</v>
      </c>
      <c r="T20" s="130" t="e">
        <f t="shared" si="3"/>
        <v>#DIV/0!</v>
      </c>
      <c r="U20" s="134">
        <v>0</v>
      </c>
      <c r="V20" s="130">
        <v>0</v>
      </c>
      <c r="W20" s="131">
        <v>0</v>
      </c>
      <c r="X20" s="130">
        <f t="shared" si="5"/>
        <v>0</v>
      </c>
      <c r="Y20" s="130" t="e">
        <f t="shared" si="6"/>
        <v>#DIV/0!</v>
      </c>
      <c r="Z20" s="136">
        <v>0</v>
      </c>
      <c r="AA20" s="136">
        <v>0</v>
      </c>
      <c r="AB20" s="136">
        <v>0</v>
      </c>
      <c r="AC20" s="136">
        <v>0</v>
      </c>
      <c r="AD20" s="136">
        <v>0</v>
      </c>
      <c r="AE20" s="122">
        <f t="shared" si="7"/>
        <v>0</v>
      </c>
      <c r="AF20" s="124">
        <f t="shared" si="8"/>
        <v>0</v>
      </c>
      <c r="AG20" s="282">
        <f>SUM(Z20:AB20)</f>
        <v>0</v>
      </c>
      <c r="AH20" s="120">
        <v>0</v>
      </c>
      <c r="AI20" s="120">
        <v>0</v>
      </c>
      <c r="AJ20" s="120">
        <f t="shared" si="10"/>
        <v>0</v>
      </c>
      <c r="AK20" s="125" t="e">
        <f t="shared" si="11"/>
        <v>#DIV/0!</v>
      </c>
      <c r="AL20" s="117"/>
      <c r="AM20" s="126"/>
      <c r="AN20" s="126"/>
      <c r="AO20" s="126"/>
      <c r="AP20" s="117"/>
      <c r="AQ20" s="126"/>
      <c r="AR20" s="126"/>
      <c r="AS20" s="127"/>
    </row>
    <row r="21" spans="1:45" s="63" customFormat="1" ht="66">
      <c r="A21" s="104" t="s">
        <v>478</v>
      </c>
      <c r="B21" s="105" t="s">
        <v>479</v>
      </c>
      <c r="C21" s="106" t="s">
        <v>467</v>
      </c>
      <c r="D21" s="106" t="s">
        <v>475</v>
      </c>
      <c r="E21" s="106"/>
      <c r="F21" s="107">
        <f>F22+F25</f>
        <v>43501280.997195996</v>
      </c>
      <c r="G21" s="107"/>
      <c r="H21" s="107">
        <f>H22+H25</f>
        <v>43501280.997195996</v>
      </c>
      <c r="I21" s="107"/>
      <c r="J21" s="107">
        <f>J22+J25</f>
        <v>43501280.997195996</v>
      </c>
      <c r="K21" s="107" t="s">
        <v>469</v>
      </c>
      <c r="L21" s="107">
        <f>L22+L25</f>
        <v>0</v>
      </c>
      <c r="M21" s="107">
        <f>M22+M25</f>
        <v>0</v>
      </c>
      <c r="N21" s="86">
        <f t="shared" si="0"/>
        <v>43501280.997195996</v>
      </c>
      <c r="O21" s="108">
        <f>O22+O25</f>
        <v>39035472.509999998</v>
      </c>
      <c r="P21" s="137">
        <f>P22+P25</f>
        <v>43012798.450000003</v>
      </c>
      <c r="Q21" s="138">
        <f t="shared" ref="Q21:Q26" si="12">P21/J21</f>
        <v>0.98877084683489025</v>
      </c>
      <c r="R21" s="138">
        <v>0.98909591772190408</v>
      </c>
      <c r="S21" s="138">
        <f t="shared" ref="S21:S60" si="13">Q21-R21</f>
        <v>-3.2507088701383413E-4</v>
      </c>
      <c r="T21" s="138">
        <f t="shared" si="3"/>
        <v>0.98877084683489025</v>
      </c>
      <c r="U21" s="137">
        <f>U22+U25</f>
        <v>43012798.450000003</v>
      </c>
      <c r="V21" s="138">
        <f t="shared" ref="V21:V26" si="14">U21/J21</f>
        <v>0.98877084683489025</v>
      </c>
      <c r="W21" s="138">
        <v>0.98909591772190408</v>
      </c>
      <c r="X21" s="138">
        <f t="shared" si="5"/>
        <v>-3.2507088701383413E-4</v>
      </c>
      <c r="Y21" s="138">
        <f t="shared" si="6"/>
        <v>0.98877084683489025</v>
      </c>
      <c r="Z21" s="137">
        <f>Z22+Z25</f>
        <v>27721863.140000001</v>
      </c>
      <c r="AA21" s="137">
        <f>AA22+AA25</f>
        <v>0</v>
      </c>
      <c r="AB21" s="137">
        <f>AB22+AB25</f>
        <v>8554168.3900000006</v>
      </c>
      <c r="AC21" s="137">
        <f>AC22+AC25</f>
        <v>2684887.9100000099</v>
      </c>
      <c r="AD21" s="137">
        <v>0</v>
      </c>
      <c r="AE21" s="109">
        <f t="shared" si="7"/>
        <v>36276031.530000001</v>
      </c>
      <c r="AF21" s="111">
        <f t="shared" si="8"/>
        <v>30406751.050000012</v>
      </c>
      <c r="AG21" s="279">
        <f>AG22+AG25</f>
        <v>36276031.530000001</v>
      </c>
      <c r="AH21" s="110">
        <f t="shared" ref="AH21:AH26" si="15">AG21/J21</f>
        <v>0.83390720223476367</v>
      </c>
      <c r="AI21" s="120">
        <v>0.82693028769241805</v>
      </c>
      <c r="AJ21" s="110">
        <f t="shared" si="10"/>
        <v>6.9769145423456136E-3</v>
      </c>
      <c r="AK21" s="89">
        <f t="shared" si="11"/>
        <v>0.83390720223476367</v>
      </c>
      <c r="AL21" s="107"/>
      <c r="AM21" s="112"/>
      <c r="AN21" s="112"/>
      <c r="AO21" s="112"/>
      <c r="AP21" s="107"/>
      <c r="AQ21" s="112"/>
      <c r="AR21" s="112"/>
      <c r="AS21" s="113"/>
    </row>
    <row r="22" spans="1:45" s="63" customFormat="1" ht="66">
      <c r="A22" s="139" t="s">
        <v>480</v>
      </c>
      <c r="B22" s="140" t="s">
        <v>481</v>
      </c>
      <c r="C22" s="141" t="s">
        <v>467</v>
      </c>
      <c r="D22" s="141" t="s">
        <v>475</v>
      </c>
      <c r="E22" s="141"/>
      <c r="F22" s="117">
        <f>SUM(F23:F24)</f>
        <v>42499786</v>
      </c>
      <c r="G22" s="117"/>
      <c r="H22" s="117">
        <f>SUM(H23:H24)</f>
        <v>42499786</v>
      </c>
      <c r="I22" s="117"/>
      <c r="J22" s="117">
        <f>SUM(J23:J24)</f>
        <v>42499786</v>
      </c>
      <c r="K22" s="107" t="s">
        <v>469</v>
      </c>
      <c r="L22" s="117">
        <f>SUM(L23:L24)</f>
        <v>0</v>
      </c>
      <c r="M22" s="117"/>
      <c r="N22" s="118">
        <f t="shared" si="0"/>
        <v>42499786</v>
      </c>
      <c r="O22" s="142">
        <f>SUM(O23:O24)</f>
        <v>38149880.539999999</v>
      </c>
      <c r="P22" s="143">
        <f>SUM(P23:P24)</f>
        <v>42011303.450000003</v>
      </c>
      <c r="Q22" s="130">
        <f t="shared" si="12"/>
        <v>0.98850623506668955</v>
      </c>
      <c r="R22" s="130">
        <v>0.98883896615385314</v>
      </c>
      <c r="S22" s="130">
        <f t="shared" si="13"/>
        <v>-3.3273108716358468E-4</v>
      </c>
      <c r="T22" s="130">
        <f t="shared" si="3"/>
        <v>0.98850623506668955</v>
      </c>
      <c r="U22" s="144">
        <f>SUM(U23:U24)</f>
        <v>42011303.450000003</v>
      </c>
      <c r="V22" s="130">
        <f t="shared" si="14"/>
        <v>0.98850623506668955</v>
      </c>
      <c r="W22" s="130">
        <v>0.98883896615385314</v>
      </c>
      <c r="X22" s="130">
        <f t="shared" si="5"/>
        <v>-3.3273108716358468E-4</v>
      </c>
      <c r="Y22" s="130">
        <f t="shared" si="6"/>
        <v>0.98850623506668955</v>
      </c>
      <c r="Z22" s="144">
        <f>SUM(Z23:Z24)</f>
        <v>27002319.469999999</v>
      </c>
      <c r="AA22" s="144">
        <f>SUM(AA23:AA24)</f>
        <v>0</v>
      </c>
      <c r="AB22" s="144">
        <f>SUM(AB23:AB24)</f>
        <v>8554168.3900000006</v>
      </c>
      <c r="AC22" s="144">
        <f>SUM(AC23:AC24)</f>
        <v>2684887.9100000099</v>
      </c>
      <c r="AD22" s="144">
        <v>0</v>
      </c>
      <c r="AE22" s="145">
        <f t="shared" si="7"/>
        <v>35556487.859999999</v>
      </c>
      <c r="AF22" s="146">
        <f t="shared" si="8"/>
        <v>29687207.38000001</v>
      </c>
      <c r="AG22" s="283">
        <f>SUM(AG23:AG24)</f>
        <v>35556487.859999999</v>
      </c>
      <c r="AH22" s="120">
        <f t="shared" si="15"/>
        <v>0.8366274564300159</v>
      </c>
      <c r="AI22" s="120">
        <v>0.82948613294193996</v>
      </c>
      <c r="AJ22" s="120">
        <f t="shared" si="10"/>
        <v>7.1413234880759457E-3</v>
      </c>
      <c r="AK22" s="125">
        <f t="shared" si="11"/>
        <v>0.8366274564300159</v>
      </c>
      <c r="AL22" s="117"/>
      <c r="AM22" s="126"/>
      <c r="AN22" s="126"/>
      <c r="AO22" s="126"/>
      <c r="AP22" s="117"/>
      <c r="AQ22" s="126"/>
      <c r="AR22" s="126"/>
      <c r="AS22" s="127"/>
    </row>
    <row r="23" spans="1:45" ht="66">
      <c r="A23" s="114" t="s">
        <v>482</v>
      </c>
      <c r="B23" s="115" t="s">
        <v>483</v>
      </c>
      <c r="C23" s="116" t="s">
        <v>467</v>
      </c>
      <c r="D23" s="116" t="s">
        <v>475</v>
      </c>
      <c r="E23" s="116"/>
      <c r="F23" s="117">
        <v>7804604</v>
      </c>
      <c r="G23" s="117"/>
      <c r="H23" s="117">
        <v>7804604</v>
      </c>
      <c r="I23" s="117"/>
      <c r="J23" s="117">
        <v>7804604</v>
      </c>
      <c r="K23" s="107" t="s">
        <v>469</v>
      </c>
      <c r="L23" s="117">
        <v>0</v>
      </c>
      <c r="M23" s="117"/>
      <c r="N23" s="118">
        <f t="shared" si="0"/>
        <v>7804604</v>
      </c>
      <c r="O23" s="119">
        <v>6751505.54</v>
      </c>
      <c r="P23" s="135">
        <v>7339042.4500000002</v>
      </c>
      <c r="Q23" s="130">
        <f t="shared" si="12"/>
        <v>0.94034783186949655</v>
      </c>
      <c r="R23" s="131">
        <v>0.94215971111410657</v>
      </c>
      <c r="S23" s="130">
        <f t="shared" si="13"/>
        <v>-1.8118792446100151E-3</v>
      </c>
      <c r="T23" s="130">
        <f t="shared" si="3"/>
        <v>0.94034783186949655</v>
      </c>
      <c r="U23" s="135">
        <v>7339042.4500000002</v>
      </c>
      <c r="V23" s="130">
        <f t="shared" si="14"/>
        <v>0.94034783186949655</v>
      </c>
      <c r="W23" s="131">
        <v>0.94215971111410657</v>
      </c>
      <c r="X23" s="130">
        <f t="shared" si="5"/>
        <v>-1.8118792446100151E-3</v>
      </c>
      <c r="Y23" s="130">
        <f t="shared" si="6"/>
        <v>0.94034783186949655</v>
      </c>
      <c r="Z23" s="132">
        <v>4432533.55</v>
      </c>
      <c r="AA23" s="133">
        <v>0</v>
      </c>
      <c r="AB23" s="132">
        <v>1518939.16</v>
      </c>
      <c r="AC23" s="132">
        <v>799345.44</v>
      </c>
      <c r="AD23" s="134">
        <v>0</v>
      </c>
      <c r="AE23" s="122">
        <f t="shared" si="7"/>
        <v>5951472.71</v>
      </c>
      <c r="AF23" s="124">
        <f t="shared" si="8"/>
        <v>5231878.99</v>
      </c>
      <c r="AG23" s="282">
        <f>SUM(Z23:AB23)</f>
        <v>5951472.71</v>
      </c>
      <c r="AH23" s="120">
        <f t="shared" si="15"/>
        <v>0.7625592163292334</v>
      </c>
      <c r="AI23" s="120">
        <v>0.76055672651680983</v>
      </c>
      <c r="AJ23" s="120">
        <f t="shared" si="10"/>
        <v>2.002489812423569E-3</v>
      </c>
      <c r="AK23" s="125">
        <f t="shared" si="11"/>
        <v>0.7625592163292334</v>
      </c>
      <c r="AL23" s="117"/>
      <c r="AM23" s="126"/>
      <c r="AN23" s="126"/>
      <c r="AO23" s="126"/>
      <c r="AP23" s="117"/>
      <c r="AQ23" s="126"/>
      <c r="AR23" s="126"/>
      <c r="AS23" s="127"/>
    </row>
    <row r="24" spans="1:45" ht="66">
      <c r="A24" s="114" t="s">
        <v>484</v>
      </c>
      <c r="B24" s="115" t="s">
        <v>485</v>
      </c>
      <c r="C24" s="116" t="s">
        <v>467</v>
      </c>
      <c r="D24" s="116" t="s">
        <v>475</v>
      </c>
      <c r="E24" s="116"/>
      <c r="F24" s="117">
        <v>34695182</v>
      </c>
      <c r="G24" s="117"/>
      <c r="H24" s="117">
        <v>34695182</v>
      </c>
      <c r="I24" s="117"/>
      <c r="J24" s="117">
        <v>34695182</v>
      </c>
      <c r="K24" s="107" t="s">
        <v>469</v>
      </c>
      <c r="L24" s="117">
        <v>0</v>
      </c>
      <c r="M24" s="117"/>
      <c r="N24" s="118">
        <f t="shared" si="0"/>
        <v>34695182</v>
      </c>
      <c r="O24" s="119">
        <v>31398375</v>
      </c>
      <c r="P24" s="144">
        <v>34672261</v>
      </c>
      <c r="Q24" s="130">
        <f t="shared" si="12"/>
        <v>0.99933936072161256</v>
      </c>
      <c r="R24" s="131">
        <v>0.99933936072161256</v>
      </c>
      <c r="S24" s="130">
        <f t="shared" si="13"/>
        <v>0</v>
      </c>
      <c r="T24" s="130">
        <f t="shared" si="3"/>
        <v>0.99933936072161256</v>
      </c>
      <c r="U24" s="144">
        <v>34672261</v>
      </c>
      <c r="V24" s="130">
        <f t="shared" si="14"/>
        <v>0.99933936072161256</v>
      </c>
      <c r="W24" s="131">
        <v>0.99933936072161256</v>
      </c>
      <c r="X24" s="130">
        <f t="shared" si="5"/>
        <v>0</v>
      </c>
      <c r="Y24" s="130">
        <f t="shared" si="6"/>
        <v>0.99933936072161256</v>
      </c>
      <c r="Z24" s="132">
        <v>22569785.919999998</v>
      </c>
      <c r="AA24" s="133">
        <v>0</v>
      </c>
      <c r="AB24" s="132">
        <v>7035229.2300000004</v>
      </c>
      <c r="AC24" s="132">
        <v>1885542.47000001</v>
      </c>
      <c r="AD24" s="134">
        <v>0</v>
      </c>
      <c r="AE24" s="122">
        <f t="shared" si="7"/>
        <v>29605015.149999999</v>
      </c>
      <c r="AF24" s="124">
        <f t="shared" si="8"/>
        <v>24455328.390000008</v>
      </c>
      <c r="AG24" s="282">
        <f>SUM(Z24:AB24)</f>
        <v>29605015.149999999</v>
      </c>
      <c r="AH24" s="120">
        <f t="shared" si="15"/>
        <v>0.85328894225140539</v>
      </c>
      <c r="AI24" s="120">
        <v>0.84499164956102546</v>
      </c>
      <c r="AJ24" s="120">
        <f t="shared" si="10"/>
        <v>8.2972926903799316E-3</v>
      </c>
      <c r="AK24" s="125">
        <f t="shared" si="11"/>
        <v>0.85328894225140539</v>
      </c>
      <c r="AL24" s="117"/>
      <c r="AM24" s="126"/>
      <c r="AN24" s="126"/>
      <c r="AO24" s="126"/>
      <c r="AP24" s="117"/>
      <c r="AQ24" s="126"/>
      <c r="AR24" s="126"/>
      <c r="AS24" s="127"/>
    </row>
    <row r="25" spans="1:45" s="63" customFormat="1" ht="66">
      <c r="A25" s="139" t="s">
        <v>486</v>
      </c>
      <c r="B25" s="140" t="s">
        <v>487</v>
      </c>
      <c r="C25" s="141" t="s">
        <v>467</v>
      </c>
      <c r="D25" s="141" t="s">
        <v>475</v>
      </c>
      <c r="E25" s="141"/>
      <c r="F25" s="117">
        <f>SUM(F26:F27)</f>
        <v>1001494.997196</v>
      </c>
      <c r="G25" s="117"/>
      <c r="H25" s="117">
        <f>SUM(H26:H27)</f>
        <v>1001494.997196</v>
      </c>
      <c r="I25" s="117"/>
      <c r="J25" s="117">
        <f>SUM(J26:J27)</f>
        <v>1001494.997196</v>
      </c>
      <c r="K25" s="107" t="s">
        <v>469</v>
      </c>
      <c r="L25" s="117">
        <f>SUM(L26:L27)</f>
        <v>0</v>
      </c>
      <c r="M25" s="117"/>
      <c r="N25" s="118">
        <f t="shared" si="0"/>
        <v>1001494.997196</v>
      </c>
      <c r="O25" s="119">
        <f>SUM(O26:O27)</f>
        <v>885591.97</v>
      </c>
      <c r="P25" s="135">
        <f>SUM(P26:P27)</f>
        <v>1001495</v>
      </c>
      <c r="Q25" s="130">
        <f t="shared" si="12"/>
        <v>1.0000000027998144</v>
      </c>
      <c r="R25" s="130">
        <v>1.0000000027998144</v>
      </c>
      <c r="S25" s="130">
        <f t="shared" si="13"/>
        <v>0</v>
      </c>
      <c r="T25" s="130">
        <f t="shared" si="3"/>
        <v>1.0000000027998144</v>
      </c>
      <c r="U25" s="135">
        <f>SUM(U26:U27)</f>
        <v>1001495</v>
      </c>
      <c r="V25" s="130">
        <f t="shared" si="14"/>
        <v>1.0000000027998144</v>
      </c>
      <c r="W25" s="130">
        <v>1.0000000027998144</v>
      </c>
      <c r="X25" s="130">
        <f t="shared" si="5"/>
        <v>0</v>
      </c>
      <c r="Y25" s="130">
        <f t="shared" si="6"/>
        <v>1.0000000027998144</v>
      </c>
      <c r="Z25" s="135">
        <f>SUM(Z26:Z27)</f>
        <v>719543.67</v>
      </c>
      <c r="AA25" s="144">
        <v>0</v>
      </c>
      <c r="AB25" s="144">
        <v>0</v>
      </c>
      <c r="AC25" s="144">
        <v>0</v>
      </c>
      <c r="AD25" s="144">
        <v>0</v>
      </c>
      <c r="AE25" s="145">
        <f t="shared" si="7"/>
        <v>719543.67</v>
      </c>
      <c r="AF25" s="117">
        <f>SUM(AF26:AF27)</f>
        <v>719543.67</v>
      </c>
      <c r="AG25" s="284">
        <f>SUM(Z25:AB25)</f>
        <v>719543.67</v>
      </c>
      <c r="AH25" s="120">
        <f t="shared" si="15"/>
        <v>0.71846956002235529</v>
      </c>
      <c r="AI25" s="120">
        <v>0.71846956002235529</v>
      </c>
      <c r="AJ25" s="120">
        <f t="shared" si="10"/>
        <v>0</v>
      </c>
      <c r="AK25" s="125">
        <f t="shared" si="11"/>
        <v>0.71846956002235529</v>
      </c>
      <c r="AL25" s="117"/>
      <c r="AM25" s="126"/>
      <c r="AN25" s="126"/>
      <c r="AO25" s="126"/>
      <c r="AP25" s="117"/>
      <c r="AQ25" s="126"/>
      <c r="AR25" s="126"/>
      <c r="AS25" s="127"/>
    </row>
    <row r="26" spans="1:45" ht="148.5">
      <c r="A26" s="114" t="s">
        <v>49</v>
      </c>
      <c r="B26" s="115" t="s">
        <v>488</v>
      </c>
      <c r="C26" s="116" t="s">
        <v>467</v>
      </c>
      <c r="D26" s="116" t="s">
        <v>475</v>
      </c>
      <c r="E26" s="116"/>
      <c r="F26" s="117">
        <v>1001494.997196</v>
      </c>
      <c r="G26" s="117"/>
      <c r="H26" s="117">
        <v>1001494.997196</v>
      </c>
      <c r="I26" s="117"/>
      <c r="J26" s="117">
        <v>1001494.997196</v>
      </c>
      <c r="K26" s="107" t="s">
        <v>469</v>
      </c>
      <c r="L26" s="117">
        <v>0</v>
      </c>
      <c r="M26" s="117"/>
      <c r="N26" s="118">
        <f t="shared" si="0"/>
        <v>1001494.997196</v>
      </c>
      <c r="O26" s="119">
        <v>885591.97</v>
      </c>
      <c r="P26" s="135">
        <v>1001495</v>
      </c>
      <c r="Q26" s="130">
        <f t="shared" si="12"/>
        <v>1.0000000027998144</v>
      </c>
      <c r="R26" s="131">
        <v>1.0000000027998144</v>
      </c>
      <c r="S26" s="130">
        <f t="shared" si="13"/>
        <v>0</v>
      </c>
      <c r="T26" s="130">
        <f t="shared" si="3"/>
        <v>1.0000000027998144</v>
      </c>
      <c r="U26" s="134">
        <v>1001495</v>
      </c>
      <c r="V26" s="130">
        <f t="shared" si="14"/>
        <v>1.0000000027998144</v>
      </c>
      <c r="W26" s="131">
        <v>1.0000000027998144</v>
      </c>
      <c r="X26" s="130">
        <f t="shared" si="5"/>
        <v>0</v>
      </c>
      <c r="Y26" s="130">
        <f t="shared" si="6"/>
        <v>1.0000000027998144</v>
      </c>
      <c r="Z26" s="134">
        <v>719543.67</v>
      </c>
      <c r="AA26" s="136">
        <v>0</v>
      </c>
      <c r="AB26" s="136">
        <v>0</v>
      </c>
      <c r="AC26" s="136">
        <v>0</v>
      </c>
      <c r="AD26" s="136">
        <v>0</v>
      </c>
      <c r="AE26" s="122">
        <f t="shared" si="7"/>
        <v>719543.67</v>
      </c>
      <c r="AF26" s="124">
        <f>Z26+AA26+AC26</f>
        <v>719543.67</v>
      </c>
      <c r="AG26" s="282">
        <f>SUM(Z26:AB26)</f>
        <v>719543.67</v>
      </c>
      <c r="AH26" s="120">
        <f t="shared" si="15"/>
        <v>0.71846956002235529</v>
      </c>
      <c r="AI26" s="120">
        <v>0.71846956002235529</v>
      </c>
      <c r="AJ26" s="120">
        <f t="shared" si="10"/>
        <v>0</v>
      </c>
      <c r="AK26" s="125">
        <f t="shared" si="11"/>
        <v>0.71846956002235529</v>
      </c>
      <c r="AL26" s="117"/>
      <c r="AM26" s="126"/>
      <c r="AN26" s="126"/>
      <c r="AO26" s="126"/>
      <c r="AP26" s="117"/>
      <c r="AQ26" s="126"/>
      <c r="AR26" s="126"/>
      <c r="AS26" s="127"/>
    </row>
    <row r="27" spans="1:45" ht="99">
      <c r="A27" s="114" t="s">
        <v>50</v>
      </c>
      <c r="B27" s="115" t="s">
        <v>489</v>
      </c>
      <c r="C27" s="116" t="s">
        <v>467</v>
      </c>
      <c r="D27" s="116" t="s">
        <v>475</v>
      </c>
      <c r="E27" s="116"/>
      <c r="F27" s="117">
        <v>0</v>
      </c>
      <c r="G27" s="117"/>
      <c r="H27" s="117">
        <v>0</v>
      </c>
      <c r="I27" s="117"/>
      <c r="J27" s="117">
        <v>0</v>
      </c>
      <c r="K27" s="107" t="s">
        <v>469</v>
      </c>
      <c r="L27" s="117">
        <v>0</v>
      </c>
      <c r="M27" s="117"/>
      <c r="N27" s="118">
        <f t="shared" si="0"/>
        <v>0</v>
      </c>
      <c r="O27" s="119">
        <v>0</v>
      </c>
      <c r="P27" s="135">
        <v>0</v>
      </c>
      <c r="Q27" s="130">
        <v>0</v>
      </c>
      <c r="R27" s="131">
        <v>0</v>
      </c>
      <c r="S27" s="130">
        <f t="shared" si="13"/>
        <v>0</v>
      </c>
      <c r="T27" s="130" t="e">
        <f t="shared" si="3"/>
        <v>#DIV/0!</v>
      </c>
      <c r="U27" s="134">
        <v>0</v>
      </c>
      <c r="V27" s="130">
        <v>0</v>
      </c>
      <c r="W27" s="131">
        <v>0</v>
      </c>
      <c r="X27" s="130">
        <f t="shared" si="5"/>
        <v>0</v>
      </c>
      <c r="Y27" s="130" t="e">
        <f t="shared" si="6"/>
        <v>#DIV/0!</v>
      </c>
      <c r="Z27" s="136">
        <v>0</v>
      </c>
      <c r="AA27" s="136">
        <v>0</v>
      </c>
      <c r="AB27" s="136">
        <v>0</v>
      </c>
      <c r="AC27" s="136">
        <v>0</v>
      </c>
      <c r="AD27" s="136">
        <v>0</v>
      </c>
      <c r="AE27" s="122">
        <f t="shared" si="7"/>
        <v>0</v>
      </c>
      <c r="AF27" s="124">
        <f>Z27+AA27+AC27</f>
        <v>0</v>
      </c>
      <c r="AG27" s="282">
        <f>SUM(Z27:AB27)</f>
        <v>0</v>
      </c>
      <c r="AH27" s="120">
        <v>0</v>
      </c>
      <c r="AI27" s="120">
        <v>0</v>
      </c>
      <c r="AJ27" s="120">
        <f t="shared" si="10"/>
        <v>0</v>
      </c>
      <c r="AK27" s="125" t="e">
        <f t="shared" si="11"/>
        <v>#DIV/0!</v>
      </c>
      <c r="AL27" s="117"/>
      <c r="AM27" s="126"/>
      <c r="AN27" s="126"/>
      <c r="AO27" s="126"/>
      <c r="AP27" s="117"/>
      <c r="AQ27" s="126"/>
      <c r="AR27" s="126"/>
      <c r="AS27" s="127"/>
    </row>
    <row r="28" spans="1:45" s="63" customFormat="1" ht="49.5">
      <c r="A28" s="104" t="s">
        <v>490</v>
      </c>
      <c r="B28" s="105" t="s">
        <v>491</v>
      </c>
      <c r="C28" s="106" t="s">
        <v>467</v>
      </c>
      <c r="D28" s="106" t="s">
        <v>468</v>
      </c>
      <c r="E28" s="106"/>
      <c r="F28" s="107">
        <f>F29+F39</f>
        <v>89810321.006687999</v>
      </c>
      <c r="G28" s="107"/>
      <c r="H28" s="107">
        <f>H29+H39</f>
        <v>89810321.006687999</v>
      </c>
      <c r="I28" s="107"/>
      <c r="J28" s="107">
        <f>J29+J39</f>
        <v>89810321.006687999</v>
      </c>
      <c r="K28" s="107" t="s">
        <v>469</v>
      </c>
      <c r="L28" s="107">
        <f>L29+L39</f>
        <v>7300000</v>
      </c>
      <c r="M28" s="107">
        <f>M29+M39</f>
        <v>6669571.7000000002</v>
      </c>
      <c r="N28" s="86">
        <f t="shared" si="0"/>
        <v>96479892.706688002</v>
      </c>
      <c r="O28" s="108">
        <f>O29+O39</f>
        <v>88518105.579999998</v>
      </c>
      <c r="P28" s="137">
        <f>P29+P39</f>
        <v>92568948.670000002</v>
      </c>
      <c r="Q28" s="138">
        <f t="shared" ref="Q28:Q40" si="16">P28/J28</f>
        <v>1.0307161541389722</v>
      </c>
      <c r="R28" s="138">
        <v>0.96306025031977183</v>
      </c>
      <c r="S28" s="138">
        <f t="shared" si="13"/>
        <v>6.7655903819200391E-2</v>
      </c>
      <c r="T28" s="138">
        <f t="shared" si="3"/>
        <v>0.9594636361321649</v>
      </c>
      <c r="U28" s="137">
        <f>U29+U39</f>
        <v>92568948.670000002</v>
      </c>
      <c r="V28" s="138">
        <f t="shared" ref="V28:V40" si="17">U28/J28</f>
        <v>1.0307161541389722</v>
      </c>
      <c r="W28" s="138">
        <v>0.96306025031977183</v>
      </c>
      <c r="X28" s="138">
        <f t="shared" si="5"/>
        <v>6.7655903819200391E-2</v>
      </c>
      <c r="Y28" s="138">
        <f t="shared" si="6"/>
        <v>0.9594636361321649</v>
      </c>
      <c r="Z28" s="137">
        <f>Z29+Z39</f>
        <v>65418508.700000003</v>
      </c>
      <c r="AA28" s="137">
        <f>AA29+AA39</f>
        <v>0</v>
      </c>
      <c r="AB28" s="137">
        <f>AB29+AB39</f>
        <v>2258014.56</v>
      </c>
      <c r="AC28" s="137">
        <f>AC29+AC39</f>
        <v>1011565.7699999999</v>
      </c>
      <c r="AD28" s="137">
        <f>AD29+AD39</f>
        <v>11362.99</v>
      </c>
      <c r="AE28" s="109">
        <f t="shared" si="7"/>
        <v>67665160.270000011</v>
      </c>
      <c r="AF28" s="109">
        <f>Z28+AA28+AC28</f>
        <v>66430074.470000006</v>
      </c>
      <c r="AG28" s="279">
        <f>AG29+AG39</f>
        <v>67676523.260000005</v>
      </c>
      <c r="AH28" s="110">
        <f t="shared" ref="AH28:AH40" si="18">AG28/J28</f>
        <v>0.75354950857998015</v>
      </c>
      <c r="AI28" s="110">
        <v>0.74419917522645085</v>
      </c>
      <c r="AJ28" s="110">
        <f t="shared" si="10"/>
        <v>9.3503333535293054E-3</v>
      </c>
      <c r="AK28" s="89">
        <f t="shared" si="11"/>
        <v>0.70145728152648179</v>
      </c>
      <c r="AL28" s="107"/>
      <c r="AM28" s="112"/>
      <c r="AN28" s="112"/>
      <c r="AO28" s="112"/>
      <c r="AP28" s="107"/>
      <c r="AQ28" s="112"/>
      <c r="AR28" s="112"/>
      <c r="AS28" s="113"/>
    </row>
    <row r="29" spans="1:45" s="63" customFormat="1" ht="82.5">
      <c r="A29" s="139" t="s">
        <v>492</v>
      </c>
      <c r="B29" s="140" t="s">
        <v>493</v>
      </c>
      <c r="C29" s="141" t="s">
        <v>467</v>
      </c>
      <c r="D29" s="141" t="s">
        <v>475</v>
      </c>
      <c r="E29" s="141"/>
      <c r="F29" s="117">
        <f>F30+F35</f>
        <v>56950404</v>
      </c>
      <c r="G29" s="117"/>
      <c r="H29" s="117">
        <f>H30+H35</f>
        <v>56950404</v>
      </c>
      <c r="I29" s="117"/>
      <c r="J29" s="117">
        <f>J30+J35</f>
        <v>56950404</v>
      </c>
      <c r="K29" s="107" t="s">
        <v>469</v>
      </c>
      <c r="L29" s="117">
        <f>L30+L35</f>
        <v>4300000</v>
      </c>
      <c r="M29" s="117">
        <f>M30+M35</f>
        <v>3669571.7</v>
      </c>
      <c r="N29" s="118">
        <f t="shared" si="0"/>
        <v>60619975.700000003</v>
      </c>
      <c r="O29" s="142">
        <f>O30+O35</f>
        <v>55713934.379999995</v>
      </c>
      <c r="P29" s="143">
        <f>P30+P35</f>
        <v>59944420.890000001</v>
      </c>
      <c r="Q29" s="130">
        <f t="shared" si="16"/>
        <v>1.0525723555885573</v>
      </c>
      <c r="R29" s="130">
        <v>0.9458784597910842</v>
      </c>
      <c r="S29" s="130">
        <f t="shared" si="13"/>
        <v>0.10669389579747313</v>
      </c>
      <c r="T29" s="130">
        <f t="shared" si="3"/>
        <v>0.98885590430878378</v>
      </c>
      <c r="U29" s="144">
        <f>U30+U35</f>
        <v>59944420.890000001</v>
      </c>
      <c r="V29" s="130">
        <f t="shared" si="17"/>
        <v>1.0525723555885573</v>
      </c>
      <c r="W29" s="130">
        <v>0.9458784597910842</v>
      </c>
      <c r="X29" s="130">
        <f t="shared" si="5"/>
        <v>0.10669389579747313</v>
      </c>
      <c r="Y29" s="130">
        <f t="shared" si="6"/>
        <v>0.98885590430878378</v>
      </c>
      <c r="Z29" s="144">
        <f>Z30+Z35</f>
        <v>39570524.75</v>
      </c>
      <c r="AA29" s="144">
        <f>AA30+AA35</f>
        <v>0</v>
      </c>
      <c r="AB29" s="144">
        <f>AB30+AB35</f>
        <v>745089.51</v>
      </c>
      <c r="AC29" s="144">
        <f>AC30+AC35</f>
        <v>385462.57999999996</v>
      </c>
      <c r="AD29" s="144">
        <v>0</v>
      </c>
      <c r="AE29" s="145">
        <f t="shared" si="7"/>
        <v>40315614.260000005</v>
      </c>
      <c r="AF29" s="146">
        <f>Z29+AA29+AC29</f>
        <v>39955987.329999998</v>
      </c>
      <c r="AG29" s="283">
        <f>AG30+AG35</f>
        <v>40315614.260000005</v>
      </c>
      <c r="AH29" s="120">
        <f t="shared" si="18"/>
        <v>0.7079074322282245</v>
      </c>
      <c r="AI29" s="120">
        <v>0.69723129848209675</v>
      </c>
      <c r="AJ29" s="120">
        <f t="shared" si="10"/>
        <v>1.0676133746127747E-2</v>
      </c>
      <c r="AK29" s="125">
        <f t="shared" si="11"/>
        <v>0.66505493930773718</v>
      </c>
      <c r="AL29" s="117"/>
      <c r="AM29" s="126"/>
      <c r="AN29" s="126"/>
      <c r="AO29" s="126"/>
      <c r="AP29" s="117"/>
      <c r="AQ29" s="126"/>
      <c r="AR29" s="126"/>
      <c r="AS29" s="127"/>
    </row>
    <row r="30" spans="1:45" s="63" customFormat="1" ht="132">
      <c r="A30" s="139" t="s">
        <v>494</v>
      </c>
      <c r="B30" s="140" t="s">
        <v>495</v>
      </c>
      <c r="C30" s="141" t="s">
        <v>467</v>
      </c>
      <c r="D30" s="141" t="s">
        <v>475</v>
      </c>
      <c r="E30" s="141"/>
      <c r="F30" s="117">
        <f>SUM(F31:F34)</f>
        <v>39946155</v>
      </c>
      <c r="G30" s="117"/>
      <c r="H30" s="117">
        <f>SUM(H31:H34)</f>
        <v>39946155</v>
      </c>
      <c r="I30" s="117"/>
      <c r="J30" s="117">
        <f>SUM(J31:J34)</f>
        <v>39946155</v>
      </c>
      <c r="K30" s="107" t="s">
        <v>469</v>
      </c>
      <c r="L30" s="117">
        <f>SUM(L31:L34)</f>
        <v>4300000</v>
      </c>
      <c r="M30" s="117">
        <f>SUM(M31:M34)</f>
        <v>3669571.7</v>
      </c>
      <c r="N30" s="118">
        <f t="shared" si="0"/>
        <v>43615726.700000003</v>
      </c>
      <c r="O30" s="142">
        <f>O31+O32+O33+O34</f>
        <v>36500901.280000001</v>
      </c>
      <c r="P30" s="147">
        <f>SUM(P31:P34)</f>
        <v>43360638.07</v>
      </c>
      <c r="Q30" s="130">
        <f t="shared" si="16"/>
        <v>1.085477139664631</v>
      </c>
      <c r="R30" s="130">
        <v>0.93331811559835987</v>
      </c>
      <c r="S30" s="130">
        <f t="shared" si="13"/>
        <v>0.15215902406627113</v>
      </c>
      <c r="T30" s="130">
        <f t="shared" si="3"/>
        <v>0.99415145294369234</v>
      </c>
      <c r="U30" s="135">
        <f>SUM(U31:U34)</f>
        <v>43360638.07</v>
      </c>
      <c r="V30" s="130">
        <f t="shared" si="17"/>
        <v>1.085477139664631</v>
      </c>
      <c r="W30" s="130">
        <v>0.93331811559835987</v>
      </c>
      <c r="X30" s="130">
        <f t="shared" si="5"/>
        <v>0.15215902406627113</v>
      </c>
      <c r="Y30" s="130">
        <f t="shared" si="6"/>
        <v>0.99415145294369234</v>
      </c>
      <c r="Z30" s="144">
        <f>SUM(Z31:Z34)</f>
        <v>24397469.699999999</v>
      </c>
      <c r="AA30" s="144">
        <f>SUM(AA31:AA34)</f>
        <v>0</v>
      </c>
      <c r="AB30" s="144">
        <f>SUM(AB31:AB34)</f>
        <v>592089.51</v>
      </c>
      <c r="AC30" s="144">
        <f>SUM(AC31:AC34)</f>
        <v>385462.57999999996</v>
      </c>
      <c r="AD30" s="144">
        <v>0</v>
      </c>
      <c r="AE30" s="145">
        <f t="shared" si="7"/>
        <v>24989559.210000001</v>
      </c>
      <c r="AF30" s="117">
        <f>SUM(AF31:AF34)</f>
        <v>24782932.280000001</v>
      </c>
      <c r="AG30" s="283">
        <f>SUM(AG31:AG34)</f>
        <v>24989559.210000001</v>
      </c>
      <c r="AH30" s="120">
        <f t="shared" si="18"/>
        <v>0.62558109059557798</v>
      </c>
      <c r="AI30" s="120">
        <v>0.61111529682894383</v>
      </c>
      <c r="AJ30" s="120">
        <f t="shared" si="10"/>
        <v>1.446579376663415E-2</v>
      </c>
      <c r="AK30" s="125">
        <f t="shared" si="11"/>
        <v>0.57294836291240792</v>
      </c>
      <c r="AL30" s="117"/>
      <c r="AM30" s="126"/>
      <c r="AN30" s="126"/>
      <c r="AO30" s="126"/>
      <c r="AP30" s="117"/>
      <c r="AQ30" s="126"/>
      <c r="AR30" s="126"/>
      <c r="AS30" s="127"/>
    </row>
    <row r="31" spans="1:45" ht="165">
      <c r="A31" s="114" t="s">
        <v>51</v>
      </c>
      <c r="B31" s="115" t="s">
        <v>496</v>
      </c>
      <c r="C31" s="116" t="s">
        <v>467</v>
      </c>
      <c r="D31" s="116" t="s">
        <v>475</v>
      </c>
      <c r="E31" s="116"/>
      <c r="F31" s="117">
        <v>2393420</v>
      </c>
      <c r="G31" s="117"/>
      <c r="H31" s="117">
        <f>F31</f>
        <v>2393420</v>
      </c>
      <c r="I31" s="117"/>
      <c r="J31" s="117">
        <f t="shared" ref="J31:J38" si="19">F31</f>
        <v>2393420</v>
      </c>
      <c r="K31" s="107" t="s">
        <v>469</v>
      </c>
      <c r="L31" s="117">
        <v>0</v>
      </c>
      <c r="M31" s="117"/>
      <c r="N31" s="118">
        <f t="shared" si="0"/>
        <v>2393420</v>
      </c>
      <c r="O31" s="119">
        <v>1003445.51</v>
      </c>
      <c r="P31" s="135">
        <v>2393420</v>
      </c>
      <c r="Q31" s="130">
        <f t="shared" si="16"/>
        <v>1</v>
      </c>
      <c r="R31" s="131">
        <v>1</v>
      </c>
      <c r="S31" s="130">
        <f t="shared" si="13"/>
        <v>0</v>
      </c>
      <c r="T31" s="130">
        <f t="shared" si="3"/>
        <v>1</v>
      </c>
      <c r="U31" s="134">
        <v>2393420</v>
      </c>
      <c r="V31" s="130">
        <f t="shared" si="17"/>
        <v>1</v>
      </c>
      <c r="W31" s="131">
        <v>1</v>
      </c>
      <c r="X31" s="130">
        <f t="shared" si="5"/>
        <v>0</v>
      </c>
      <c r="Y31" s="130">
        <f t="shared" si="6"/>
        <v>1</v>
      </c>
      <c r="Z31" s="134">
        <v>470669.48</v>
      </c>
      <c r="AA31" s="136">
        <v>0</v>
      </c>
      <c r="AB31" s="136">
        <v>0</v>
      </c>
      <c r="AC31" s="136">
        <v>0</v>
      </c>
      <c r="AD31" s="136">
        <v>0</v>
      </c>
      <c r="AE31" s="122">
        <f t="shared" si="7"/>
        <v>470669.48</v>
      </c>
      <c r="AF31" s="124">
        <f t="shared" ref="AF31:AF55" si="20">Z31+AA31+AC31</f>
        <v>470669.48</v>
      </c>
      <c r="AG31" s="282">
        <f>SUM(Z31:AB31)</f>
        <v>470669.48</v>
      </c>
      <c r="AH31" s="120">
        <f t="shared" si="18"/>
        <v>0.19665143602042265</v>
      </c>
      <c r="AI31" s="120">
        <v>0.19665143602042265</v>
      </c>
      <c r="AJ31" s="120">
        <f t="shared" si="10"/>
        <v>0</v>
      </c>
      <c r="AK31" s="125">
        <f t="shared" si="11"/>
        <v>0.19665143602042265</v>
      </c>
      <c r="AL31" s="117"/>
      <c r="AM31" s="126"/>
      <c r="AN31" s="126"/>
      <c r="AO31" s="126"/>
      <c r="AP31" s="117"/>
      <c r="AQ31" s="126"/>
      <c r="AR31" s="126"/>
      <c r="AS31" s="127"/>
    </row>
    <row r="32" spans="1:45" ht="115.5">
      <c r="A32" s="114" t="s">
        <v>52</v>
      </c>
      <c r="B32" s="115" t="s">
        <v>497</v>
      </c>
      <c r="C32" s="116" t="s">
        <v>467</v>
      </c>
      <c r="D32" s="116" t="s">
        <v>475</v>
      </c>
      <c r="E32" s="116"/>
      <c r="F32" s="117">
        <v>5425034</v>
      </c>
      <c r="G32" s="117"/>
      <c r="H32" s="117">
        <f>F32</f>
        <v>5425034</v>
      </c>
      <c r="I32" s="117"/>
      <c r="J32" s="117">
        <f t="shared" si="19"/>
        <v>5425034</v>
      </c>
      <c r="K32" s="107" t="s">
        <v>469</v>
      </c>
      <c r="L32" s="117">
        <v>0</v>
      </c>
      <c r="M32" s="117"/>
      <c r="N32" s="118">
        <f t="shared" si="0"/>
        <v>5425034</v>
      </c>
      <c r="O32" s="119">
        <v>5666514.3799999999</v>
      </c>
      <c r="P32" s="132">
        <v>5358780.58</v>
      </c>
      <c r="Q32" s="148">
        <f t="shared" si="16"/>
        <v>0.98778746455782585</v>
      </c>
      <c r="R32" s="149">
        <v>0.98778746455782585</v>
      </c>
      <c r="S32" s="148">
        <f t="shared" si="13"/>
        <v>0</v>
      </c>
      <c r="T32" s="130">
        <f t="shared" si="3"/>
        <v>0.98778746455782585</v>
      </c>
      <c r="U32" s="132">
        <v>5358780.58</v>
      </c>
      <c r="V32" s="148">
        <f t="shared" si="17"/>
        <v>0.98778746455782585</v>
      </c>
      <c r="W32" s="149">
        <v>0.98778746455782585</v>
      </c>
      <c r="X32" s="148">
        <f t="shared" si="5"/>
        <v>0</v>
      </c>
      <c r="Y32" s="130">
        <f t="shared" si="6"/>
        <v>0.98778746455782585</v>
      </c>
      <c r="Z32" s="132">
        <v>3348228.72</v>
      </c>
      <c r="AA32" s="150">
        <v>0</v>
      </c>
      <c r="AB32" s="133">
        <v>318919.59999999998</v>
      </c>
      <c r="AC32" s="132">
        <v>140000.5</v>
      </c>
      <c r="AD32" s="132">
        <v>16311.76</v>
      </c>
      <c r="AE32" s="151">
        <f t="shared" si="7"/>
        <v>3650836.5600000005</v>
      </c>
      <c r="AF32" s="118">
        <f t="shared" si="20"/>
        <v>3488229.22</v>
      </c>
      <c r="AG32" s="285">
        <f>SUM(Z32:AB32)</f>
        <v>3667148.3200000003</v>
      </c>
      <c r="AH32" s="152">
        <f t="shared" si="18"/>
        <v>0.6759678040727487</v>
      </c>
      <c r="AI32" s="152">
        <v>0.6759678040727487</v>
      </c>
      <c r="AJ32" s="152">
        <f t="shared" si="10"/>
        <v>0</v>
      </c>
      <c r="AK32" s="125">
        <f t="shared" si="11"/>
        <v>0.6759678040727487</v>
      </c>
      <c r="AL32" s="117"/>
      <c r="AM32" s="126"/>
      <c r="AN32" s="126"/>
      <c r="AO32" s="126"/>
      <c r="AP32" s="117"/>
      <c r="AQ32" s="126"/>
      <c r="AR32" s="126"/>
      <c r="AS32" s="127"/>
    </row>
    <row r="33" spans="1:45" ht="148.5">
      <c r="A33" s="114" t="s">
        <v>53</v>
      </c>
      <c r="B33" s="115" t="s">
        <v>498</v>
      </c>
      <c r="C33" s="116" t="s">
        <v>467</v>
      </c>
      <c r="D33" s="116" t="s">
        <v>475</v>
      </c>
      <c r="E33" s="116"/>
      <c r="F33" s="117">
        <v>10170874</v>
      </c>
      <c r="G33" s="117"/>
      <c r="H33" s="117">
        <f>F33</f>
        <v>10170874</v>
      </c>
      <c r="I33" s="117"/>
      <c r="J33" s="117">
        <f t="shared" si="19"/>
        <v>10170874</v>
      </c>
      <c r="K33" s="107" t="s">
        <v>469</v>
      </c>
      <c r="L33" s="117">
        <v>509500</v>
      </c>
      <c r="M33" s="117">
        <f>L33*0.8786</f>
        <v>447646.7</v>
      </c>
      <c r="N33" s="118">
        <f t="shared" si="0"/>
        <v>10618520.699999999</v>
      </c>
      <c r="O33" s="119">
        <v>7303838.3200000003</v>
      </c>
      <c r="P33" s="132">
        <v>10430742.49</v>
      </c>
      <c r="Q33" s="130">
        <f>P33/J33</f>
        <v>1.0255502614622893</v>
      </c>
      <c r="R33" s="131">
        <v>0.74462062257383188</v>
      </c>
      <c r="S33" s="130">
        <f t="shared" si="13"/>
        <v>0.28092963888845746</v>
      </c>
      <c r="T33" s="130">
        <f>P33/N33</f>
        <v>0.98231597269476534</v>
      </c>
      <c r="U33" s="132">
        <v>10430742.49</v>
      </c>
      <c r="V33" s="130">
        <f t="shared" si="17"/>
        <v>1.0255502614622893</v>
      </c>
      <c r="W33" s="131">
        <v>0.74462062257383188</v>
      </c>
      <c r="X33" s="130">
        <f t="shared" si="5"/>
        <v>0.28092963888845746</v>
      </c>
      <c r="Y33" s="130">
        <f t="shared" si="6"/>
        <v>0.98231597269476534</v>
      </c>
      <c r="Z33" s="134">
        <v>4405088.63</v>
      </c>
      <c r="AA33" s="134">
        <v>0</v>
      </c>
      <c r="AB33" s="134">
        <v>273169.90999999997</v>
      </c>
      <c r="AC33" s="132">
        <v>245462.08</v>
      </c>
      <c r="AD33" s="132">
        <v>7976.0700000000006</v>
      </c>
      <c r="AE33" s="122">
        <f t="shared" si="7"/>
        <v>4670282.47</v>
      </c>
      <c r="AF33" s="124">
        <f t="shared" si="20"/>
        <v>4650550.71</v>
      </c>
      <c r="AG33" s="282">
        <f>SUM(Z33:AB33)</f>
        <v>4678258.54</v>
      </c>
      <c r="AH33" s="120">
        <f t="shared" si="18"/>
        <v>0.45996622709120183</v>
      </c>
      <c r="AI33" s="120">
        <v>0.40315175470662601</v>
      </c>
      <c r="AJ33" s="120">
        <f t="shared" si="10"/>
        <v>5.681447238457582E-2</v>
      </c>
      <c r="AK33" s="125">
        <f t="shared" si="11"/>
        <v>0.44057535622640925</v>
      </c>
      <c r="AL33" s="117"/>
      <c r="AM33" s="126"/>
      <c r="AN33" s="126"/>
      <c r="AO33" s="126"/>
      <c r="AP33" s="117"/>
      <c r="AQ33" s="126"/>
      <c r="AR33" s="126"/>
      <c r="AS33" s="127"/>
    </row>
    <row r="34" spans="1:45" ht="82.5">
      <c r="A34" s="114" t="s">
        <v>54</v>
      </c>
      <c r="B34" s="115" t="s">
        <v>499</v>
      </c>
      <c r="C34" s="116" t="s">
        <v>467</v>
      </c>
      <c r="D34" s="116" t="s">
        <v>475</v>
      </c>
      <c r="E34" s="116"/>
      <c r="F34" s="117">
        <v>21956827</v>
      </c>
      <c r="G34" s="117"/>
      <c r="H34" s="117">
        <f>F34</f>
        <v>21956827</v>
      </c>
      <c r="I34" s="117"/>
      <c r="J34" s="117">
        <f t="shared" si="19"/>
        <v>21956827</v>
      </c>
      <c r="K34" s="107" t="s">
        <v>469</v>
      </c>
      <c r="L34" s="117">
        <v>3790500</v>
      </c>
      <c r="M34" s="117">
        <f>L34*0.85</f>
        <v>3221925</v>
      </c>
      <c r="N34" s="118">
        <f t="shared" si="0"/>
        <v>25178752</v>
      </c>
      <c r="O34" s="119">
        <v>22527103.07</v>
      </c>
      <c r="P34" s="135">
        <v>25177695</v>
      </c>
      <c r="Q34" s="130">
        <f>P34/J34</f>
        <v>1.146690958579762</v>
      </c>
      <c r="R34" s="131">
        <v>1</v>
      </c>
      <c r="S34" s="130">
        <f t="shared" si="13"/>
        <v>0.146690958579762</v>
      </c>
      <c r="T34" s="130">
        <f>P34/N34</f>
        <v>0.99995802015921997</v>
      </c>
      <c r="U34" s="134">
        <v>25177695</v>
      </c>
      <c r="V34" s="130">
        <f t="shared" si="17"/>
        <v>1.146690958579762</v>
      </c>
      <c r="W34" s="131">
        <v>1</v>
      </c>
      <c r="X34" s="130">
        <f t="shared" si="5"/>
        <v>0.146690958579762</v>
      </c>
      <c r="Y34" s="130">
        <f t="shared" si="6"/>
        <v>0.99995802015921997</v>
      </c>
      <c r="Z34" s="134">
        <v>16173482.869999999</v>
      </c>
      <c r="AA34" s="134">
        <v>0</v>
      </c>
      <c r="AB34" s="134">
        <v>0</v>
      </c>
      <c r="AC34" s="134">
        <v>0</v>
      </c>
      <c r="AD34" s="134">
        <v>0</v>
      </c>
      <c r="AE34" s="122">
        <f t="shared" si="7"/>
        <v>16173482.869999999</v>
      </c>
      <c r="AF34" s="124">
        <f t="shared" si="20"/>
        <v>16173482.869999999</v>
      </c>
      <c r="AG34" s="282">
        <f>SUM(Z34:AB34)</f>
        <v>16173482.869999999</v>
      </c>
      <c r="AH34" s="120">
        <f t="shared" si="18"/>
        <v>0.73660383032575694</v>
      </c>
      <c r="AI34" s="120">
        <v>0.73660383032575694</v>
      </c>
      <c r="AJ34" s="120">
        <f t="shared" si="10"/>
        <v>0</v>
      </c>
      <c r="AK34" s="125">
        <f t="shared" si="11"/>
        <v>0.64234648603711575</v>
      </c>
      <c r="AL34" s="117"/>
      <c r="AM34" s="126"/>
      <c r="AN34" s="126"/>
      <c r="AO34" s="126"/>
      <c r="AP34" s="117"/>
      <c r="AQ34" s="126"/>
      <c r="AR34" s="126"/>
      <c r="AS34" s="127"/>
    </row>
    <row r="35" spans="1:45" s="63" customFormat="1" ht="66">
      <c r="A35" s="139" t="s">
        <v>500</v>
      </c>
      <c r="B35" s="140" t="s">
        <v>501</v>
      </c>
      <c r="C35" s="141" t="s">
        <v>467</v>
      </c>
      <c r="D35" s="141" t="s">
        <v>475</v>
      </c>
      <c r="E35" s="141"/>
      <c r="F35" s="117">
        <f>SUM(F36:F38)</f>
        <v>17004249</v>
      </c>
      <c r="G35" s="117"/>
      <c r="H35" s="117">
        <f>SUM(H36:H38)</f>
        <v>17004249</v>
      </c>
      <c r="I35" s="117"/>
      <c r="J35" s="117">
        <f t="shared" si="19"/>
        <v>17004249</v>
      </c>
      <c r="K35" s="107" t="s">
        <v>469</v>
      </c>
      <c r="L35" s="117">
        <f>SUM(L36:L38)</f>
        <v>0</v>
      </c>
      <c r="M35" s="117">
        <f>SUM(M36:M38)</f>
        <v>0</v>
      </c>
      <c r="N35" s="118">
        <f t="shared" si="0"/>
        <v>17004249</v>
      </c>
      <c r="O35" s="142">
        <f>SUM(O36:O38)</f>
        <v>19213033.099999998</v>
      </c>
      <c r="P35" s="147">
        <f>SUM(P36:P38)</f>
        <v>16583782.82</v>
      </c>
      <c r="Q35" s="130">
        <f t="shared" si="16"/>
        <v>0.97527287562067577</v>
      </c>
      <c r="R35" s="130">
        <v>0.975385052877078</v>
      </c>
      <c r="S35" s="130">
        <f t="shared" si="13"/>
        <v>-1.1217725640222387E-4</v>
      </c>
      <c r="T35" s="130">
        <f t="shared" si="3"/>
        <v>0.97527287562067577</v>
      </c>
      <c r="U35" s="144">
        <f>SUM(U36:U38)</f>
        <v>16583782.82</v>
      </c>
      <c r="V35" s="130">
        <f t="shared" si="17"/>
        <v>0.97527287562067577</v>
      </c>
      <c r="W35" s="130">
        <v>0.975385052877078</v>
      </c>
      <c r="X35" s="130">
        <f t="shared" si="5"/>
        <v>-1.1217725640222387E-4</v>
      </c>
      <c r="Y35" s="130">
        <f t="shared" si="6"/>
        <v>0.97527287562067577</v>
      </c>
      <c r="Z35" s="144">
        <f>SUM(Z36:Z38)</f>
        <v>15173055.050000001</v>
      </c>
      <c r="AA35" s="144">
        <f>SUM(AA36:AA38)</f>
        <v>0</v>
      </c>
      <c r="AB35" s="144">
        <f>SUM(AB36:AB38)</f>
        <v>153000</v>
      </c>
      <c r="AC35" s="144">
        <f>SUM(AC36:AC38)</f>
        <v>0</v>
      </c>
      <c r="AD35" s="144">
        <v>0</v>
      </c>
      <c r="AE35" s="145">
        <f t="shared" si="7"/>
        <v>15326055.050000001</v>
      </c>
      <c r="AF35" s="146">
        <f t="shared" si="20"/>
        <v>15173055.050000001</v>
      </c>
      <c r="AG35" s="283">
        <f>SUM(AG36:AG38)</f>
        <v>15326055.050000001</v>
      </c>
      <c r="AH35" s="120">
        <f t="shared" si="18"/>
        <v>0.90130737617403744</v>
      </c>
      <c r="AI35" s="120">
        <v>0.89953386121315915</v>
      </c>
      <c r="AJ35" s="120">
        <f t="shared" si="10"/>
        <v>1.7735149608782974E-3</v>
      </c>
      <c r="AK35" s="125">
        <f t="shared" si="11"/>
        <v>0.90130737617403744</v>
      </c>
      <c r="AL35" s="117"/>
      <c r="AM35" s="126"/>
      <c r="AN35" s="126"/>
      <c r="AO35" s="126"/>
      <c r="AP35" s="117"/>
      <c r="AQ35" s="126"/>
      <c r="AR35" s="126"/>
      <c r="AS35" s="127"/>
    </row>
    <row r="36" spans="1:45" ht="165">
      <c r="A36" s="114" t="s">
        <v>55</v>
      </c>
      <c r="B36" s="115" t="s">
        <v>502</v>
      </c>
      <c r="C36" s="116" t="s">
        <v>467</v>
      </c>
      <c r="D36" s="116" t="s">
        <v>475</v>
      </c>
      <c r="E36" s="116"/>
      <c r="F36" s="117">
        <v>4203764</v>
      </c>
      <c r="G36" s="117"/>
      <c r="H36" s="117">
        <f>F36</f>
        <v>4203764</v>
      </c>
      <c r="I36" s="117"/>
      <c r="J36" s="117">
        <f t="shared" si="19"/>
        <v>4203764</v>
      </c>
      <c r="K36" s="107" t="s">
        <v>469</v>
      </c>
      <c r="L36" s="117">
        <v>0</v>
      </c>
      <c r="M36" s="117"/>
      <c r="N36" s="118">
        <f t="shared" si="0"/>
        <v>4203764</v>
      </c>
      <c r="O36" s="119">
        <v>5189378.05</v>
      </c>
      <c r="P36" s="147">
        <v>4146997.76</v>
      </c>
      <c r="Q36" s="130">
        <f t="shared" si="16"/>
        <v>0.98649633043148943</v>
      </c>
      <c r="R36" s="131">
        <v>0.98649633043148943</v>
      </c>
      <c r="S36" s="130">
        <f t="shared" si="13"/>
        <v>0</v>
      </c>
      <c r="T36" s="130">
        <f t="shared" si="3"/>
        <v>0.98649633043148943</v>
      </c>
      <c r="U36" s="147">
        <v>4146997.76</v>
      </c>
      <c r="V36" s="130">
        <f t="shared" si="17"/>
        <v>0.98649633043148943</v>
      </c>
      <c r="W36" s="131">
        <v>0.98649633043148943</v>
      </c>
      <c r="X36" s="130">
        <f t="shared" si="5"/>
        <v>0</v>
      </c>
      <c r="Y36" s="130">
        <f t="shared" si="6"/>
        <v>0.98649633043148943</v>
      </c>
      <c r="Z36" s="134">
        <v>4146997.76</v>
      </c>
      <c r="AA36" s="134">
        <v>0</v>
      </c>
      <c r="AB36" s="134">
        <v>0</v>
      </c>
      <c r="AC36" s="134">
        <v>0</v>
      </c>
      <c r="AD36" s="134">
        <v>0</v>
      </c>
      <c r="AE36" s="122">
        <f t="shared" si="7"/>
        <v>4146997.76</v>
      </c>
      <c r="AF36" s="124">
        <f t="shared" si="20"/>
        <v>4146997.76</v>
      </c>
      <c r="AG36" s="282">
        <f>SUM(Z36:AB36)</f>
        <v>4146997.76</v>
      </c>
      <c r="AH36" s="120">
        <f t="shared" si="18"/>
        <v>0.98649633043148943</v>
      </c>
      <c r="AI36" s="120">
        <v>0.98649633043148943</v>
      </c>
      <c r="AJ36" s="120">
        <f t="shared" si="10"/>
        <v>0</v>
      </c>
      <c r="AK36" s="125">
        <f t="shared" si="11"/>
        <v>0.98649633043148943</v>
      </c>
      <c r="AL36" s="117"/>
      <c r="AM36" s="126"/>
      <c r="AN36" s="126"/>
      <c r="AO36" s="126"/>
      <c r="AP36" s="117"/>
      <c r="AQ36" s="126"/>
      <c r="AR36" s="126"/>
      <c r="AS36" s="127"/>
    </row>
    <row r="37" spans="1:45" ht="132">
      <c r="A37" s="114" t="s">
        <v>56</v>
      </c>
      <c r="B37" s="115" t="s">
        <v>503</v>
      </c>
      <c r="C37" s="116" t="s">
        <v>467</v>
      </c>
      <c r="D37" s="116" t="s">
        <v>475</v>
      </c>
      <c r="E37" s="116"/>
      <c r="F37" s="117">
        <v>9465542</v>
      </c>
      <c r="G37" s="117"/>
      <c r="H37" s="117">
        <f>F37</f>
        <v>9465542</v>
      </c>
      <c r="I37" s="117"/>
      <c r="J37" s="117">
        <f t="shared" si="19"/>
        <v>9465542</v>
      </c>
      <c r="K37" s="107" t="s">
        <v>469</v>
      </c>
      <c r="L37" s="117">
        <v>0</v>
      </c>
      <c r="M37" s="117"/>
      <c r="N37" s="118">
        <f t="shared" si="0"/>
        <v>9465542</v>
      </c>
      <c r="O37" s="119">
        <v>11046381.24</v>
      </c>
      <c r="P37" s="147">
        <v>9112797.5500000007</v>
      </c>
      <c r="Q37" s="138">
        <f t="shared" si="16"/>
        <v>0.96273383499856646</v>
      </c>
      <c r="R37" s="131">
        <v>0.96273383499856646</v>
      </c>
      <c r="S37" s="130">
        <f t="shared" si="13"/>
        <v>0</v>
      </c>
      <c r="T37" s="130">
        <f t="shared" si="3"/>
        <v>0.96273383499856646</v>
      </c>
      <c r="U37" s="147">
        <v>9112797.5500000007</v>
      </c>
      <c r="V37" s="130">
        <f t="shared" si="17"/>
        <v>0.96273383499856646</v>
      </c>
      <c r="W37" s="131">
        <v>0.96273383499856646</v>
      </c>
      <c r="X37" s="130">
        <f t="shared" si="5"/>
        <v>0</v>
      </c>
      <c r="Y37" s="130">
        <f t="shared" si="6"/>
        <v>0.96273383499856646</v>
      </c>
      <c r="Z37" s="134">
        <v>9112797.5500000007</v>
      </c>
      <c r="AA37" s="134">
        <v>0</v>
      </c>
      <c r="AB37" s="134">
        <v>0</v>
      </c>
      <c r="AC37" s="134">
        <v>0</v>
      </c>
      <c r="AD37" s="134">
        <v>0</v>
      </c>
      <c r="AE37" s="122">
        <f t="shared" si="7"/>
        <v>9112797.5500000007</v>
      </c>
      <c r="AF37" s="124">
        <f t="shared" si="20"/>
        <v>9112797.5500000007</v>
      </c>
      <c r="AG37" s="282">
        <f>SUM(Z37:AB37)</f>
        <v>9112797.5500000007</v>
      </c>
      <c r="AH37" s="152">
        <f t="shared" si="18"/>
        <v>0.96273383499856646</v>
      </c>
      <c r="AI37" s="152">
        <v>0.96273383499856646</v>
      </c>
      <c r="AJ37" s="152">
        <f t="shared" si="10"/>
        <v>0</v>
      </c>
      <c r="AK37" s="125">
        <f t="shared" si="11"/>
        <v>0.96273383499856646</v>
      </c>
      <c r="AL37" s="117"/>
      <c r="AM37" s="126"/>
      <c r="AN37" s="126"/>
      <c r="AO37" s="126"/>
      <c r="AP37" s="117"/>
      <c r="AQ37" s="126"/>
      <c r="AR37" s="126"/>
      <c r="AS37" s="127"/>
    </row>
    <row r="38" spans="1:45" ht="115.5">
      <c r="A38" s="114" t="s">
        <v>504</v>
      </c>
      <c r="B38" s="115" t="s">
        <v>505</v>
      </c>
      <c r="C38" s="116" t="s">
        <v>467</v>
      </c>
      <c r="D38" s="116" t="s">
        <v>475</v>
      </c>
      <c r="E38" s="116"/>
      <c r="F38" s="117">
        <v>3334943</v>
      </c>
      <c r="G38" s="117"/>
      <c r="H38" s="117">
        <f>F38</f>
        <v>3334943</v>
      </c>
      <c r="I38" s="117"/>
      <c r="J38" s="117">
        <f t="shared" si="19"/>
        <v>3334943</v>
      </c>
      <c r="K38" s="107" t="s">
        <v>469</v>
      </c>
      <c r="L38" s="117">
        <v>0</v>
      </c>
      <c r="M38" s="117"/>
      <c r="N38" s="118">
        <f t="shared" si="0"/>
        <v>3334943</v>
      </c>
      <c r="O38" s="119">
        <v>2977273.81</v>
      </c>
      <c r="P38" s="135">
        <v>3323987.51</v>
      </c>
      <c r="Q38" s="138">
        <f t="shared" si="16"/>
        <v>0.99671493935578503</v>
      </c>
      <c r="R38" s="131">
        <v>0.99728691015108806</v>
      </c>
      <c r="S38" s="130">
        <f t="shared" si="13"/>
        <v>-5.7197079530302286E-4</v>
      </c>
      <c r="T38" s="130">
        <f t="shared" si="3"/>
        <v>0.99671493935578503</v>
      </c>
      <c r="U38" s="134">
        <v>3323987.51</v>
      </c>
      <c r="V38" s="130">
        <f t="shared" si="17"/>
        <v>0.99671493935578503</v>
      </c>
      <c r="W38" s="131">
        <v>0.99728691015108806</v>
      </c>
      <c r="X38" s="130">
        <f t="shared" si="5"/>
        <v>-5.7197079530302286E-4</v>
      </c>
      <c r="Y38" s="130">
        <f t="shared" si="6"/>
        <v>0.99671493935578503</v>
      </c>
      <c r="Z38" s="132">
        <v>1913259.74</v>
      </c>
      <c r="AA38" s="136">
        <v>0</v>
      </c>
      <c r="AB38" s="134">
        <v>153000</v>
      </c>
      <c r="AC38" s="134">
        <v>0</v>
      </c>
      <c r="AD38" s="134">
        <v>0</v>
      </c>
      <c r="AE38" s="122">
        <f t="shared" si="7"/>
        <v>2066259.74</v>
      </c>
      <c r="AF38" s="124">
        <f t="shared" si="20"/>
        <v>1913259.74</v>
      </c>
      <c r="AG38" s="282">
        <f>SUM(Z38:AB38)</f>
        <v>2066259.74</v>
      </c>
      <c r="AH38" s="152">
        <f t="shared" si="18"/>
        <v>0.61957872743252285</v>
      </c>
      <c r="AI38" s="152">
        <v>0.61053590721040807</v>
      </c>
      <c r="AJ38" s="152">
        <f t="shared" si="10"/>
        <v>9.042820222114778E-3</v>
      </c>
      <c r="AK38" s="125">
        <f t="shared" si="11"/>
        <v>0.61957872743252285</v>
      </c>
      <c r="AL38" s="117"/>
      <c r="AM38" s="126"/>
      <c r="AN38" s="126"/>
      <c r="AO38" s="126"/>
      <c r="AP38" s="117"/>
      <c r="AQ38" s="126"/>
      <c r="AR38" s="126"/>
      <c r="AS38" s="127"/>
    </row>
    <row r="39" spans="1:45" s="63" customFormat="1" ht="181.5">
      <c r="A39" s="104" t="s">
        <v>506</v>
      </c>
      <c r="B39" s="105" t="s">
        <v>507</v>
      </c>
      <c r="C39" s="106" t="s">
        <v>467</v>
      </c>
      <c r="D39" s="106" t="s">
        <v>468</v>
      </c>
      <c r="E39" s="106"/>
      <c r="F39" s="107">
        <f>F40+F45+F48+F51</f>
        <v>32859917.006688002</v>
      </c>
      <c r="G39" s="107"/>
      <c r="H39" s="107">
        <f>H40+H45+H48+H51</f>
        <v>32859917.006688002</v>
      </c>
      <c r="I39" s="107"/>
      <c r="J39" s="107">
        <f>J40+J45+J48+J51</f>
        <v>32859917.006688002</v>
      </c>
      <c r="K39" s="107" t="s">
        <v>469</v>
      </c>
      <c r="L39" s="107">
        <f>L40+L45+L48+L51</f>
        <v>3000000</v>
      </c>
      <c r="M39" s="107">
        <f>M40+M45+M48+M51</f>
        <v>3000000</v>
      </c>
      <c r="N39" s="86">
        <f t="shared" si="0"/>
        <v>35859917.006687999</v>
      </c>
      <c r="O39" s="108">
        <f>O40+O45+O48+O51</f>
        <v>32804171.199999999</v>
      </c>
      <c r="P39" s="137">
        <f>P40+P45+P48+P51</f>
        <v>32624527.780000001</v>
      </c>
      <c r="Q39" s="138">
        <f t="shared" si="16"/>
        <v>0.99283658486903381</v>
      </c>
      <c r="R39" s="138">
        <v>0.99283847257921842</v>
      </c>
      <c r="S39" s="138">
        <f t="shared" si="13"/>
        <v>-1.8877101846115352E-6</v>
      </c>
      <c r="T39" s="138">
        <f t="shared" si="3"/>
        <v>0.90977700182394217</v>
      </c>
      <c r="U39" s="137">
        <f>U40+U45+U48+U51</f>
        <v>32624527.780000001</v>
      </c>
      <c r="V39" s="138">
        <f t="shared" si="17"/>
        <v>0.99283658486903381</v>
      </c>
      <c r="W39" s="138">
        <v>0.99283847257921842</v>
      </c>
      <c r="X39" s="138">
        <f t="shared" si="5"/>
        <v>-1.8877101846115352E-6</v>
      </c>
      <c r="Y39" s="138">
        <f t="shared" si="6"/>
        <v>0.90977700182394217</v>
      </c>
      <c r="Z39" s="137">
        <f>Z40+Z45+Z48+Z51</f>
        <v>25847983.949999999</v>
      </c>
      <c r="AA39" s="137">
        <f>AA40+AA45+AA48+AA51</f>
        <v>0</v>
      </c>
      <c r="AB39" s="137">
        <f>AB40+AB45+AB48+AB51</f>
        <v>1512925.05</v>
      </c>
      <c r="AC39" s="137">
        <f>AC40+AC45+AC48+AC51</f>
        <v>626103.18999999994</v>
      </c>
      <c r="AD39" s="137">
        <f>AD40+AD45+AD48+AD51</f>
        <v>11362.99</v>
      </c>
      <c r="AE39" s="109">
        <f t="shared" si="7"/>
        <v>27349546.010000002</v>
      </c>
      <c r="AF39" s="109">
        <f t="shared" si="20"/>
        <v>26474087.140000001</v>
      </c>
      <c r="AG39" s="279">
        <f>AG40+AG45+AG48+AG51</f>
        <v>27360909</v>
      </c>
      <c r="AH39" s="110">
        <f t="shared" si="18"/>
        <v>0.83265301596565855</v>
      </c>
      <c r="AI39" s="110">
        <v>0.8256004628520025</v>
      </c>
      <c r="AJ39" s="110">
        <f t="shared" si="10"/>
        <v>7.052553113656046E-3</v>
      </c>
      <c r="AK39" s="89">
        <f t="shared" si="11"/>
        <v>0.76299420868422796</v>
      </c>
      <c r="AL39" s="107"/>
      <c r="AM39" s="112"/>
      <c r="AN39" s="112"/>
      <c r="AO39" s="112"/>
      <c r="AP39" s="107"/>
      <c r="AQ39" s="112"/>
      <c r="AR39" s="112"/>
      <c r="AS39" s="113"/>
    </row>
    <row r="40" spans="1:45" s="63" customFormat="1" ht="49.5">
      <c r="A40" s="139" t="s">
        <v>508</v>
      </c>
      <c r="B40" s="140" t="s">
        <v>509</v>
      </c>
      <c r="C40" s="141" t="s">
        <v>467</v>
      </c>
      <c r="D40" s="141" t="s">
        <v>468</v>
      </c>
      <c r="E40" s="141"/>
      <c r="F40" s="117">
        <f>SUM(F41:F44)</f>
        <v>22397467.876044001</v>
      </c>
      <c r="G40" s="117"/>
      <c r="H40" s="117">
        <f>SUM(H41:H44)</f>
        <v>22397467.876044001</v>
      </c>
      <c r="I40" s="117"/>
      <c r="J40" s="117">
        <f>SUM(J41:J44)</f>
        <v>22397467.876044001</v>
      </c>
      <c r="K40" s="107" t="s">
        <v>469</v>
      </c>
      <c r="L40" s="117">
        <f>SUM(L41:L44)</f>
        <v>1000000</v>
      </c>
      <c r="M40" s="117">
        <f>SUM(M41:M44)</f>
        <v>1000000</v>
      </c>
      <c r="N40" s="118">
        <f t="shared" si="0"/>
        <v>23397467.876044001</v>
      </c>
      <c r="O40" s="142">
        <f>SUM(O41:O44)</f>
        <v>25022558.98</v>
      </c>
      <c r="P40" s="143">
        <f>SUM(P41:P44)</f>
        <v>22389603.350000001</v>
      </c>
      <c r="Q40" s="130">
        <f t="shared" si="16"/>
        <v>0.99964886539462738</v>
      </c>
      <c r="R40" s="130">
        <v>0.99965163490412468</v>
      </c>
      <c r="S40" s="130">
        <f t="shared" si="13"/>
        <v>-2.7695094972912671E-6</v>
      </c>
      <c r="T40" s="130">
        <f t="shared" si="3"/>
        <v>0.9569242051582888</v>
      </c>
      <c r="U40" s="144">
        <f>SUM(U41:U44)</f>
        <v>22389603.350000001</v>
      </c>
      <c r="V40" s="130">
        <f t="shared" si="17"/>
        <v>0.99964886539462738</v>
      </c>
      <c r="W40" s="130">
        <v>0.99965163490412468</v>
      </c>
      <c r="X40" s="130">
        <f t="shared" si="5"/>
        <v>-2.7695094972912671E-6</v>
      </c>
      <c r="Y40" s="130">
        <f t="shared" si="6"/>
        <v>0.9569242051582888</v>
      </c>
      <c r="Z40" s="144">
        <f>SUM(Z41:Z44)</f>
        <v>21045753.159999996</v>
      </c>
      <c r="AA40" s="144">
        <f>SUM(AA41:AA44)</f>
        <v>0</v>
      </c>
      <c r="AB40" s="144">
        <f>SUM(AB41:AB44)</f>
        <v>0</v>
      </c>
      <c r="AC40" s="144">
        <f>SUM(AC41:AC44)</f>
        <v>0</v>
      </c>
      <c r="AD40" s="144">
        <f>SUM(AD41:AD44)</f>
        <v>0</v>
      </c>
      <c r="AE40" s="145">
        <f t="shared" si="7"/>
        <v>21045753.159999996</v>
      </c>
      <c r="AF40" s="146">
        <f t="shared" si="20"/>
        <v>21045753.159999996</v>
      </c>
      <c r="AG40" s="283">
        <f>SUM(AG41:AG44)</f>
        <v>21045753.159999996</v>
      </c>
      <c r="AH40" s="120">
        <f t="shared" si="18"/>
        <v>0.93964877085548681</v>
      </c>
      <c r="AI40" s="120">
        <v>0.93776290767515946</v>
      </c>
      <c r="AJ40" s="120">
        <f t="shared" si="10"/>
        <v>1.8858631803273518E-3</v>
      </c>
      <c r="AK40" s="125">
        <f t="shared" si="11"/>
        <v>0.89948849471647918</v>
      </c>
      <c r="AL40" s="117"/>
      <c r="AM40" s="126"/>
      <c r="AN40" s="126"/>
      <c r="AO40" s="126"/>
      <c r="AP40" s="117"/>
      <c r="AQ40" s="126"/>
      <c r="AR40" s="126"/>
      <c r="AS40" s="127"/>
    </row>
    <row r="41" spans="1:45" ht="165">
      <c r="A41" s="114" t="s">
        <v>58</v>
      </c>
      <c r="B41" s="115" t="s">
        <v>510</v>
      </c>
      <c r="C41" s="116" t="s">
        <v>467</v>
      </c>
      <c r="D41" s="116" t="s">
        <v>475</v>
      </c>
      <c r="E41" s="116"/>
      <c r="F41" s="117">
        <v>0</v>
      </c>
      <c r="G41" s="117"/>
      <c r="H41" s="117">
        <v>0</v>
      </c>
      <c r="I41" s="117"/>
      <c r="J41" s="117">
        <v>0</v>
      </c>
      <c r="K41" s="107" t="s">
        <v>469</v>
      </c>
      <c r="L41" s="117">
        <v>0</v>
      </c>
      <c r="M41" s="117"/>
      <c r="N41" s="118">
        <f t="shared" si="0"/>
        <v>0</v>
      </c>
      <c r="O41" s="119">
        <v>0</v>
      </c>
      <c r="P41" s="135">
        <v>0</v>
      </c>
      <c r="Q41" s="130">
        <v>0</v>
      </c>
      <c r="R41" s="131">
        <v>0</v>
      </c>
      <c r="S41" s="130">
        <f t="shared" si="13"/>
        <v>0</v>
      </c>
      <c r="T41" s="130" t="e">
        <f t="shared" si="3"/>
        <v>#DIV/0!</v>
      </c>
      <c r="U41" s="134">
        <v>0</v>
      </c>
      <c r="V41" s="130">
        <v>0</v>
      </c>
      <c r="W41" s="131">
        <v>0</v>
      </c>
      <c r="X41" s="130">
        <f t="shared" si="5"/>
        <v>0</v>
      </c>
      <c r="Y41" s="130" t="e">
        <f t="shared" si="6"/>
        <v>#DIV/0!</v>
      </c>
      <c r="Z41" s="136">
        <v>0</v>
      </c>
      <c r="AA41" s="136">
        <v>0</v>
      </c>
      <c r="AB41" s="136">
        <v>0</v>
      </c>
      <c r="AC41" s="136">
        <v>0</v>
      </c>
      <c r="AD41" s="136">
        <v>0</v>
      </c>
      <c r="AE41" s="122">
        <f t="shared" si="7"/>
        <v>0</v>
      </c>
      <c r="AF41" s="124">
        <f t="shared" si="20"/>
        <v>0</v>
      </c>
      <c r="AG41" s="282">
        <f>SUM(Z41:AB41)</f>
        <v>0</v>
      </c>
      <c r="AH41" s="120">
        <v>0</v>
      </c>
      <c r="AI41" s="120">
        <v>0</v>
      </c>
      <c r="AJ41" s="120">
        <f t="shared" si="10"/>
        <v>0</v>
      </c>
      <c r="AK41" s="125" t="e">
        <f t="shared" si="11"/>
        <v>#DIV/0!</v>
      </c>
      <c r="AL41" s="117"/>
      <c r="AM41" s="126"/>
      <c r="AN41" s="126"/>
      <c r="AO41" s="126"/>
      <c r="AP41" s="117"/>
      <c r="AQ41" s="126"/>
      <c r="AR41" s="126"/>
      <c r="AS41" s="127"/>
    </row>
    <row r="42" spans="1:45" ht="99">
      <c r="A42" s="114" t="s">
        <v>21</v>
      </c>
      <c r="B42" s="115" t="s">
        <v>511</v>
      </c>
      <c r="C42" s="116" t="s">
        <v>467</v>
      </c>
      <c r="D42" s="116" t="s">
        <v>512</v>
      </c>
      <c r="E42" s="116"/>
      <c r="F42" s="117">
        <v>5441400</v>
      </c>
      <c r="G42" s="117"/>
      <c r="H42" s="117">
        <v>5441400</v>
      </c>
      <c r="I42" s="117"/>
      <c r="J42" s="117">
        <v>5441400</v>
      </c>
      <c r="K42" s="107" t="s">
        <v>469</v>
      </c>
      <c r="L42" s="117">
        <v>1000000</v>
      </c>
      <c r="M42" s="117">
        <f>L42*1</f>
        <v>1000000</v>
      </c>
      <c r="N42" s="118">
        <f t="shared" si="0"/>
        <v>6441400</v>
      </c>
      <c r="O42" s="119">
        <v>4364899</v>
      </c>
      <c r="P42" s="135">
        <v>5433536.3499999996</v>
      </c>
      <c r="Q42" s="130">
        <f>P42/J42</f>
        <v>0.99855484801705441</v>
      </c>
      <c r="R42" s="131">
        <v>0.99856624765685298</v>
      </c>
      <c r="S42" s="130">
        <f t="shared" si="13"/>
        <v>-1.1399639798570504E-5</v>
      </c>
      <c r="T42" s="130">
        <f t="shared" si="3"/>
        <v>0.84353344769770544</v>
      </c>
      <c r="U42" s="134">
        <v>5433536.3499999996</v>
      </c>
      <c r="V42" s="130">
        <f>U42/J42</f>
        <v>0.99855484801705441</v>
      </c>
      <c r="W42" s="131">
        <v>0.99856624765685298</v>
      </c>
      <c r="X42" s="130">
        <f t="shared" si="5"/>
        <v>-1.1399639798570504E-5</v>
      </c>
      <c r="Y42" s="130">
        <f t="shared" si="6"/>
        <v>0.84353344769770544</v>
      </c>
      <c r="Z42" s="132">
        <v>4137701.01</v>
      </c>
      <c r="AA42" s="134">
        <v>0</v>
      </c>
      <c r="AB42" s="134">
        <v>0</v>
      </c>
      <c r="AC42" s="134">
        <v>0</v>
      </c>
      <c r="AD42" s="134">
        <v>0</v>
      </c>
      <c r="AE42" s="122">
        <f t="shared" si="7"/>
        <v>4137701.01</v>
      </c>
      <c r="AF42" s="124">
        <f t="shared" si="20"/>
        <v>4137701.01</v>
      </c>
      <c r="AG42" s="282">
        <f>SUM(Z42:AB42)</f>
        <v>4137701.01</v>
      </c>
      <c r="AH42" s="120">
        <f>AG42/J42</f>
        <v>0.76041110927334876</v>
      </c>
      <c r="AI42" s="120">
        <v>0.75339659830190764</v>
      </c>
      <c r="AJ42" s="120">
        <f t="shared" si="10"/>
        <v>7.0145109714411236E-3</v>
      </c>
      <c r="AK42" s="125">
        <f t="shared" si="11"/>
        <v>0.64236051324246279</v>
      </c>
      <c r="AL42" s="117"/>
      <c r="AM42" s="126"/>
      <c r="AN42" s="126"/>
      <c r="AO42" s="126"/>
      <c r="AP42" s="117"/>
      <c r="AQ42" s="126"/>
      <c r="AR42" s="126"/>
      <c r="AS42" s="127"/>
    </row>
    <row r="43" spans="1:45" ht="82.5">
      <c r="A43" s="114" t="s">
        <v>59</v>
      </c>
      <c r="B43" s="115" t="s">
        <v>513</v>
      </c>
      <c r="C43" s="116" t="s">
        <v>467</v>
      </c>
      <c r="D43" s="116" t="s">
        <v>475</v>
      </c>
      <c r="E43" s="116"/>
      <c r="F43" s="117">
        <v>0</v>
      </c>
      <c r="G43" s="117"/>
      <c r="H43" s="117">
        <v>0</v>
      </c>
      <c r="I43" s="117"/>
      <c r="J43" s="117">
        <v>0</v>
      </c>
      <c r="K43" s="107" t="s">
        <v>469</v>
      </c>
      <c r="L43" s="117">
        <v>0</v>
      </c>
      <c r="M43" s="117"/>
      <c r="N43" s="118">
        <f t="shared" si="0"/>
        <v>0</v>
      </c>
      <c r="O43" s="119">
        <v>0</v>
      </c>
      <c r="P43" s="135">
        <v>0</v>
      </c>
      <c r="Q43" s="130">
        <v>0</v>
      </c>
      <c r="R43" s="131">
        <v>0</v>
      </c>
      <c r="S43" s="130">
        <f t="shared" si="13"/>
        <v>0</v>
      </c>
      <c r="T43" s="130" t="e">
        <f t="shared" si="3"/>
        <v>#DIV/0!</v>
      </c>
      <c r="U43" s="134">
        <v>0</v>
      </c>
      <c r="V43" s="130">
        <v>0</v>
      </c>
      <c r="W43" s="131">
        <v>0</v>
      </c>
      <c r="X43" s="130">
        <f t="shared" si="5"/>
        <v>0</v>
      </c>
      <c r="Y43" s="130" t="e">
        <f t="shared" si="6"/>
        <v>#DIV/0!</v>
      </c>
      <c r="Z43" s="136">
        <v>0</v>
      </c>
      <c r="AA43" s="136">
        <v>0</v>
      </c>
      <c r="AB43" s="136">
        <v>0</v>
      </c>
      <c r="AC43" s="136">
        <v>0</v>
      </c>
      <c r="AD43" s="136">
        <v>0</v>
      </c>
      <c r="AE43" s="122">
        <f t="shared" si="7"/>
        <v>0</v>
      </c>
      <c r="AF43" s="124">
        <f t="shared" si="20"/>
        <v>0</v>
      </c>
      <c r="AG43" s="282">
        <f>SUM(Z43:AB43)</f>
        <v>0</v>
      </c>
      <c r="AH43" s="120">
        <v>0</v>
      </c>
      <c r="AI43" s="120">
        <v>0</v>
      </c>
      <c r="AJ43" s="120">
        <f t="shared" si="10"/>
        <v>0</v>
      </c>
      <c r="AK43" s="125" t="e">
        <f t="shared" si="11"/>
        <v>#DIV/0!</v>
      </c>
      <c r="AL43" s="117"/>
      <c r="AM43" s="126"/>
      <c r="AN43" s="126"/>
      <c r="AO43" s="126"/>
      <c r="AP43" s="117"/>
      <c r="AQ43" s="126"/>
      <c r="AR43" s="126"/>
      <c r="AS43" s="127"/>
    </row>
    <row r="44" spans="1:45" ht="132">
      <c r="A44" s="114" t="s">
        <v>60</v>
      </c>
      <c r="B44" s="115" t="s">
        <v>514</v>
      </c>
      <c r="C44" s="116" t="s">
        <v>467</v>
      </c>
      <c r="D44" s="116" t="s">
        <v>475</v>
      </c>
      <c r="E44" s="116"/>
      <c r="F44" s="117">
        <v>16956067.876044001</v>
      </c>
      <c r="G44" s="117"/>
      <c r="H44" s="117">
        <v>16956067.876044001</v>
      </c>
      <c r="I44" s="117"/>
      <c r="J44" s="117">
        <v>16956067.876044001</v>
      </c>
      <c r="K44" s="107" t="s">
        <v>469</v>
      </c>
      <c r="L44" s="117">
        <v>0</v>
      </c>
      <c r="M44" s="117"/>
      <c r="N44" s="118">
        <f t="shared" si="0"/>
        <v>16956067.876044001</v>
      </c>
      <c r="O44" s="119">
        <v>20657659.98</v>
      </c>
      <c r="P44" s="135">
        <v>16956067</v>
      </c>
      <c r="Q44" s="130">
        <f>P44/J44</f>
        <v>0.99999994833448369</v>
      </c>
      <c r="R44" s="131">
        <v>0.99999994833448369</v>
      </c>
      <c r="S44" s="130">
        <f t="shared" si="13"/>
        <v>0</v>
      </c>
      <c r="T44" s="130">
        <f t="shared" si="3"/>
        <v>0.99999994833448369</v>
      </c>
      <c r="U44" s="134">
        <v>16956067</v>
      </c>
      <c r="V44" s="130">
        <f>U44/J44</f>
        <v>0.99999994833448369</v>
      </c>
      <c r="W44" s="131">
        <v>0.99999994833448369</v>
      </c>
      <c r="X44" s="130">
        <f t="shared" si="5"/>
        <v>0</v>
      </c>
      <c r="Y44" s="130">
        <f t="shared" si="6"/>
        <v>0.99999994833448369</v>
      </c>
      <c r="Z44" s="132">
        <v>16908052.149999999</v>
      </c>
      <c r="AA44" s="136">
        <v>0</v>
      </c>
      <c r="AB44" s="136">
        <v>0</v>
      </c>
      <c r="AC44" s="136">
        <v>0</v>
      </c>
      <c r="AD44" s="136">
        <v>0</v>
      </c>
      <c r="AE44" s="122">
        <f t="shared" si="7"/>
        <v>16908052.149999999</v>
      </c>
      <c r="AF44" s="124">
        <f t="shared" si="20"/>
        <v>16908052.149999999</v>
      </c>
      <c r="AG44" s="282">
        <f>SUM(Z44:AB44)</f>
        <v>16908052.149999999</v>
      </c>
      <c r="AH44" s="120">
        <f>AG44/J44</f>
        <v>0.99716822753983891</v>
      </c>
      <c r="AI44" s="120">
        <v>0.99692820726923437</v>
      </c>
      <c r="AJ44" s="120">
        <f t="shared" si="10"/>
        <v>2.4002027060454623E-4</v>
      </c>
      <c r="AK44" s="125">
        <f t="shared" si="11"/>
        <v>0.99716822753983891</v>
      </c>
      <c r="AL44" s="117"/>
      <c r="AM44" s="126"/>
      <c r="AN44" s="126"/>
      <c r="AO44" s="126"/>
      <c r="AP44" s="117"/>
      <c r="AQ44" s="126"/>
      <c r="AR44" s="126"/>
      <c r="AS44" s="127"/>
    </row>
    <row r="45" spans="1:45" ht="99">
      <c r="A45" s="114" t="s">
        <v>515</v>
      </c>
      <c r="B45" s="115" t="s">
        <v>516</v>
      </c>
      <c r="C45" s="116" t="s">
        <v>467</v>
      </c>
      <c r="D45" s="116" t="s">
        <v>475</v>
      </c>
      <c r="E45" s="116"/>
      <c r="F45" s="117">
        <v>0</v>
      </c>
      <c r="G45" s="117"/>
      <c r="H45" s="117">
        <v>0</v>
      </c>
      <c r="I45" s="117"/>
      <c r="J45" s="117">
        <v>0</v>
      </c>
      <c r="K45" s="107" t="s">
        <v>469</v>
      </c>
      <c r="L45" s="117">
        <f>SUM(L46:L47)</f>
        <v>2000000</v>
      </c>
      <c r="M45" s="117">
        <f>SUM(M46:M47)</f>
        <v>2000000</v>
      </c>
      <c r="N45" s="118">
        <f t="shared" si="0"/>
        <v>2000000</v>
      </c>
      <c r="O45" s="119">
        <f>SUM(O46:O47)</f>
        <v>0</v>
      </c>
      <c r="P45" s="135">
        <f>SUM(P46:P47)</f>
        <v>0</v>
      </c>
      <c r="Q45" s="130">
        <v>0</v>
      </c>
      <c r="R45" s="131">
        <v>0</v>
      </c>
      <c r="S45" s="130">
        <f t="shared" si="13"/>
        <v>0</v>
      </c>
      <c r="T45" s="130">
        <f t="shared" si="3"/>
        <v>0</v>
      </c>
      <c r="U45" s="134">
        <f>SUM(U46:U47)</f>
        <v>0</v>
      </c>
      <c r="V45" s="130">
        <v>0</v>
      </c>
      <c r="W45" s="131">
        <v>0</v>
      </c>
      <c r="X45" s="130">
        <f t="shared" si="5"/>
        <v>0</v>
      </c>
      <c r="Y45" s="130">
        <f t="shared" si="6"/>
        <v>0</v>
      </c>
      <c r="Z45" s="134">
        <f>SUM(Z46:Z47)</f>
        <v>0</v>
      </c>
      <c r="AA45" s="134">
        <f>SUM(AA46:AA47)</f>
        <v>0</v>
      </c>
      <c r="AB45" s="134">
        <f>SUM(AB46:AB47)</f>
        <v>0</v>
      </c>
      <c r="AC45" s="134">
        <f>SUM(AC46:AC47)</f>
        <v>0</v>
      </c>
      <c r="AD45" s="134">
        <f>SUM(AD46:AD47)</f>
        <v>0</v>
      </c>
      <c r="AE45" s="145">
        <f t="shared" si="7"/>
        <v>0</v>
      </c>
      <c r="AF45" s="146">
        <f t="shared" si="20"/>
        <v>0</v>
      </c>
      <c r="AG45" s="286">
        <f>SUM(AG46:AG47)</f>
        <v>0</v>
      </c>
      <c r="AH45" s="120">
        <v>0</v>
      </c>
      <c r="AI45" s="120">
        <v>0</v>
      </c>
      <c r="AJ45" s="120">
        <f t="shared" si="10"/>
        <v>0</v>
      </c>
      <c r="AK45" s="125">
        <f t="shared" si="11"/>
        <v>0</v>
      </c>
      <c r="AL45" s="117"/>
      <c r="AM45" s="126"/>
      <c r="AN45" s="126"/>
      <c r="AO45" s="126"/>
      <c r="AP45" s="117"/>
      <c r="AQ45" s="126"/>
      <c r="AR45" s="126"/>
      <c r="AS45" s="127"/>
    </row>
    <row r="46" spans="1:45" ht="115.5">
      <c r="A46" s="114" t="s">
        <v>61</v>
      </c>
      <c r="B46" s="115" t="s">
        <v>517</v>
      </c>
      <c r="C46" s="116" t="s">
        <v>467</v>
      </c>
      <c r="D46" s="116" t="s">
        <v>475</v>
      </c>
      <c r="E46" s="116"/>
      <c r="F46" s="117">
        <v>0</v>
      </c>
      <c r="G46" s="117"/>
      <c r="H46" s="117">
        <v>0</v>
      </c>
      <c r="I46" s="117"/>
      <c r="J46" s="117">
        <v>0</v>
      </c>
      <c r="K46" s="107" t="s">
        <v>469</v>
      </c>
      <c r="L46" s="117">
        <v>2000000</v>
      </c>
      <c r="M46" s="117">
        <f>L46</f>
        <v>2000000</v>
      </c>
      <c r="N46" s="118">
        <f t="shared" si="0"/>
        <v>2000000</v>
      </c>
      <c r="O46" s="119">
        <v>0</v>
      </c>
      <c r="P46" s="135">
        <v>0</v>
      </c>
      <c r="Q46" s="130">
        <v>0</v>
      </c>
      <c r="R46" s="131">
        <v>0</v>
      </c>
      <c r="S46" s="130">
        <f t="shared" si="13"/>
        <v>0</v>
      </c>
      <c r="T46" s="130">
        <f t="shared" si="3"/>
        <v>0</v>
      </c>
      <c r="U46" s="134">
        <v>0</v>
      </c>
      <c r="V46" s="130">
        <v>0</v>
      </c>
      <c r="W46" s="131">
        <v>0</v>
      </c>
      <c r="X46" s="130">
        <f t="shared" si="5"/>
        <v>0</v>
      </c>
      <c r="Y46" s="130">
        <f t="shared" si="6"/>
        <v>0</v>
      </c>
      <c r="Z46" s="136">
        <v>0</v>
      </c>
      <c r="AA46" s="136">
        <v>0</v>
      </c>
      <c r="AB46" s="136">
        <v>0</v>
      </c>
      <c r="AC46" s="136">
        <v>0</v>
      </c>
      <c r="AD46" s="136">
        <v>0</v>
      </c>
      <c r="AE46" s="122">
        <f t="shared" si="7"/>
        <v>0</v>
      </c>
      <c r="AF46" s="124">
        <f t="shared" si="20"/>
        <v>0</v>
      </c>
      <c r="AG46" s="282">
        <f>SUM(Z46:AB46)</f>
        <v>0</v>
      </c>
      <c r="AH46" s="120">
        <v>0</v>
      </c>
      <c r="AI46" s="120">
        <v>0</v>
      </c>
      <c r="AJ46" s="120">
        <f t="shared" si="10"/>
        <v>0</v>
      </c>
      <c r="AK46" s="125">
        <f t="shared" si="11"/>
        <v>0</v>
      </c>
      <c r="AL46" s="117"/>
      <c r="AM46" s="126"/>
      <c r="AN46" s="126"/>
      <c r="AO46" s="126"/>
      <c r="AP46" s="117"/>
      <c r="AQ46" s="126"/>
      <c r="AR46" s="126"/>
      <c r="AS46" s="127"/>
    </row>
    <row r="47" spans="1:45" ht="165">
      <c r="A47" s="114" t="s">
        <v>62</v>
      </c>
      <c r="B47" s="115" t="s">
        <v>518</v>
      </c>
      <c r="C47" s="116" t="s">
        <v>467</v>
      </c>
      <c r="D47" s="116" t="s">
        <v>475</v>
      </c>
      <c r="E47" s="116"/>
      <c r="F47" s="117">
        <v>0</v>
      </c>
      <c r="G47" s="117"/>
      <c r="H47" s="117">
        <v>0</v>
      </c>
      <c r="I47" s="117"/>
      <c r="J47" s="117">
        <v>0</v>
      </c>
      <c r="K47" s="107" t="s">
        <v>469</v>
      </c>
      <c r="L47" s="117">
        <v>0</v>
      </c>
      <c r="M47" s="117"/>
      <c r="N47" s="118">
        <f t="shared" si="0"/>
        <v>0</v>
      </c>
      <c r="O47" s="119">
        <v>0</v>
      </c>
      <c r="P47" s="135">
        <v>0</v>
      </c>
      <c r="Q47" s="130">
        <v>0</v>
      </c>
      <c r="R47" s="131">
        <v>0</v>
      </c>
      <c r="S47" s="130">
        <f t="shared" si="13"/>
        <v>0</v>
      </c>
      <c r="T47" s="130" t="e">
        <f t="shared" si="3"/>
        <v>#DIV/0!</v>
      </c>
      <c r="U47" s="134">
        <v>0</v>
      </c>
      <c r="V47" s="130">
        <v>0</v>
      </c>
      <c r="W47" s="131">
        <v>0</v>
      </c>
      <c r="X47" s="130">
        <f t="shared" si="5"/>
        <v>0</v>
      </c>
      <c r="Y47" s="130" t="e">
        <f t="shared" si="6"/>
        <v>#DIV/0!</v>
      </c>
      <c r="Z47" s="136">
        <v>0</v>
      </c>
      <c r="AA47" s="136">
        <v>0</v>
      </c>
      <c r="AB47" s="136">
        <v>0</v>
      </c>
      <c r="AC47" s="136">
        <v>0</v>
      </c>
      <c r="AD47" s="136">
        <v>0</v>
      </c>
      <c r="AE47" s="122">
        <f t="shared" si="7"/>
        <v>0</v>
      </c>
      <c r="AF47" s="124">
        <f t="shared" si="20"/>
        <v>0</v>
      </c>
      <c r="AG47" s="282">
        <f>SUM(Z47:AB47)</f>
        <v>0</v>
      </c>
      <c r="AH47" s="120">
        <v>0</v>
      </c>
      <c r="AI47" s="120">
        <v>0</v>
      </c>
      <c r="AJ47" s="120">
        <f t="shared" si="10"/>
        <v>0</v>
      </c>
      <c r="AK47" s="125" t="e">
        <f t="shared" si="11"/>
        <v>#DIV/0!</v>
      </c>
      <c r="AL47" s="117"/>
      <c r="AM47" s="126"/>
      <c r="AN47" s="126"/>
      <c r="AO47" s="126"/>
      <c r="AP47" s="117"/>
      <c r="AQ47" s="126"/>
      <c r="AR47" s="126"/>
      <c r="AS47" s="127"/>
    </row>
    <row r="48" spans="1:45" s="63" customFormat="1" ht="148.5">
      <c r="A48" s="139" t="s">
        <v>519</v>
      </c>
      <c r="B48" s="140" t="s">
        <v>520</v>
      </c>
      <c r="C48" s="141" t="s">
        <v>467</v>
      </c>
      <c r="D48" s="141" t="s">
        <v>475</v>
      </c>
      <c r="E48" s="141"/>
      <c r="F48" s="117">
        <f>SUM(F49:F50)</f>
        <v>973356.13064400002</v>
      </c>
      <c r="G48" s="117"/>
      <c r="H48" s="117">
        <f>SUM(H49:H50)</f>
        <v>973356.13064400002</v>
      </c>
      <c r="I48" s="117"/>
      <c r="J48" s="117">
        <f>SUM(J49:J50)</f>
        <v>973356.13064400002</v>
      </c>
      <c r="K48" s="107" t="s">
        <v>469</v>
      </c>
      <c r="L48" s="117">
        <f>SUM(L49:L50)</f>
        <v>0</v>
      </c>
      <c r="M48" s="117">
        <f>SUM(M49:M50)</f>
        <v>0</v>
      </c>
      <c r="N48" s="118">
        <f t="shared" si="0"/>
        <v>973356.13064400002</v>
      </c>
      <c r="O48" s="142">
        <f>SUM(O49:O50)</f>
        <v>432310.82999999996</v>
      </c>
      <c r="P48" s="143">
        <v>973356</v>
      </c>
      <c r="Q48" s="130">
        <f>P48/J48</f>
        <v>0.999999865779856</v>
      </c>
      <c r="R48" s="130">
        <v>0.999999865779856</v>
      </c>
      <c r="S48" s="130">
        <f t="shared" si="13"/>
        <v>0</v>
      </c>
      <c r="T48" s="130">
        <f t="shared" si="3"/>
        <v>0.999999865779856</v>
      </c>
      <c r="U48" s="144">
        <f>SUM(U49:U50)</f>
        <v>973356</v>
      </c>
      <c r="V48" s="130">
        <f>U48/J48</f>
        <v>0.999999865779856</v>
      </c>
      <c r="W48" s="130">
        <v>0.999999865779856</v>
      </c>
      <c r="X48" s="130">
        <f t="shared" si="5"/>
        <v>0</v>
      </c>
      <c r="Y48" s="130">
        <f t="shared" si="6"/>
        <v>0.999999865779856</v>
      </c>
      <c r="Z48" s="144">
        <f>SUM(Z49:Z50)</f>
        <v>323046.01</v>
      </c>
      <c r="AA48" s="144">
        <f>SUM(AA49:AA50)</f>
        <v>0</v>
      </c>
      <c r="AB48" s="144">
        <f>SUM(AB49:AB50)</f>
        <v>0</v>
      </c>
      <c r="AC48" s="144">
        <f>SUM(AC49:AC50)</f>
        <v>0</v>
      </c>
      <c r="AD48" s="144">
        <v>0</v>
      </c>
      <c r="AE48" s="145">
        <f t="shared" si="7"/>
        <v>323046.01</v>
      </c>
      <c r="AF48" s="146">
        <f t="shared" si="20"/>
        <v>323046.01</v>
      </c>
      <c r="AG48" s="283">
        <f>SUM(AG49:AG50)</f>
        <v>323046.01</v>
      </c>
      <c r="AH48" s="120">
        <f>AG48/J48</f>
        <v>0.33188881215168758</v>
      </c>
      <c r="AI48" s="120">
        <v>0.33188881215168758</v>
      </c>
      <c r="AJ48" s="120">
        <f t="shared" si="10"/>
        <v>0</v>
      </c>
      <c r="AK48" s="125">
        <f t="shared" si="11"/>
        <v>0.33188881215168758</v>
      </c>
      <c r="AL48" s="117"/>
      <c r="AM48" s="126"/>
      <c r="AN48" s="126"/>
      <c r="AO48" s="126"/>
      <c r="AP48" s="117"/>
      <c r="AQ48" s="126"/>
      <c r="AR48" s="126"/>
      <c r="AS48" s="127"/>
    </row>
    <row r="49" spans="1:45" ht="148.5">
      <c r="A49" s="114" t="s">
        <v>63</v>
      </c>
      <c r="B49" s="115" t="s">
        <v>521</v>
      </c>
      <c r="C49" s="116" t="s">
        <v>467</v>
      </c>
      <c r="D49" s="116" t="s">
        <v>475</v>
      </c>
      <c r="E49" s="116"/>
      <c r="F49" s="117">
        <v>0</v>
      </c>
      <c r="G49" s="117"/>
      <c r="H49" s="117">
        <v>0</v>
      </c>
      <c r="I49" s="117"/>
      <c r="J49" s="117">
        <v>0</v>
      </c>
      <c r="K49" s="107" t="s">
        <v>469</v>
      </c>
      <c r="L49" s="117">
        <v>0</v>
      </c>
      <c r="M49" s="117"/>
      <c r="N49" s="118">
        <f t="shared" si="0"/>
        <v>0</v>
      </c>
      <c r="O49" s="119">
        <v>0</v>
      </c>
      <c r="P49" s="135">
        <v>0</v>
      </c>
      <c r="Q49" s="130">
        <v>0</v>
      </c>
      <c r="R49" s="131">
        <v>0</v>
      </c>
      <c r="S49" s="130">
        <f t="shared" si="13"/>
        <v>0</v>
      </c>
      <c r="T49" s="130" t="e">
        <f t="shared" si="3"/>
        <v>#DIV/0!</v>
      </c>
      <c r="U49" s="134">
        <v>0</v>
      </c>
      <c r="V49" s="130">
        <v>0</v>
      </c>
      <c r="W49" s="131">
        <v>0</v>
      </c>
      <c r="X49" s="130">
        <f t="shared" si="5"/>
        <v>0</v>
      </c>
      <c r="Y49" s="130" t="e">
        <f t="shared" si="6"/>
        <v>#DIV/0!</v>
      </c>
      <c r="Z49" s="136">
        <v>0</v>
      </c>
      <c r="AA49" s="136">
        <v>0</v>
      </c>
      <c r="AB49" s="136">
        <v>0</v>
      </c>
      <c r="AC49" s="136">
        <v>0</v>
      </c>
      <c r="AD49" s="136">
        <v>0</v>
      </c>
      <c r="AE49" s="122">
        <f t="shared" si="7"/>
        <v>0</v>
      </c>
      <c r="AF49" s="124">
        <f t="shared" si="20"/>
        <v>0</v>
      </c>
      <c r="AG49" s="282">
        <f>SUM(Z49:AB49)</f>
        <v>0</v>
      </c>
      <c r="AH49" s="120">
        <v>0</v>
      </c>
      <c r="AI49" s="120">
        <v>0</v>
      </c>
      <c r="AJ49" s="120">
        <f t="shared" si="10"/>
        <v>0</v>
      </c>
      <c r="AK49" s="125" t="e">
        <f t="shared" si="11"/>
        <v>#DIV/0!</v>
      </c>
      <c r="AL49" s="117"/>
      <c r="AM49" s="126"/>
      <c r="AN49" s="126"/>
      <c r="AO49" s="126"/>
      <c r="AP49" s="117"/>
      <c r="AQ49" s="126"/>
      <c r="AR49" s="126"/>
      <c r="AS49" s="127"/>
    </row>
    <row r="50" spans="1:45" ht="66">
      <c r="A50" s="114" t="s">
        <v>64</v>
      </c>
      <c r="B50" s="115" t="s">
        <v>522</v>
      </c>
      <c r="C50" s="116" t="s">
        <v>467</v>
      </c>
      <c r="D50" s="116" t="s">
        <v>475</v>
      </c>
      <c r="E50" s="116"/>
      <c r="F50" s="117">
        <v>973356.13064400002</v>
      </c>
      <c r="G50" s="117"/>
      <c r="H50" s="117">
        <v>973356.13064400002</v>
      </c>
      <c r="I50" s="117"/>
      <c r="J50" s="117">
        <v>973356.13064400002</v>
      </c>
      <c r="K50" s="107" t="s">
        <v>469</v>
      </c>
      <c r="L50" s="117">
        <v>0</v>
      </c>
      <c r="M50" s="117"/>
      <c r="N50" s="118">
        <f t="shared" si="0"/>
        <v>973356.13064400002</v>
      </c>
      <c r="O50" s="119">
        <v>432310.82999999996</v>
      </c>
      <c r="P50" s="135">
        <v>973356</v>
      </c>
      <c r="Q50" s="130">
        <f t="shared" ref="Q50:Q67" si="21">P50/J50</f>
        <v>0.999999865779856</v>
      </c>
      <c r="R50" s="131">
        <v>0.999999865779856</v>
      </c>
      <c r="S50" s="130">
        <f t="shared" si="13"/>
        <v>0</v>
      </c>
      <c r="T50" s="130">
        <f t="shared" si="3"/>
        <v>0.999999865779856</v>
      </c>
      <c r="U50" s="134">
        <v>973356</v>
      </c>
      <c r="V50" s="130">
        <f t="shared" ref="V50:V67" si="22">U50/J50</f>
        <v>0.999999865779856</v>
      </c>
      <c r="W50" s="131">
        <v>0.999999865779856</v>
      </c>
      <c r="X50" s="130">
        <f t="shared" si="5"/>
        <v>0</v>
      </c>
      <c r="Y50" s="130">
        <f t="shared" si="6"/>
        <v>0.999999865779856</v>
      </c>
      <c r="Z50" s="134">
        <v>323046.01</v>
      </c>
      <c r="AA50" s="136">
        <v>0</v>
      </c>
      <c r="AB50" s="136">
        <v>0</v>
      </c>
      <c r="AC50" s="136">
        <v>0</v>
      </c>
      <c r="AD50" s="136">
        <v>0</v>
      </c>
      <c r="AE50" s="122">
        <f t="shared" si="7"/>
        <v>323046.01</v>
      </c>
      <c r="AF50" s="124">
        <f t="shared" si="20"/>
        <v>323046.01</v>
      </c>
      <c r="AG50" s="282">
        <f>SUM(Z50:AB50)</f>
        <v>323046.01</v>
      </c>
      <c r="AH50" s="120">
        <f t="shared" ref="AH50:AH60" si="23">AG50/J50</f>
        <v>0.33188881215168758</v>
      </c>
      <c r="AI50" s="120">
        <v>0.33188881215168758</v>
      </c>
      <c r="AJ50" s="120">
        <f t="shared" si="10"/>
        <v>0</v>
      </c>
      <c r="AK50" s="125">
        <f t="shared" si="11"/>
        <v>0.33188881215168758</v>
      </c>
      <c r="AL50" s="117"/>
      <c r="AM50" s="126"/>
      <c r="AN50" s="126"/>
      <c r="AO50" s="126"/>
      <c r="AP50" s="117"/>
      <c r="AQ50" s="126"/>
      <c r="AR50" s="126"/>
      <c r="AS50" s="127"/>
    </row>
    <row r="51" spans="1:45" s="63" customFormat="1" ht="165">
      <c r="A51" s="139" t="s">
        <v>523</v>
      </c>
      <c r="B51" s="140" t="s">
        <v>524</v>
      </c>
      <c r="C51" s="141" t="s">
        <v>467</v>
      </c>
      <c r="D51" s="141" t="s">
        <v>475</v>
      </c>
      <c r="E51" s="141"/>
      <c r="F51" s="117">
        <f>SUM(F52:F53)</f>
        <v>9489093</v>
      </c>
      <c r="G51" s="117"/>
      <c r="H51" s="117">
        <f>SUM(H52:H53)</f>
        <v>9489093</v>
      </c>
      <c r="I51" s="117"/>
      <c r="J51" s="117">
        <f>SUM(J52:J53)</f>
        <v>9489093</v>
      </c>
      <c r="K51" s="107" t="s">
        <v>469</v>
      </c>
      <c r="L51" s="117">
        <f>SUM(L52:L53)</f>
        <v>0</v>
      </c>
      <c r="M51" s="117">
        <f>SUM(M52:M53)</f>
        <v>0</v>
      </c>
      <c r="N51" s="118">
        <f t="shared" si="0"/>
        <v>9489093</v>
      </c>
      <c r="O51" s="142">
        <f>SUM(O52:O53)</f>
        <v>7349301.3899999997</v>
      </c>
      <c r="P51" s="143">
        <f>SUM(P52:P53)</f>
        <v>9261568.4299999997</v>
      </c>
      <c r="Q51" s="130">
        <f t="shared" si="21"/>
        <v>0.97602251658825556</v>
      </c>
      <c r="R51" s="130">
        <v>0.97602251658825556</v>
      </c>
      <c r="S51" s="130">
        <f t="shared" si="13"/>
        <v>0</v>
      </c>
      <c r="T51" s="130">
        <f t="shared" si="3"/>
        <v>0.97602251658825556</v>
      </c>
      <c r="U51" s="144">
        <f>SUM(U52:U53)</f>
        <v>9261568.4299999997</v>
      </c>
      <c r="V51" s="130">
        <f t="shared" si="22"/>
        <v>0.97602251658825556</v>
      </c>
      <c r="W51" s="130">
        <v>0.97602251658825556</v>
      </c>
      <c r="X51" s="130">
        <f t="shared" si="5"/>
        <v>0</v>
      </c>
      <c r="Y51" s="130">
        <f t="shared" si="6"/>
        <v>0.97602251658825556</v>
      </c>
      <c r="Z51" s="144">
        <f>SUM(Z52:Z53)</f>
        <v>4479184.78</v>
      </c>
      <c r="AA51" s="144">
        <f>SUM(AA52:AA53)</f>
        <v>0</v>
      </c>
      <c r="AB51" s="144">
        <f>SUM(AB52:AB53)</f>
        <v>1512925.05</v>
      </c>
      <c r="AC51" s="144">
        <f>SUM(AC52:AC53)</f>
        <v>626103.18999999994</v>
      </c>
      <c r="AD51" s="144">
        <f>SUM(AD52:AD53)</f>
        <v>11362.99</v>
      </c>
      <c r="AE51" s="145">
        <f t="shared" si="7"/>
        <v>5980746.8399999999</v>
      </c>
      <c r="AF51" s="146">
        <f t="shared" si="20"/>
        <v>5105287.9700000007</v>
      </c>
      <c r="AG51" s="283">
        <f>SUM(AG52:AG53)</f>
        <v>5992109.8300000001</v>
      </c>
      <c r="AH51" s="120">
        <f t="shared" si="23"/>
        <v>0.63147340109323413</v>
      </c>
      <c r="AI51" s="120">
        <v>0.61150228794258843</v>
      </c>
      <c r="AJ51" s="120">
        <f t="shared" si="10"/>
        <v>1.9971113150645703E-2</v>
      </c>
      <c r="AK51" s="125">
        <f t="shared" si="11"/>
        <v>0.63147340109323413</v>
      </c>
      <c r="AL51" s="117"/>
      <c r="AM51" s="126"/>
      <c r="AN51" s="126"/>
      <c r="AO51" s="126"/>
      <c r="AP51" s="117"/>
      <c r="AQ51" s="126"/>
      <c r="AR51" s="126"/>
      <c r="AS51" s="127"/>
    </row>
    <row r="52" spans="1:45" ht="214.5">
      <c r="A52" s="114" t="s">
        <v>65</v>
      </c>
      <c r="B52" s="115" t="s">
        <v>525</v>
      </c>
      <c r="C52" s="116" t="s">
        <v>467</v>
      </c>
      <c r="D52" s="116" t="s">
        <v>475</v>
      </c>
      <c r="E52" s="116"/>
      <c r="F52" s="117">
        <v>3584300</v>
      </c>
      <c r="G52" s="117"/>
      <c r="H52" s="117">
        <v>3584300</v>
      </c>
      <c r="I52" s="117"/>
      <c r="J52" s="117">
        <v>3584300</v>
      </c>
      <c r="K52" s="107" t="s">
        <v>469</v>
      </c>
      <c r="L52" s="117">
        <v>0</v>
      </c>
      <c r="M52" s="117"/>
      <c r="N52" s="118">
        <f t="shared" si="0"/>
        <v>3584300</v>
      </c>
      <c r="O52" s="119">
        <v>2262873</v>
      </c>
      <c r="P52" s="135">
        <v>3584300</v>
      </c>
      <c r="Q52" s="130">
        <f t="shared" si="21"/>
        <v>1</v>
      </c>
      <c r="R52" s="131">
        <v>1</v>
      </c>
      <c r="S52" s="130">
        <f t="shared" si="13"/>
        <v>0</v>
      </c>
      <c r="T52" s="130">
        <f t="shared" si="3"/>
        <v>1</v>
      </c>
      <c r="U52" s="134">
        <v>3584300</v>
      </c>
      <c r="V52" s="130">
        <f t="shared" si="22"/>
        <v>1</v>
      </c>
      <c r="W52" s="131">
        <v>1</v>
      </c>
      <c r="X52" s="130">
        <f t="shared" si="5"/>
        <v>0</v>
      </c>
      <c r="Y52" s="130">
        <f t="shared" si="6"/>
        <v>1</v>
      </c>
      <c r="Z52" s="134">
        <v>1293764.8</v>
      </c>
      <c r="AA52" s="134">
        <v>0</v>
      </c>
      <c r="AB52" s="134">
        <v>110704</v>
      </c>
      <c r="AC52" s="134">
        <v>0</v>
      </c>
      <c r="AD52" s="134">
        <v>0</v>
      </c>
      <c r="AE52" s="122">
        <f t="shared" si="7"/>
        <v>1404468.8</v>
      </c>
      <c r="AF52" s="124">
        <f t="shared" si="20"/>
        <v>1293764.8</v>
      </c>
      <c r="AG52" s="282">
        <f>SUM(Z52:AB52)</f>
        <v>1404468.8</v>
      </c>
      <c r="AH52" s="120">
        <f t="shared" si="23"/>
        <v>0.3918390759702034</v>
      </c>
      <c r="AI52" s="120">
        <v>0.34327912842117009</v>
      </c>
      <c r="AJ52" s="120">
        <f t="shared" si="10"/>
        <v>4.8559947549033311E-2</v>
      </c>
      <c r="AK52" s="125">
        <f t="shared" si="11"/>
        <v>0.3918390759702034</v>
      </c>
      <c r="AL52" s="117"/>
      <c r="AM52" s="126"/>
      <c r="AN52" s="126"/>
      <c r="AO52" s="126"/>
      <c r="AP52" s="117"/>
      <c r="AQ52" s="126"/>
      <c r="AR52" s="126"/>
      <c r="AS52" s="127"/>
    </row>
    <row r="53" spans="1:45" ht="181.5">
      <c r="A53" s="114" t="s">
        <v>66</v>
      </c>
      <c r="B53" s="115" t="s">
        <v>526</v>
      </c>
      <c r="C53" s="116" t="s">
        <v>467</v>
      </c>
      <c r="D53" s="116" t="s">
        <v>527</v>
      </c>
      <c r="E53" s="116"/>
      <c r="F53" s="117">
        <v>5904793</v>
      </c>
      <c r="G53" s="117"/>
      <c r="H53" s="117">
        <f>F53</f>
        <v>5904793</v>
      </c>
      <c r="I53" s="117"/>
      <c r="J53" s="117">
        <f>F53</f>
        <v>5904793</v>
      </c>
      <c r="K53" s="107" t="s">
        <v>469</v>
      </c>
      <c r="L53" s="117">
        <v>0</v>
      </c>
      <c r="M53" s="117"/>
      <c r="N53" s="118">
        <f t="shared" si="0"/>
        <v>5904793</v>
      </c>
      <c r="O53" s="119">
        <v>5086428.3899999997</v>
      </c>
      <c r="P53" s="153">
        <v>5677268.4299999997</v>
      </c>
      <c r="Q53" s="130">
        <f t="shared" si="21"/>
        <v>0.96146781606061371</v>
      </c>
      <c r="R53" s="131">
        <v>0.96146781606061371</v>
      </c>
      <c r="S53" s="130">
        <f t="shared" si="13"/>
        <v>0</v>
      </c>
      <c r="T53" s="130">
        <f t="shared" si="3"/>
        <v>0.96146781606061371</v>
      </c>
      <c r="U53" s="153">
        <v>5677268.4299999997</v>
      </c>
      <c r="V53" s="130">
        <f t="shared" si="22"/>
        <v>0.96146781606061371</v>
      </c>
      <c r="W53" s="131">
        <v>0.96146781606061371</v>
      </c>
      <c r="X53" s="130">
        <f t="shared" si="5"/>
        <v>0</v>
      </c>
      <c r="Y53" s="130">
        <f t="shared" si="6"/>
        <v>0.96146781606061371</v>
      </c>
      <c r="Z53" s="132">
        <v>3185419.98</v>
      </c>
      <c r="AA53" s="136">
        <v>0</v>
      </c>
      <c r="AB53" s="134">
        <v>1402221.05</v>
      </c>
      <c r="AC53" s="132">
        <v>626103.18999999994</v>
      </c>
      <c r="AD53" s="134">
        <v>11362.99</v>
      </c>
      <c r="AE53" s="122">
        <f t="shared" si="7"/>
        <v>4576278.04</v>
      </c>
      <c r="AF53" s="124">
        <f t="shared" si="20"/>
        <v>3811523.17</v>
      </c>
      <c r="AG53" s="282">
        <f>SUM(Z53:AB53)</f>
        <v>4587641.03</v>
      </c>
      <c r="AH53" s="120">
        <f t="shared" si="23"/>
        <v>0.77693511525298187</v>
      </c>
      <c r="AI53" s="120">
        <v>0.77431786347125131</v>
      </c>
      <c r="AJ53" s="120">
        <f t="shared" si="10"/>
        <v>2.6172517817305563E-3</v>
      </c>
      <c r="AK53" s="125">
        <f t="shared" si="11"/>
        <v>0.77693511525298187</v>
      </c>
      <c r="AL53" s="117"/>
      <c r="AM53" s="126"/>
      <c r="AN53" s="126"/>
      <c r="AO53" s="126"/>
      <c r="AP53" s="117"/>
      <c r="AQ53" s="126"/>
      <c r="AR53" s="126"/>
      <c r="AS53" s="127"/>
    </row>
    <row r="54" spans="1:45" s="63" customFormat="1" ht="82.5">
      <c r="A54" s="104" t="s">
        <v>528</v>
      </c>
      <c r="B54" s="105" t="s">
        <v>529</v>
      </c>
      <c r="C54" s="106" t="s">
        <v>467</v>
      </c>
      <c r="D54" s="106"/>
      <c r="E54" s="106"/>
      <c r="F54" s="107">
        <f>F55+F72</f>
        <v>175190083.48281199</v>
      </c>
      <c r="G54" s="107"/>
      <c r="H54" s="107">
        <f>H55+H72</f>
        <v>175190083.48281199</v>
      </c>
      <c r="I54" s="107">
        <f>I55</f>
        <v>0</v>
      </c>
      <c r="J54" s="107">
        <f>J55+J72</f>
        <v>175190083.48281199</v>
      </c>
      <c r="K54" s="107" t="s">
        <v>469</v>
      </c>
      <c r="L54" s="107">
        <f>L55+L72</f>
        <v>26978867.81377</v>
      </c>
      <c r="M54" s="107">
        <f>M55+M72</f>
        <v>23157968.668533184</v>
      </c>
      <c r="N54" s="86">
        <f t="shared" si="0"/>
        <v>198348052.15134516</v>
      </c>
      <c r="O54" s="108">
        <f>O55+O72</f>
        <v>172291056.61000013</v>
      </c>
      <c r="P54" s="137">
        <f>P55+P72</f>
        <v>192938937.07000002</v>
      </c>
      <c r="Q54" s="138">
        <f t="shared" si="21"/>
        <v>1.1013119763078907</v>
      </c>
      <c r="R54" s="138">
        <v>1.0931284926226359</v>
      </c>
      <c r="S54" s="138">
        <f t="shared" si="13"/>
        <v>8.1834836852547888E-3</v>
      </c>
      <c r="T54" s="138">
        <f t="shared" si="3"/>
        <v>0.97272917468724207</v>
      </c>
      <c r="U54" s="137">
        <f>U55+U72</f>
        <v>192938937.07000002</v>
      </c>
      <c r="V54" s="138">
        <f t="shared" si="22"/>
        <v>1.1013119763078907</v>
      </c>
      <c r="W54" s="138">
        <v>1.0931284926226359</v>
      </c>
      <c r="X54" s="138">
        <f t="shared" si="5"/>
        <v>8.1834836852547888E-3</v>
      </c>
      <c r="Y54" s="138">
        <f t="shared" si="6"/>
        <v>0.97272917468724207</v>
      </c>
      <c r="Z54" s="137">
        <f>Z55+Z72</f>
        <v>137811962.41</v>
      </c>
      <c r="AA54" s="137">
        <f>AA55+AA72</f>
        <v>0</v>
      </c>
      <c r="AB54" s="137">
        <f>AB55+AB72</f>
        <v>1349615.73</v>
      </c>
      <c r="AC54" s="137">
        <f>AC55+AC72</f>
        <v>792650.17000000342</v>
      </c>
      <c r="AD54" s="137">
        <f>AD55+AD72</f>
        <v>17566.93</v>
      </c>
      <c r="AE54" s="145">
        <f t="shared" si="7"/>
        <v>139144011.20999998</v>
      </c>
      <c r="AF54" s="109">
        <f t="shared" si="20"/>
        <v>138604612.58000001</v>
      </c>
      <c r="AG54" s="279">
        <f>AG55+AG72</f>
        <v>139161578.13999999</v>
      </c>
      <c r="AH54" s="110">
        <f t="shared" si="23"/>
        <v>0.79434620598062111</v>
      </c>
      <c r="AI54" s="110">
        <v>0.7779133901341555</v>
      </c>
      <c r="AJ54" s="110">
        <f t="shared" si="10"/>
        <v>1.6432815846465609E-2</v>
      </c>
      <c r="AK54" s="89">
        <f t="shared" si="11"/>
        <v>0.70160294810364854</v>
      </c>
      <c r="AL54" s="107"/>
      <c r="AM54" s="112"/>
      <c r="AN54" s="112"/>
      <c r="AO54" s="112"/>
      <c r="AP54" s="107"/>
      <c r="AQ54" s="112"/>
      <c r="AR54" s="112"/>
      <c r="AS54" s="113"/>
    </row>
    <row r="55" spans="1:45" s="63" customFormat="1" ht="33">
      <c r="A55" s="104" t="s">
        <v>530</v>
      </c>
      <c r="B55" s="105" t="s">
        <v>531</v>
      </c>
      <c r="C55" s="106" t="s">
        <v>467</v>
      </c>
      <c r="D55" s="106"/>
      <c r="E55" s="106"/>
      <c r="F55" s="107">
        <f>F56+F62+F63+F66+F67+F68+F69+F70+F71</f>
        <v>166469737.48281199</v>
      </c>
      <c r="G55" s="107"/>
      <c r="H55" s="107">
        <f>H56+H62+H63+H66+H67+H68+H69+H70+H71</f>
        <v>166469737.48281199</v>
      </c>
      <c r="I55" s="107">
        <f>I67</f>
        <v>0</v>
      </c>
      <c r="J55" s="107">
        <f>J56+J62+J63+J66+J67+J68+J69+J70+J71</f>
        <v>166469737.48281199</v>
      </c>
      <c r="K55" s="107" t="s">
        <v>469</v>
      </c>
      <c r="L55" s="107">
        <f>L56+L62+L63+L66+L67+L68+L69+L70+L71</f>
        <v>25778867.81377</v>
      </c>
      <c r="M55" s="107">
        <f>M56+M62+M63+M66+M67+M68+M69+M70+M71</f>
        <v>22121768.668533184</v>
      </c>
      <c r="N55" s="86">
        <f t="shared" si="0"/>
        <v>188591506.15134516</v>
      </c>
      <c r="O55" s="108">
        <f>O56+O62+O63+O66+O67+O68+O69+O70+O71</f>
        <v>163393264.70000014</v>
      </c>
      <c r="P55" s="137">
        <f>P56+P62+P63+P66+P67+P68+P69+P70+P71</f>
        <v>183195773.92000002</v>
      </c>
      <c r="Q55" s="138">
        <f t="shared" si="21"/>
        <v>1.1004749373075391</v>
      </c>
      <c r="R55" s="138">
        <v>1.0980376149681443</v>
      </c>
      <c r="S55" s="138">
        <f t="shared" si="13"/>
        <v>2.4373223393947541E-3</v>
      </c>
      <c r="T55" s="138">
        <f t="shared" si="3"/>
        <v>0.97138931470744472</v>
      </c>
      <c r="U55" s="137">
        <f>U56+U62+U63+U66+U67+U68+U69+U70+U71</f>
        <v>183195773.92000002</v>
      </c>
      <c r="V55" s="138">
        <f t="shared" si="22"/>
        <v>1.1004749373075391</v>
      </c>
      <c r="W55" s="138">
        <v>1.0980376149681443</v>
      </c>
      <c r="X55" s="138">
        <f t="shared" si="5"/>
        <v>2.4373223393947541E-3</v>
      </c>
      <c r="Y55" s="138">
        <f t="shared" si="6"/>
        <v>0.97138931470744472</v>
      </c>
      <c r="Z55" s="137">
        <f>Z56+Z62+Z63+Z66+Z67+Z68+Z69+Z70+Z71</f>
        <v>131262318.77999999</v>
      </c>
      <c r="AA55" s="137">
        <f>AA56+AA62+AA63+AA66+AA67+AA68+AA69+AA70+AA71</f>
        <v>0</v>
      </c>
      <c r="AB55" s="137">
        <f>AB56+AB62+AB63+AB66+AB67+AB68+AB69+AB70+AB71</f>
        <v>1349615.73</v>
      </c>
      <c r="AC55" s="137">
        <f>AC56+AC62+AC63+AC66+AC67+AC68+AC69+AC70+AC71</f>
        <v>792650.17000000342</v>
      </c>
      <c r="AD55" s="137">
        <f>AD56+AD62+AD63+AD66+AD67+AD68+AD69+AD70+AD71</f>
        <v>17566.93</v>
      </c>
      <c r="AE55" s="109">
        <f t="shared" si="7"/>
        <v>132594367.57999998</v>
      </c>
      <c r="AF55" s="109">
        <f t="shared" si="20"/>
        <v>132054968.94999999</v>
      </c>
      <c r="AG55" s="279">
        <f>AG56+AG62+AG63+AG66+AG67+AG68+AG69+AG70+AG71</f>
        <v>132611934.50999999</v>
      </c>
      <c r="AH55" s="110">
        <f t="shared" si="23"/>
        <v>0.79661286498810147</v>
      </c>
      <c r="AI55" s="110">
        <v>0.7793192329830817</v>
      </c>
      <c r="AJ55" s="110">
        <f t="shared" si="10"/>
        <v>1.7293632005019766E-2</v>
      </c>
      <c r="AK55" s="89">
        <f t="shared" si="11"/>
        <v>0.70317023929793832</v>
      </c>
      <c r="AL55" s="107"/>
      <c r="AM55" s="112"/>
      <c r="AN55" s="112"/>
      <c r="AO55" s="112"/>
      <c r="AP55" s="107"/>
      <c r="AQ55" s="112"/>
      <c r="AR55" s="112"/>
      <c r="AS55" s="113"/>
    </row>
    <row r="56" spans="1:45" s="63" customFormat="1" ht="165">
      <c r="A56" s="139" t="s">
        <v>532</v>
      </c>
      <c r="B56" s="140" t="s">
        <v>533</v>
      </c>
      <c r="C56" s="141" t="s">
        <v>467</v>
      </c>
      <c r="D56" s="141"/>
      <c r="E56" s="141"/>
      <c r="F56" s="117">
        <f>SUM(F57:F61)</f>
        <v>96472054.197804004</v>
      </c>
      <c r="G56" s="117"/>
      <c r="H56" s="117">
        <f>SUM(H57:H61)</f>
        <v>96472054.197804004</v>
      </c>
      <c r="I56" s="117"/>
      <c r="J56" s="117">
        <f>SUM(J57:J61)</f>
        <v>96472054.197804004</v>
      </c>
      <c r="K56" s="107" t="s">
        <v>469</v>
      </c>
      <c r="L56" s="117">
        <f>SUM(L57:L61)</f>
        <v>10071088.81377</v>
      </c>
      <c r="M56" s="117">
        <f>SUM(M57:M61)</f>
        <v>9479029.6685331855</v>
      </c>
      <c r="N56" s="118">
        <f t="shared" si="0"/>
        <v>105951083.8663372</v>
      </c>
      <c r="O56" s="142">
        <f>SUM(O57:O60)</f>
        <v>74989216.65000011</v>
      </c>
      <c r="P56" s="147">
        <f>SUM(P57:P61)</f>
        <v>99452726.25999999</v>
      </c>
      <c r="Q56" s="130">
        <f t="shared" si="21"/>
        <v>1.0308967408953944</v>
      </c>
      <c r="R56" s="130">
        <v>1.0266639749053312</v>
      </c>
      <c r="S56" s="130">
        <f t="shared" si="13"/>
        <v>4.2327659900631698E-3</v>
      </c>
      <c r="T56" s="130">
        <f t="shared" si="3"/>
        <v>0.93866643578148556</v>
      </c>
      <c r="U56" s="143">
        <f>SUM(U57:U61)</f>
        <v>99452726.25999999</v>
      </c>
      <c r="V56" s="130">
        <f t="shared" si="22"/>
        <v>1.0308967408953944</v>
      </c>
      <c r="W56" s="130">
        <v>1.0266639749053312</v>
      </c>
      <c r="X56" s="130">
        <f t="shared" si="5"/>
        <v>4.2327659900631698E-3</v>
      </c>
      <c r="Y56" s="130">
        <f t="shared" si="6"/>
        <v>0.93866643578148556</v>
      </c>
      <c r="Z56" s="144">
        <f>SUM(Z57:Z60)</f>
        <v>64807020.829999998</v>
      </c>
      <c r="AA56" s="144">
        <f>SUM(AA57:AA60)</f>
        <v>0</v>
      </c>
      <c r="AB56" s="144">
        <f>SUM(AB57:AB60)</f>
        <v>168158.4</v>
      </c>
      <c r="AC56" s="144">
        <f>SUM(AC57:AC60)</f>
        <v>109489.8199999994</v>
      </c>
      <c r="AD56" s="144">
        <f>SUM(AD57:AD60)</f>
        <v>378.62</v>
      </c>
      <c r="AE56" s="145">
        <f t="shared" si="7"/>
        <v>64974800.610000007</v>
      </c>
      <c r="AF56" s="154">
        <f>SUM(AF57:AF60)</f>
        <v>64916510.649999991</v>
      </c>
      <c r="AG56" s="283">
        <f>SUM(AG57:AG60)</f>
        <v>64975179.230000004</v>
      </c>
      <c r="AH56" s="120">
        <f t="shared" si="23"/>
        <v>0.67351296466411348</v>
      </c>
      <c r="AI56" s="120">
        <v>0.6669487976080084</v>
      </c>
      <c r="AJ56" s="120">
        <f t="shared" si="10"/>
        <v>6.5641670561050747E-3</v>
      </c>
      <c r="AK56" s="125">
        <f t="shared" si="11"/>
        <v>0.61325639020332789</v>
      </c>
      <c r="AL56" s="117"/>
      <c r="AM56" s="126"/>
      <c r="AN56" s="126"/>
      <c r="AO56" s="126"/>
      <c r="AP56" s="117"/>
      <c r="AQ56" s="126"/>
      <c r="AR56" s="126"/>
      <c r="AS56" s="127"/>
    </row>
    <row r="57" spans="1:45" ht="115.5">
      <c r="A57" s="114" t="s">
        <v>33</v>
      </c>
      <c r="B57" s="115" t="s">
        <v>534</v>
      </c>
      <c r="C57" s="116" t="s">
        <v>467</v>
      </c>
      <c r="D57" s="116" t="s">
        <v>535</v>
      </c>
      <c r="E57" s="116"/>
      <c r="F57" s="117">
        <v>18120843.920952</v>
      </c>
      <c r="G57" s="117"/>
      <c r="H57" s="117">
        <v>18120843.920952</v>
      </c>
      <c r="I57" s="117"/>
      <c r="J57" s="117">
        <v>18120843.920952</v>
      </c>
      <c r="K57" s="107" t="s">
        <v>469</v>
      </c>
      <c r="L57" s="117">
        <v>2500000</v>
      </c>
      <c r="M57" s="117">
        <v>2500000</v>
      </c>
      <c r="N57" s="118">
        <f t="shared" si="0"/>
        <v>20620843.920952</v>
      </c>
      <c r="O57" s="119">
        <v>8287516.4299999997</v>
      </c>
      <c r="P57" s="153">
        <v>17438129.969999999</v>
      </c>
      <c r="Q57" s="130">
        <f t="shared" si="21"/>
        <v>0.96232438434268386</v>
      </c>
      <c r="R57" s="131">
        <v>0.9347318504529194</v>
      </c>
      <c r="S57" s="130">
        <f t="shared" si="13"/>
        <v>2.7592533889764459E-2</v>
      </c>
      <c r="T57" s="130">
        <f t="shared" si="3"/>
        <v>0.84565549484043301</v>
      </c>
      <c r="U57" s="153">
        <v>17438129.969999999</v>
      </c>
      <c r="V57" s="130">
        <f t="shared" si="22"/>
        <v>0.96232438434268386</v>
      </c>
      <c r="W57" s="131">
        <v>0.9347318504529194</v>
      </c>
      <c r="X57" s="130">
        <f t="shared" si="5"/>
        <v>2.7592533889764459E-2</v>
      </c>
      <c r="Y57" s="130">
        <f t="shared" si="6"/>
        <v>0.84565549484043301</v>
      </c>
      <c r="Z57" s="132">
        <v>7189068.3700000001</v>
      </c>
      <c r="AA57" s="136">
        <v>0</v>
      </c>
      <c r="AB57" s="134">
        <v>168158.4</v>
      </c>
      <c r="AC57" s="134">
        <v>19651.46</v>
      </c>
      <c r="AD57" s="134">
        <v>96.1</v>
      </c>
      <c r="AE57" s="122">
        <f t="shared" si="7"/>
        <v>7357130.6700000009</v>
      </c>
      <c r="AF57" s="124">
        <f>Z57+AA57+AC57</f>
        <v>7208719.8300000001</v>
      </c>
      <c r="AG57" s="282">
        <f>SUM(Z57:AB57)</f>
        <v>7357226.7700000005</v>
      </c>
      <c r="AH57" s="120">
        <f t="shared" si="23"/>
        <v>0.40600905797181436</v>
      </c>
      <c r="AI57" s="120">
        <v>0.39666169916563015</v>
      </c>
      <c r="AJ57" s="120">
        <f t="shared" si="10"/>
        <v>9.3473588061842028E-3</v>
      </c>
      <c r="AK57" s="125">
        <f t="shared" si="11"/>
        <v>0.35678592002360399</v>
      </c>
      <c r="AL57" s="117"/>
      <c r="AM57" s="126"/>
      <c r="AN57" s="126"/>
      <c r="AO57" s="126"/>
      <c r="AP57" s="117"/>
      <c r="AQ57" s="126"/>
      <c r="AR57" s="126"/>
      <c r="AS57" s="127"/>
    </row>
    <row r="58" spans="1:45" ht="66">
      <c r="A58" s="114" t="s">
        <v>536</v>
      </c>
      <c r="B58" s="115" t="s">
        <v>537</v>
      </c>
      <c r="C58" s="116" t="s">
        <v>467</v>
      </c>
      <c r="D58" s="116" t="s">
        <v>512</v>
      </c>
      <c r="E58" s="116"/>
      <c r="F58" s="117">
        <f>99432869*0.702804</f>
        <v>69881818.064676002</v>
      </c>
      <c r="G58" s="117"/>
      <c r="H58" s="117">
        <f>99432869*0.702804</f>
        <v>69881818.064676002</v>
      </c>
      <c r="I58" s="117"/>
      <c r="J58" s="117">
        <f>H58</f>
        <v>69881818.064676002</v>
      </c>
      <c r="K58" s="107" t="s">
        <v>469</v>
      </c>
      <c r="L58" s="117">
        <v>7571088.8137699999</v>
      </c>
      <c r="M58" s="117">
        <f>L58*0.9218</f>
        <v>6979029.6685331855</v>
      </c>
      <c r="N58" s="118">
        <f t="shared" si="0"/>
        <v>76860847.733209193</v>
      </c>
      <c r="O58" s="119">
        <v>60613901.980000101</v>
      </c>
      <c r="P58" s="147">
        <v>76860742.359999999</v>
      </c>
      <c r="Q58" s="130">
        <f t="shared" si="21"/>
        <v>1.0998675261834912</v>
      </c>
      <c r="R58" s="131">
        <v>1.1011791172745411</v>
      </c>
      <c r="S58" s="130">
        <f t="shared" si="13"/>
        <v>-1.3115910910499462E-3</v>
      </c>
      <c r="T58" s="130">
        <f t="shared" si="3"/>
        <v>0.99999862903920134</v>
      </c>
      <c r="U58" s="147">
        <v>76860742.359999999</v>
      </c>
      <c r="V58" s="130">
        <f t="shared" si="22"/>
        <v>1.0998675261834912</v>
      </c>
      <c r="W58" s="131">
        <v>1.1011791172745411</v>
      </c>
      <c r="X58" s="130">
        <f t="shared" si="5"/>
        <v>-1.3115910910499462E-3</v>
      </c>
      <c r="Y58" s="130">
        <f t="shared" si="6"/>
        <v>0.99999862903920134</v>
      </c>
      <c r="Z58" s="132">
        <v>52554937.339999996</v>
      </c>
      <c r="AA58" s="136">
        <v>0</v>
      </c>
      <c r="AB58" s="136">
        <v>0</v>
      </c>
      <c r="AC58" s="136">
        <v>89838.359999999404</v>
      </c>
      <c r="AD58" s="136">
        <v>36.119999999999997</v>
      </c>
      <c r="AE58" s="122">
        <f t="shared" si="7"/>
        <v>52554901.219999999</v>
      </c>
      <c r="AF58" s="124">
        <f>Z58+AA58+AC58</f>
        <v>52644775.699999996</v>
      </c>
      <c r="AG58" s="282">
        <f>SUM(Z58:AB58)</f>
        <v>52554937.339999996</v>
      </c>
      <c r="AH58" s="120">
        <f t="shared" si="23"/>
        <v>0.75205452284255281</v>
      </c>
      <c r="AI58" s="120">
        <v>0.74541650650516045</v>
      </c>
      <c r="AJ58" s="120">
        <f t="shared" si="10"/>
        <v>6.6380163373923606E-3</v>
      </c>
      <c r="AK58" s="125">
        <f t="shared" si="11"/>
        <v>0.68376733915845989</v>
      </c>
      <c r="AL58" s="117"/>
      <c r="AM58" s="126"/>
      <c r="AN58" s="126"/>
      <c r="AO58" s="126"/>
      <c r="AP58" s="117"/>
      <c r="AQ58" s="126"/>
      <c r="AR58" s="126"/>
      <c r="AS58" s="127"/>
    </row>
    <row r="59" spans="1:45" ht="181.5">
      <c r="A59" s="114" t="s">
        <v>34</v>
      </c>
      <c r="B59" s="115" t="s">
        <v>538</v>
      </c>
      <c r="C59" s="116" t="s">
        <v>467</v>
      </c>
      <c r="D59" s="116" t="s">
        <v>535</v>
      </c>
      <c r="E59" s="116"/>
      <c r="F59" s="117">
        <v>2398644.7510560001</v>
      </c>
      <c r="G59" s="117"/>
      <c r="H59" s="117">
        <v>2398644.7510560001</v>
      </c>
      <c r="I59" s="117"/>
      <c r="J59" s="117">
        <v>2398644.7510560001</v>
      </c>
      <c r="K59" s="107" t="s">
        <v>469</v>
      </c>
      <c r="L59" s="117">
        <v>0</v>
      </c>
      <c r="M59" s="117"/>
      <c r="N59" s="118">
        <f t="shared" si="0"/>
        <v>2398644.7510560001</v>
      </c>
      <c r="O59" s="119">
        <v>1992268.84</v>
      </c>
      <c r="P59" s="153">
        <v>2083354.05</v>
      </c>
      <c r="Q59" s="130">
        <f t="shared" si="21"/>
        <v>0.86855464907123336</v>
      </c>
      <c r="R59" s="131">
        <v>0.86855464907123336</v>
      </c>
      <c r="S59" s="130">
        <f t="shared" si="13"/>
        <v>0</v>
      </c>
      <c r="T59" s="130">
        <f t="shared" si="3"/>
        <v>0.86855464907123336</v>
      </c>
      <c r="U59" s="153">
        <v>2083354.05</v>
      </c>
      <c r="V59" s="130">
        <f t="shared" si="22"/>
        <v>0.86855464907123336</v>
      </c>
      <c r="W59" s="131">
        <v>0.86855464907123336</v>
      </c>
      <c r="X59" s="130">
        <f t="shared" si="5"/>
        <v>0</v>
      </c>
      <c r="Y59" s="130">
        <f t="shared" si="6"/>
        <v>0.86855464907123336</v>
      </c>
      <c r="Z59" s="135">
        <v>1992268.8399999999</v>
      </c>
      <c r="AA59" s="136">
        <v>0</v>
      </c>
      <c r="AB59" s="136">
        <v>0</v>
      </c>
      <c r="AC59" s="136">
        <v>0</v>
      </c>
      <c r="AD59" s="136">
        <v>0</v>
      </c>
      <c r="AE59" s="122">
        <f t="shared" si="7"/>
        <v>1992268.8399999999</v>
      </c>
      <c r="AF59" s="124">
        <f>Z59+AA59+AC59</f>
        <v>1992268.8399999999</v>
      </c>
      <c r="AG59" s="282">
        <f>SUM(Z59:AB59)</f>
        <v>1992268.8399999999</v>
      </c>
      <c r="AH59" s="120">
        <f t="shared" si="23"/>
        <v>0.83058103502942904</v>
      </c>
      <c r="AI59" s="120">
        <v>0.83058103502942904</v>
      </c>
      <c r="AJ59" s="120">
        <f t="shared" si="10"/>
        <v>0</v>
      </c>
      <c r="AK59" s="125">
        <f t="shared" si="11"/>
        <v>0.83058103502942904</v>
      </c>
      <c r="AL59" s="117"/>
      <c r="AM59" s="126"/>
      <c r="AN59" s="126"/>
      <c r="AO59" s="126"/>
      <c r="AP59" s="117"/>
      <c r="AQ59" s="126"/>
      <c r="AR59" s="126"/>
      <c r="AS59" s="127"/>
    </row>
    <row r="60" spans="1:45" ht="82.5">
      <c r="A60" s="114" t="s">
        <v>539</v>
      </c>
      <c r="B60" s="115" t="s">
        <v>540</v>
      </c>
      <c r="C60" s="116" t="s">
        <v>467</v>
      </c>
      <c r="D60" s="116" t="s">
        <v>512</v>
      </c>
      <c r="E60" s="116"/>
      <c r="F60" s="117">
        <v>3070747.4611200001</v>
      </c>
      <c r="G60" s="117"/>
      <c r="H60" s="117">
        <v>3070747.4611200001</v>
      </c>
      <c r="I60" s="117"/>
      <c r="J60" s="117">
        <v>3070747.4611200001</v>
      </c>
      <c r="K60" s="107" t="s">
        <v>469</v>
      </c>
      <c r="L60" s="117">
        <v>0</v>
      </c>
      <c r="M60" s="117"/>
      <c r="N60" s="118">
        <f t="shared" si="0"/>
        <v>3070747.4611200001</v>
      </c>
      <c r="O60" s="119">
        <v>4095529.4000000102</v>
      </c>
      <c r="P60" s="135">
        <v>3070499.88</v>
      </c>
      <c r="Q60" s="130">
        <f t="shared" si="21"/>
        <v>0.99991937431419065</v>
      </c>
      <c r="R60" s="131">
        <v>0.99991937431419065</v>
      </c>
      <c r="S60" s="130">
        <f t="shared" si="13"/>
        <v>0</v>
      </c>
      <c r="T60" s="130">
        <f t="shared" si="3"/>
        <v>0.99991937431419065</v>
      </c>
      <c r="U60" s="134">
        <v>3070499.88</v>
      </c>
      <c r="V60" s="130">
        <f t="shared" si="22"/>
        <v>0.99991937431419065</v>
      </c>
      <c r="W60" s="131">
        <v>0.99991937431419065</v>
      </c>
      <c r="X60" s="130">
        <f t="shared" si="5"/>
        <v>0</v>
      </c>
      <c r="Y60" s="130">
        <f t="shared" si="6"/>
        <v>0.99991937431419065</v>
      </c>
      <c r="Z60" s="135">
        <v>3070746.28</v>
      </c>
      <c r="AA60" s="136">
        <v>0</v>
      </c>
      <c r="AB60" s="136">
        <v>0</v>
      </c>
      <c r="AC60" s="136">
        <v>0</v>
      </c>
      <c r="AD60" s="136">
        <v>246.4</v>
      </c>
      <c r="AE60" s="122">
        <f t="shared" si="7"/>
        <v>3070499.88</v>
      </c>
      <c r="AF60" s="124">
        <f>Z60+AA60+AC60</f>
        <v>3070746.28</v>
      </c>
      <c r="AG60" s="282">
        <f>SUM(Z60:AB60)</f>
        <v>3070746.28</v>
      </c>
      <c r="AH60" s="120">
        <f t="shared" si="23"/>
        <v>0.99999961536400661</v>
      </c>
      <c r="AI60" s="120">
        <v>0.99999961536400661</v>
      </c>
      <c r="AJ60" s="120">
        <f t="shared" si="10"/>
        <v>0</v>
      </c>
      <c r="AK60" s="125">
        <f t="shared" si="11"/>
        <v>0.99999961536400661</v>
      </c>
      <c r="AL60" s="117"/>
      <c r="AM60" s="126"/>
      <c r="AN60" s="126"/>
      <c r="AO60" s="126"/>
      <c r="AP60" s="117"/>
      <c r="AQ60" s="126"/>
      <c r="AR60" s="126"/>
      <c r="AS60" s="127"/>
    </row>
    <row r="61" spans="1:45" ht="49.5">
      <c r="A61" s="114" t="s">
        <v>541</v>
      </c>
      <c r="B61" s="115" t="s">
        <v>542</v>
      </c>
      <c r="C61" s="116" t="s">
        <v>467</v>
      </c>
      <c r="D61" s="116" t="s">
        <v>535</v>
      </c>
      <c r="E61" s="116"/>
      <c r="F61" s="117">
        <v>3000000</v>
      </c>
      <c r="G61" s="117"/>
      <c r="H61" s="117">
        <v>3000000</v>
      </c>
      <c r="I61" s="117"/>
      <c r="J61" s="117">
        <v>3000000</v>
      </c>
      <c r="K61" s="107" t="s">
        <v>469</v>
      </c>
      <c r="L61" s="117">
        <v>0</v>
      </c>
      <c r="M61" s="117"/>
      <c r="N61" s="118">
        <f t="shared" si="0"/>
        <v>3000000</v>
      </c>
      <c r="O61" s="119">
        <v>0</v>
      </c>
      <c r="P61" s="135">
        <v>0</v>
      </c>
      <c r="Q61" s="130">
        <f t="shared" si="21"/>
        <v>0</v>
      </c>
      <c r="R61" s="131">
        <v>0</v>
      </c>
      <c r="S61" s="130">
        <v>0</v>
      </c>
      <c r="T61" s="130">
        <f t="shared" si="3"/>
        <v>0</v>
      </c>
      <c r="U61" s="134">
        <v>0</v>
      </c>
      <c r="V61" s="130">
        <f t="shared" si="22"/>
        <v>0</v>
      </c>
      <c r="W61" s="131">
        <v>0</v>
      </c>
      <c r="X61" s="130">
        <v>0</v>
      </c>
      <c r="Y61" s="130">
        <f t="shared" si="6"/>
        <v>0</v>
      </c>
      <c r="Z61" s="135">
        <v>0</v>
      </c>
      <c r="AA61" s="136">
        <v>0</v>
      </c>
      <c r="AB61" s="136">
        <v>0</v>
      </c>
      <c r="AC61" s="136">
        <v>0</v>
      </c>
      <c r="AD61" s="136"/>
      <c r="AE61" s="122"/>
      <c r="AF61" s="124">
        <v>0</v>
      </c>
      <c r="AG61" s="282">
        <v>0</v>
      </c>
      <c r="AH61" s="120">
        <v>0</v>
      </c>
      <c r="AI61" s="120">
        <v>0</v>
      </c>
      <c r="AJ61" s="120">
        <v>0</v>
      </c>
      <c r="AK61" s="125">
        <f t="shared" si="11"/>
        <v>0</v>
      </c>
      <c r="AL61" s="117"/>
      <c r="AM61" s="126"/>
      <c r="AN61" s="126"/>
      <c r="AO61" s="126"/>
      <c r="AP61" s="117"/>
      <c r="AQ61" s="126"/>
      <c r="AR61" s="126"/>
      <c r="AS61" s="127"/>
    </row>
    <row r="62" spans="1:45" ht="99">
      <c r="A62" s="114" t="s">
        <v>35</v>
      </c>
      <c r="B62" s="115" t="s">
        <v>543</v>
      </c>
      <c r="C62" s="116" t="s">
        <v>467</v>
      </c>
      <c r="D62" s="116" t="s">
        <v>535</v>
      </c>
      <c r="E62" s="116"/>
      <c r="F62" s="117">
        <v>12167953</v>
      </c>
      <c r="G62" s="117"/>
      <c r="H62" s="117">
        <v>12167953</v>
      </c>
      <c r="I62" s="117"/>
      <c r="J62" s="117">
        <v>12167953</v>
      </c>
      <c r="K62" s="107" t="s">
        <v>469</v>
      </c>
      <c r="L62" s="117">
        <v>0</v>
      </c>
      <c r="M62" s="117"/>
      <c r="N62" s="118">
        <f t="shared" si="0"/>
        <v>12167953</v>
      </c>
      <c r="O62" s="119">
        <v>14315238</v>
      </c>
      <c r="P62" s="135">
        <v>12167953</v>
      </c>
      <c r="Q62" s="130">
        <f t="shared" si="21"/>
        <v>1</v>
      </c>
      <c r="R62" s="131">
        <v>1</v>
      </c>
      <c r="S62" s="130">
        <f t="shared" ref="S62:S125" si="24">Q62-R62</f>
        <v>0</v>
      </c>
      <c r="T62" s="130">
        <f t="shared" si="3"/>
        <v>1</v>
      </c>
      <c r="U62" s="134">
        <v>12167953</v>
      </c>
      <c r="V62" s="130">
        <f t="shared" si="22"/>
        <v>1</v>
      </c>
      <c r="W62" s="131">
        <v>1</v>
      </c>
      <c r="X62" s="130">
        <f t="shared" ref="X62:X125" si="25">V62-W62</f>
        <v>0</v>
      </c>
      <c r="Y62" s="130">
        <f t="shared" si="6"/>
        <v>1</v>
      </c>
      <c r="Z62" s="135">
        <v>12167953</v>
      </c>
      <c r="AA62" s="136">
        <v>0</v>
      </c>
      <c r="AB62" s="136">
        <v>0</v>
      </c>
      <c r="AC62" s="136">
        <v>0</v>
      </c>
      <c r="AD62" s="136">
        <v>0</v>
      </c>
      <c r="AE62" s="122">
        <f t="shared" ref="AE62:AE122" si="26">AG62-AD62</f>
        <v>12167953</v>
      </c>
      <c r="AF62" s="124">
        <f t="shared" ref="AF62:AF122" si="27">Z62+AA62+AC62</f>
        <v>12167953</v>
      </c>
      <c r="AG62" s="282">
        <f>SUM(Z62:AB62)</f>
        <v>12167953</v>
      </c>
      <c r="AH62" s="120">
        <f t="shared" ref="AH62:AH67" si="28">AG62/J62</f>
        <v>1</v>
      </c>
      <c r="AI62" s="120">
        <v>1</v>
      </c>
      <c r="AJ62" s="120">
        <f t="shared" ref="AJ62:AJ125" si="29">AH62-AI62</f>
        <v>0</v>
      </c>
      <c r="AK62" s="125">
        <f t="shared" si="11"/>
        <v>1</v>
      </c>
      <c r="AL62" s="117"/>
      <c r="AM62" s="126"/>
      <c r="AN62" s="126"/>
      <c r="AO62" s="126"/>
      <c r="AP62" s="117"/>
      <c r="AQ62" s="126"/>
      <c r="AR62" s="126"/>
      <c r="AS62" s="127"/>
    </row>
    <row r="63" spans="1:45" s="63" customFormat="1" ht="148.5">
      <c r="A63" s="139" t="s">
        <v>544</v>
      </c>
      <c r="B63" s="140" t="s">
        <v>545</v>
      </c>
      <c r="C63" s="141" t="s">
        <v>467</v>
      </c>
      <c r="D63" s="141" t="s">
        <v>512</v>
      </c>
      <c r="E63" s="141"/>
      <c r="F63" s="117">
        <f>SUM(F64:F65)</f>
        <v>6205088.8449839996</v>
      </c>
      <c r="G63" s="117"/>
      <c r="H63" s="117">
        <f>SUM(H64:H65)</f>
        <v>6205088.8449839996</v>
      </c>
      <c r="I63" s="117"/>
      <c r="J63" s="117">
        <f>SUM(J64:J65)</f>
        <v>6205088.8449839996</v>
      </c>
      <c r="K63" s="107" t="s">
        <v>469</v>
      </c>
      <c r="L63" s="117">
        <f>SUM(L64:L65)</f>
        <v>0</v>
      </c>
      <c r="M63" s="117">
        <f>SUM(M64:M65)</f>
        <v>0</v>
      </c>
      <c r="N63" s="118">
        <f t="shared" si="0"/>
        <v>6205088.8449839996</v>
      </c>
      <c r="O63" s="142">
        <f>SUM(O64:O65)</f>
        <v>6827845.0899999999</v>
      </c>
      <c r="P63" s="143">
        <f>SUM(P64:P65)</f>
        <v>6200215.9699999997</v>
      </c>
      <c r="Q63" s="130">
        <f t="shared" si="21"/>
        <v>0.99921469698408283</v>
      </c>
      <c r="R63" s="130">
        <v>0.99921469698408283</v>
      </c>
      <c r="S63" s="130">
        <f t="shared" si="24"/>
        <v>0</v>
      </c>
      <c r="T63" s="130">
        <f t="shared" si="3"/>
        <v>0.99921469698408283</v>
      </c>
      <c r="U63" s="144">
        <f>SUM(U64:U65)</f>
        <v>6200215.9699999997</v>
      </c>
      <c r="V63" s="130">
        <f t="shared" si="22"/>
        <v>0.99921469698408283</v>
      </c>
      <c r="W63" s="130">
        <v>0.99921469698408283</v>
      </c>
      <c r="X63" s="130">
        <f t="shared" si="25"/>
        <v>0</v>
      </c>
      <c r="Y63" s="130">
        <f t="shared" si="6"/>
        <v>0.99921469698408283</v>
      </c>
      <c r="Z63" s="144">
        <f>SUM(Z64:Z65)</f>
        <v>4548356.2</v>
      </c>
      <c r="AA63" s="144">
        <f>SUM(AA64:AA65)</f>
        <v>0</v>
      </c>
      <c r="AB63" s="144">
        <f>SUM(AB64:AB65)</f>
        <v>1181457.33</v>
      </c>
      <c r="AC63" s="144">
        <f>SUM(AC64:AC65)</f>
        <v>683160.35000000405</v>
      </c>
      <c r="AD63" s="144">
        <f>SUM(AD64:AD65)</f>
        <v>16761.810000000001</v>
      </c>
      <c r="AE63" s="145">
        <f t="shared" si="26"/>
        <v>5713051.7200000007</v>
      </c>
      <c r="AF63" s="146">
        <f t="shared" si="27"/>
        <v>5231516.5500000045</v>
      </c>
      <c r="AG63" s="283">
        <f>SUM(AG64:AG65)</f>
        <v>5729813.5300000003</v>
      </c>
      <c r="AH63" s="120">
        <f t="shared" si="28"/>
        <v>0.92340555842835403</v>
      </c>
      <c r="AI63" s="120">
        <v>0.92340555842835403</v>
      </c>
      <c r="AJ63" s="120">
        <f t="shared" si="29"/>
        <v>0</v>
      </c>
      <c r="AK63" s="125">
        <f t="shared" si="11"/>
        <v>0.92340555842835403</v>
      </c>
      <c r="AL63" s="117"/>
      <c r="AM63" s="126"/>
      <c r="AN63" s="126"/>
      <c r="AO63" s="126"/>
      <c r="AP63" s="117"/>
      <c r="AQ63" s="126"/>
      <c r="AR63" s="126"/>
      <c r="AS63" s="127"/>
    </row>
    <row r="64" spans="1:45" ht="132">
      <c r="A64" s="114" t="s">
        <v>546</v>
      </c>
      <c r="B64" s="115" t="s">
        <v>547</v>
      </c>
      <c r="C64" s="116" t="s">
        <v>467</v>
      </c>
      <c r="D64" s="116" t="s">
        <v>512</v>
      </c>
      <c r="E64" s="116"/>
      <c r="F64" s="117">
        <v>519738.31688400003</v>
      </c>
      <c r="G64" s="117"/>
      <c r="H64" s="117">
        <v>519738.31688400003</v>
      </c>
      <c r="I64" s="117"/>
      <c r="J64" s="117">
        <v>519738.31688399997</v>
      </c>
      <c r="K64" s="107" t="s">
        <v>469</v>
      </c>
      <c r="L64" s="117">
        <v>0</v>
      </c>
      <c r="M64" s="117"/>
      <c r="N64" s="118">
        <f t="shared" si="0"/>
        <v>519738.31688399997</v>
      </c>
      <c r="O64" s="119">
        <v>718063</v>
      </c>
      <c r="P64" s="135">
        <v>519737.8</v>
      </c>
      <c r="Q64" s="130">
        <f t="shared" si="21"/>
        <v>0.99999900549183462</v>
      </c>
      <c r="R64" s="131">
        <v>0.99999900549183462</v>
      </c>
      <c r="S64" s="130">
        <f t="shared" si="24"/>
        <v>0</v>
      </c>
      <c r="T64" s="130">
        <f t="shared" si="3"/>
        <v>0.99999900549183462</v>
      </c>
      <c r="U64" s="134">
        <v>519737.8</v>
      </c>
      <c r="V64" s="130">
        <f t="shared" si="22"/>
        <v>0.99999900549183462</v>
      </c>
      <c r="W64" s="131">
        <v>0.99999900549183462</v>
      </c>
      <c r="X64" s="130">
        <f t="shared" si="25"/>
        <v>0</v>
      </c>
      <c r="Y64" s="130">
        <f t="shared" si="6"/>
        <v>0.99999900549183462</v>
      </c>
      <c r="Z64" s="134">
        <v>536499.61</v>
      </c>
      <c r="AA64" s="134">
        <v>0</v>
      </c>
      <c r="AB64" s="134">
        <v>0</v>
      </c>
      <c r="AC64" s="134">
        <v>0</v>
      </c>
      <c r="AD64" s="134">
        <v>16761.810000000001</v>
      </c>
      <c r="AE64" s="122">
        <f t="shared" si="26"/>
        <v>519737.8</v>
      </c>
      <c r="AF64" s="124">
        <f t="shared" si="27"/>
        <v>536499.61</v>
      </c>
      <c r="AG64" s="282">
        <f t="shared" ref="AG64:AG71" si="30">SUM(Z64:AB64)</f>
        <v>536499.61</v>
      </c>
      <c r="AH64" s="120">
        <f t="shared" si="28"/>
        <v>1.0322494851187602</v>
      </c>
      <c r="AI64" s="120">
        <v>1.0322494851187602</v>
      </c>
      <c r="AJ64" s="120">
        <f t="shared" si="29"/>
        <v>0</v>
      </c>
      <c r="AK64" s="125">
        <f>AG64/N64</f>
        <v>1.0322494851187602</v>
      </c>
      <c r="AL64" s="117"/>
      <c r="AM64" s="126"/>
      <c r="AN64" s="126"/>
      <c r="AO64" s="126"/>
      <c r="AP64" s="117"/>
      <c r="AQ64" s="126"/>
      <c r="AR64" s="126"/>
      <c r="AS64" s="127"/>
    </row>
    <row r="65" spans="1:45" ht="148.5">
      <c r="A65" s="114" t="s">
        <v>23</v>
      </c>
      <c r="B65" s="115" t="s">
        <v>548</v>
      </c>
      <c r="C65" s="116" t="s">
        <v>467</v>
      </c>
      <c r="D65" s="116" t="s">
        <v>512</v>
      </c>
      <c r="E65" s="116"/>
      <c r="F65" s="117">
        <f>8089525*0.702804</f>
        <v>5685350.5280999998</v>
      </c>
      <c r="G65" s="117"/>
      <c r="H65" s="117">
        <f>8089525*0.702804</f>
        <v>5685350.5280999998</v>
      </c>
      <c r="I65" s="117"/>
      <c r="J65" s="117">
        <f>H65</f>
        <v>5685350.5280999998</v>
      </c>
      <c r="K65" s="107" t="s">
        <v>469</v>
      </c>
      <c r="L65" s="117">
        <v>0</v>
      </c>
      <c r="M65" s="117"/>
      <c r="N65" s="118">
        <f t="shared" si="0"/>
        <v>5685350.5280999998</v>
      </c>
      <c r="O65" s="119">
        <v>6109782.0899999999</v>
      </c>
      <c r="P65" s="135">
        <v>5680478.1699999999</v>
      </c>
      <c r="Q65" s="130">
        <f t="shared" si="21"/>
        <v>0.99914299776664284</v>
      </c>
      <c r="R65" s="131">
        <v>0.99914299776664284</v>
      </c>
      <c r="S65" s="130">
        <f t="shared" si="24"/>
        <v>0</v>
      </c>
      <c r="T65" s="130">
        <f t="shared" si="3"/>
        <v>0.99914299776664284</v>
      </c>
      <c r="U65" s="134">
        <v>5680478.1699999999</v>
      </c>
      <c r="V65" s="130">
        <f t="shared" si="22"/>
        <v>0.99914299776664284</v>
      </c>
      <c r="W65" s="131">
        <v>0.99914299776664284</v>
      </c>
      <c r="X65" s="130">
        <f t="shared" si="25"/>
        <v>0</v>
      </c>
      <c r="Y65" s="130">
        <f t="shared" si="6"/>
        <v>0.99914299776664284</v>
      </c>
      <c r="Z65" s="134">
        <v>4011856.59</v>
      </c>
      <c r="AA65" s="134">
        <v>0</v>
      </c>
      <c r="AB65" s="134">
        <v>1181457.33</v>
      </c>
      <c r="AC65" s="132">
        <v>683160.35000000405</v>
      </c>
      <c r="AD65" s="134">
        <v>0</v>
      </c>
      <c r="AE65" s="122">
        <f t="shared" si="26"/>
        <v>5193313.92</v>
      </c>
      <c r="AF65" s="124">
        <f t="shared" si="27"/>
        <v>4695016.9400000041</v>
      </c>
      <c r="AG65" s="282">
        <f t="shared" si="30"/>
        <v>5193313.92</v>
      </c>
      <c r="AH65" s="120">
        <f t="shared" si="28"/>
        <v>0.91345536116584269</v>
      </c>
      <c r="AI65" s="120">
        <v>0.91345536116584269</v>
      </c>
      <c r="AJ65" s="120">
        <f t="shared" si="29"/>
        <v>0</v>
      </c>
      <c r="AK65" s="125">
        <f t="shared" si="11"/>
        <v>0.91345536116584269</v>
      </c>
      <c r="AL65" s="117"/>
      <c r="AM65" s="126"/>
      <c r="AN65" s="126"/>
      <c r="AO65" s="126"/>
      <c r="AP65" s="117"/>
      <c r="AQ65" s="126"/>
      <c r="AR65" s="126"/>
      <c r="AS65" s="127"/>
    </row>
    <row r="66" spans="1:45" ht="82.5">
      <c r="A66" s="114" t="s">
        <v>24</v>
      </c>
      <c r="B66" s="115" t="s">
        <v>549</v>
      </c>
      <c r="C66" s="116" t="s">
        <v>467</v>
      </c>
      <c r="D66" s="116" t="s">
        <v>512</v>
      </c>
      <c r="E66" s="116"/>
      <c r="F66" s="117">
        <v>1970593.5412079999</v>
      </c>
      <c r="G66" s="117"/>
      <c r="H66" s="117">
        <v>1970593.5412079999</v>
      </c>
      <c r="I66" s="117"/>
      <c r="J66" s="117">
        <v>1970593.5412079999</v>
      </c>
      <c r="K66" s="107" t="s">
        <v>469</v>
      </c>
      <c r="L66" s="117">
        <v>0</v>
      </c>
      <c r="M66" s="117"/>
      <c r="N66" s="118">
        <f t="shared" si="0"/>
        <v>1970593.5412079999</v>
      </c>
      <c r="O66" s="119">
        <v>2168172</v>
      </c>
      <c r="P66" s="135">
        <v>1966107.67</v>
      </c>
      <c r="Q66" s="130">
        <f t="shared" si="21"/>
        <v>0.99772359387453891</v>
      </c>
      <c r="R66" s="131">
        <v>0.99772359387453891</v>
      </c>
      <c r="S66" s="130">
        <f t="shared" si="24"/>
        <v>0</v>
      </c>
      <c r="T66" s="130">
        <f t="shared" si="3"/>
        <v>0.99772359387453891</v>
      </c>
      <c r="U66" s="134">
        <v>1966107.67</v>
      </c>
      <c r="V66" s="130">
        <f t="shared" si="22"/>
        <v>0.99772359387453891</v>
      </c>
      <c r="W66" s="131">
        <v>0.99772359387453891</v>
      </c>
      <c r="X66" s="130">
        <f t="shared" si="25"/>
        <v>0</v>
      </c>
      <c r="Y66" s="130">
        <f t="shared" si="6"/>
        <v>0.99772359387453891</v>
      </c>
      <c r="Z66" s="134">
        <v>1420448.56</v>
      </c>
      <c r="AA66" s="134">
        <v>0</v>
      </c>
      <c r="AB66" s="134">
        <v>0</v>
      </c>
      <c r="AC66" s="134">
        <v>0</v>
      </c>
      <c r="AD66" s="134">
        <v>0</v>
      </c>
      <c r="AE66" s="122">
        <f t="shared" si="26"/>
        <v>1420448.56</v>
      </c>
      <c r="AF66" s="124">
        <f t="shared" si="27"/>
        <v>1420448.56</v>
      </c>
      <c r="AG66" s="282">
        <f t="shared" si="30"/>
        <v>1420448.56</v>
      </c>
      <c r="AH66" s="120">
        <f t="shared" si="28"/>
        <v>0.72082270153450634</v>
      </c>
      <c r="AI66" s="120">
        <v>0.69988252329018696</v>
      </c>
      <c r="AJ66" s="120">
        <f t="shared" si="29"/>
        <v>2.0940178244319374E-2</v>
      </c>
      <c r="AK66" s="125">
        <f t="shared" si="11"/>
        <v>0.72082270153450634</v>
      </c>
      <c r="AL66" s="117"/>
      <c r="AM66" s="126"/>
      <c r="AN66" s="126"/>
      <c r="AO66" s="126"/>
      <c r="AP66" s="117"/>
      <c r="AQ66" s="126"/>
      <c r="AR66" s="126"/>
      <c r="AS66" s="127"/>
    </row>
    <row r="67" spans="1:45" ht="99">
      <c r="A67" s="114" t="s">
        <v>550</v>
      </c>
      <c r="B67" s="115" t="s">
        <v>551</v>
      </c>
      <c r="C67" s="116" t="s">
        <v>467</v>
      </c>
      <c r="D67" s="116" t="s">
        <v>512</v>
      </c>
      <c r="E67" s="116"/>
      <c r="F67" s="117">
        <v>48697755.119052</v>
      </c>
      <c r="G67" s="117"/>
      <c r="H67" s="117">
        <v>48697755.119052</v>
      </c>
      <c r="I67" s="117"/>
      <c r="J67" s="117">
        <v>48697755.119052</v>
      </c>
      <c r="K67" s="107" t="s">
        <v>469</v>
      </c>
      <c r="L67" s="117">
        <v>15707779</v>
      </c>
      <c r="M67" s="128">
        <v>12642739</v>
      </c>
      <c r="N67" s="118">
        <f t="shared" si="0"/>
        <v>61340494.119052</v>
      </c>
      <c r="O67" s="119">
        <v>64382079.689999998</v>
      </c>
      <c r="P67" s="147">
        <v>62457818.840000004</v>
      </c>
      <c r="Q67" s="130">
        <f t="shared" si="21"/>
        <v>1.282560534614144</v>
      </c>
      <c r="R67" s="131">
        <v>1.2826139912877348</v>
      </c>
      <c r="S67" s="130">
        <f t="shared" si="24"/>
        <v>-5.3456673590801529E-5</v>
      </c>
      <c r="T67" s="130">
        <f t="shared" si="3"/>
        <v>1.0182151242339108</v>
      </c>
      <c r="U67" s="147">
        <v>62457818.840000004</v>
      </c>
      <c r="V67" s="130">
        <f t="shared" si="22"/>
        <v>1.282560534614144</v>
      </c>
      <c r="W67" s="131">
        <v>1.2826139912877348</v>
      </c>
      <c r="X67" s="130">
        <f t="shared" si="25"/>
        <v>-5.3456673590801529E-5</v>
      </c>
      <c r="Y67" s="130">
        <f t="shared" si="6"/>
        <v>1.0182151242339108</v>
      </c>
      <c r="Z67" s="132">
        <v>47897455.269999996</v>
      </c>
      <c r="AA67" s="134">
        <v>0</v>
      </c>
      <c r="AB67" s="134">
        <v>0</v>
      </c>
      <c r="AC67" s="134">
        <v>0</v>
      </c>
      <c r="AD67" s="134">
        <v>426.5</v>
      </c>
      <c r="AE67" s="122">
        <f t="shared" si="26"/>
        <v>47897028.769999996</v>
      </c>
      <c r="AF67" s="124">
        <f t="shared" si="27"/>
        <v>47897455.269999996</v>
      </c>
      <c r="AG67" s="282">
        <f t="shared" si="30"/>
        <v>47897455.269999996</v>
      </c>
      <c r="AH67" s="120">
        <f t="shared" si="28"/>
        <v>0.98356598066798973</v>
      </c>
      <c r="AI67" s="120">
        <v>0.93834906369477744</v>
      </c>
      <c r="AJ67" s="120">
        <f t="shared" si="29"/>
        <v>4.5216916973212284E-2</v>
      </c>
      <c r="AK67" s="125">
        <f t="shared" si="11"/>
        <v>0.78084560546641124</v>
      </c>
      <c r="AL67" s="117"/>
      <c r="AM67" s="126"/>
      <c r="AN67" s="126"/>
      <c r="AO67" s="126"/>
      <c r="AP67" s="117"/>
      <c r="AQ67" s="126"/>
      <c r="AR67" s="126"/>
      <c r="AS67" s="127"/>
    </row>
    <row r="68" spans="1:45" ht="82.5">
      <c r="A68" s="114" t="s">
        <v>25</v>
      </c>
      <c r="B68" s="115" t="s">
        <v>552</v>
      </c>
      <c r="C68" s="116" t="s">
        <v>467</v>
      </c>
      <c r="D68" s="116" t="s">
        <v>512</v>
      </c>
      <c r="E68" s="116"/>
      <c r="F68" s="117">
        <v>0</v>
      </c>
      <c r="G68" s="117"/>
      <c r="H68" s="117">
        <v>0</v>
      </c>
      <c r="I68" s="117"/>
      <c r="J68" s="117">
        <v>0</v>
      </c>
      <c r="K68" s="107" t="s">
        <v>469</v>
      </c>
      <c r="L68" s="117">
        <v>0</v>
      </c>
      <c r="M68" s="117"/>
      <c r="N68" s="118">
        <f t="shared" si="0"/>
        <v>0</v>
      </c>
      <c r="O68" s="119">
        <v>0</v>
      </c>
      <c r="P68" s="135">
        <v>0</v>
      </c>
      <c r="Q68" s="130">
        <v>0</v>
      </c>
      <c r="R68" s="131">
        <v>0</v>
      </c>
      <c r="S68" s="130">
        <f t="shared" si="24"/>
        <v>0</v>
      </c>
      <c r="T68" s="130" t="e">
        <f t="shared" si="3"/>
        <v>#DIV/0!</v>
      </c>
      <c r="U68" s="134">
        <v>0</v>
      </c>
      <c r="V68" s="130">
        <v>0</v>
      </c>
      <c r="W68" s="131">
        <v>0</v>
      </c>
      <c r="X68" s="130">
        <f t="shared" si="25"/>
        <v>0</v>
      </c>
      <c r="Y68" s="130" t="e">
        <f t="shared" si="6"/>
        <v>#DIV/0!</v>
      </c>
      <c r="Z68" s="134">
        <v>0</v>
      </c>
      <c r="AA68" s="134">
        <v>0</v>
      </c>
      <c r="AB68" s="134">
        <v>0</v>
      </c>
      <c r="AC68" s="134">
        <v>0</v>
      </c>
      <c r="AD68" s="134">
        <v>0</v>
      </c>
      <c r="AE68" s="122">
        <f t="shared" si="26"/>
        <v>0</v>
      </c>
      <c r="AF68" s="124">
        <f t="shared" si="27"/>
        <v>0</v>
      </c>
      <c r="AG68" s="282">
        <f t="shared" si="30"/>
        <v>0</v>
      </c>
      <c r="AH68" s="120">
        <v>0</v>
      </c>
      <c r="AI68" s="120">
        <v>0</v>
      </c>
      <c r="AJ68" s="120">
        <f t="shared" si="29"/>
        <v>0</v>
      </c>
      <c r="AK68" s="125" t="e">
        <f t="shared" si="11"/>
        <v>#DIV/0!</v>
      </c>
      <c r="AL68" s="117"/>
      <c r="AM68" s="126"/>
      <c r="AN68" s="126"/>
      <c r="AO68" s="126"/>
      <c r="AP68" s="117"/>
      <c r="AQ68" s="126"/>
      <c r="AR68" s="126"/>
      <c r="AS68" s="127"/>
    </row>
    <row r="69" spans="1:45" ht="132">
      <c r="A69" s="114" t="s">
        <v>26</v>
      </c>
      <c r="B69" s="115" t="s">
        <v>553</v>
      </c>
      <c r="C69" s="116" t="s">
        <v>467</v>
      </c>
      <c r="D69" s="116" t="s">
        <v>512</v>
      </c>
      <c r="E69" s="116"/>
      <c r="F69" s="117">
        <v>850000</v>
      </c>
      <c r="G69" s="117"/>
      <c r="H69" s="117">
        <v>850000</v>
      </c>
      <c r="I69" s="117"/>
      <c r="J69" s="117">
        <v>850000</v>
      </c>
      <c r="K69" s="107" t="s">
        <v>469</v>
      </c>
      <c r="L69" s="117">
        <v>0</v>
      </c>
      <c r="M69" s="117"/>
      <c r="N69" s="118">
        <f t="shared" si="0"/>
        <v>850000</v>
      </c>
      <c r="O69" s="119">
        <v>609761.06000000006</v>
      </c>
      <c r="P69" s="135">
        <v>849999.97</v>
      </c>
      <c r="Q69" s="130">
        <f>P69/J69</f>
        <v>0.99999996470588237</v>
      </c>
      <c r="R69" s="131">
        <v>0.99999996470588237</v>
      </c>
      <c r="S69" s="130">
        <f t="shared" si="24"/>
        <v>0</v>
      </c>
      <c r="T69" s="130">
        <f t="shared" si="3"/>
        <v>0.99999996470588237</v>
      </c>
      <c r="U69" s="134">
        <v>849999.97</v>
      </c>
      <c r="V69" s="130">
        <f>U69/J69</f>
        <v>0.99999996470588237</v>
      </c>
      <c r="W69" s="131">
        <v>0.99999996470588237</v>
      </c>
      <c r="X69" s="130">
        <f t="shared" si="25"/>
        <v>0</v>
      </c>
      <c r="Y69" s="130">
        <f t="shared" si="6"/>
        <v>0.99999996470588237</v>
      </c>
      <c r="Z69" s="132">
        <v>320132.71000000002</v>
      </c>
      <c r="AA69" s="134">
        <v>0</v>
      </c>
      <c r="AB69" s="134">
        <v>0</v>
      </c>
      <c r="AC69" s="134">
        <v>0</v>
      </c>
      <c r="AD69" s="134">
        <v>0</v>
      </c>
      <c r="AE69" s="122">
        <f t="shared" si="26"/>
        <v>320132.71000000002</v>
      </c>
      <c r="AF69" s="124">
        <f t="shared" si="27"/>
        <v>320132.71000000002</v>
      </c>
      <c r="AG69" s="282">
        <f t="shared" si="30"/>
        <v>320132.71000000002</v>
      </c>
      <c r="AH69" s="120">
        <f>AG69/J69</f>
        <v>0.37662671764705885</v>
      </c>
      <c r="AI69" s="120">
        <v>0.37382581176470586</v>
      </c>
      <c r="AJ69" s="120">
        <f t="shared" si="29"/>
        <v>2.8009058823529887E-3</v>
      </c>
      <c r="AK69" s="125">
        <f t="shared" si="11"/>
        <v>0.37662671764705885</v>
      </c>
      <c r="AL69" s="117"/>
      <c r="AM69" s="126"/>
      <c r="AN69" s="126"/>
      <c r="AO69" s="126"/>
      <c r="AP69" s="117"/>
      <c r="AQ69" s="126"/>
      <c r="AR69" s="126"/>
      <c r="AS69" s="127"/>
    </row>
    <row r="70" spans="1:45" ht="181.5">
      <c r="A70" s="114" t="s">
        <v>27</v>
      </c>
      <c r="B70" s="115" t="s">
        <v>554</v>
      </c>
      <c r="C70" s="116" t="s">
        <v>467</v>
      </c>
      <c r="D70" s="116" t="s">
        <v>512</v>
      </c>
      <c r="E70" s="116"/>
      <c r="F70" s="117">
        <v>0</v>
      </c>
      <c r="G70" s="117"/>
      <c r="H70" s="117">
        <v>0</v>
      </c>
      <c r="I70" s="117"/>
      <c r="J70" s="117">
        <v>0</v>
      </c>
      <c r="K70" s="107" t="s">
        <v>469</v>
      </c>
      <c r="L70" s="117">
        <v>0</v>
      </c>
      <c r="M70" s="117"/>
      <c r="N70" s="118">
        <f t="shared" si="0"/>
        <v>0</v>
      </c>
      <c r="O70" s="119">
        <v>0</v>
      </c>
      <c r="P70" s="135">
        <v>0</v>
      </c>
      <c r="Q70" s="130">
        <v>0</v>
      </c>
      <c r="R70" s="131">
        <v>0</v>
      </c>
      <c r="S70" s="130">
        <f t="shared" si="24"/>
        <v>0</v>
      </c>
      <c r="T70" s="130" t="e">
        <f t="shared" si="3"/>
        <v>#DIV/0!</v>
      </c>
      <c r="U70" s="134">
        <v>0</v>
      </c>
      <c r="V70" s="130">
        <v>0</v>
      </c>
      <c r="W70" s="131">
        <v>0</v>
      </c>
      <c r="X70" s="130">
        <f t="shared" si="25"/>
        <v>0</v>
      </c>
      <c r="Y70" s="130" t="e">
        <f t="shared" si="6"/>
        <v>#DIV/0!</v>
      </c>
      <c r="Z70" s="134">
        <v>0</v>
      </c>
      <c r="AA70" s="134">
        <v>0</v>
      </c>
      <c r="AB70" s="134">
        <v>0</v>
      </c>
      <c r="AC70" s="134">
        <v>0</v>
      </c>
      <c r="AD70" s="134">
        <v>0</v>
      </c>
      <c r="AE70" s="122">
        <f t="shared" si="26"/>
        <v>0</v>
      </c>
      <c r="AF70" s="124">
        <f t="shared" si="27"/>
        <v>0</v>
      </c>
      <c r="AG70" s="282">
        <f t="shared" si="30"/>
        <v>0</v>
      </c>
      <c r="AH70" s="120">
        <v>0</v>
      </c>
      <c r="AI70" s="120">
        <v>0</v>
      </c>
      <c r="AJ70" s="120">
        <f t="shared" si="29"/>
        <v>0</v>
      </c>
      <c r="AK70" s="125" t="e">
        <f t="shared" si="11"/>
        <v>#DIV/0!</v>
      </c>
      <c r="AL70" s="117"/>
      <c r="AM70" s="126"/>
      <c r="AN70" s="126"/>
      <c r="AO70" s="126"/>
      <c r="AP70" s="117"/>
      <c r="AQ70" s="126"/>
      <c r="AR70" s="126"/>
      <c r="AS70" s="127"/>
    </row>
    <row r="71" spans="1:45" ht="66">
      <c r="A71" s="114" t="s">
        <v>36</v>
      </c>
      <c r="B71" s="115" t="s">
        <v>555</v>
      </c>
      <c r="C71" s="116" t="s">
        <v>467</v>
      </c>
      <c r="D71" s="116" t="s">
        <v>535</v>
      </c>
      <c r="E71" s="116"/>
      <c r="F71" s="117">
        <v>106292.77976400001</v>
      </c>
      <c r="G71" s="117"/>
      <c r="H71" s="117">
        <v>106292.77976400001</v>
      </c>
      <c r="I71" s="117"/>
      <c r="J71" s="117">
        <v>106292.77976399999</v>
      </c>
      <c r="K71" s="107" t="s">
        <v>469</v>
      </c>
      <c r="L71" s="117">
        <v>0</v>
      </c>
      <c r="M71" s="117"/>
      <c r="N71" s="118">
        <f t="shared" si="0"/>
        <v>106292.77976399999</v>
      </c>
      <c r="O71" s="119">
        <v>100952.21</v>
      </c>
      <c r="P71" s="135">
        <v>100952.21</v>
      </c>
      <c r="Q71" s="130">
        <f>P71/J71</f>
        <v>0.9497560438643381</v>
      </c>
      <c r="R71" s="131">
        <v>0.9497560438643381</v>
      </c>
      <c r="S71" s="130">
        <f t="shared" si="24"/>
        <v>0</v>
      </c>
      <c r="T71" s="130">
        <f t="shared" si="3"/>
        <v>0.9497560438643381</v>
      </c>
      <c r="U71" s="134">
        <v>100952.21</v>
      </c>
      <c r="V71" s="130">
        <f>U71/J71</f>
        <v>0.9497560438643381</v>
      </c>
      <c r="W71" s="131">
        <v>0.9497560438643381</v>
      </c>
      <c r="X71" s="130">
        <f t="shared" si="25"/>
        <v>0</v>
      </c>
      <c r="Y71" s="130">
        <f t="shared" si="6"/>
        <v>0.9497560438643381</v>
      </c>
      <c r="Z71" s="134">
        <v>100952.20999999999</v>
      </c>
      <c r="AA71" s="134">
        <v>0</v>
      </c>
      <c r="AB71" s="134">
        <v>0</v>
      </c>
      <c r="AC71" s="134">
        <v>0</v>
      </c>
      <c r="AD71" s="134">
        <v>0</v>
      </c>
      <c r="AE71" s="122">
        <f t="shared" si="26"/>
        <v>100952.20999999999</v>
      </c>
      <c r="AF71" s="124">
        <f t="shared" si="27"/>
        <v>100952.20999999999</v>
      </c>
      <c r="AG71" s="282">
        <f t="shared" si="30"/>
        <v>100952.20999999999</v>
      </c>
      <c r="AH71" s="120">
        <f>AG71/J71</f>
        <v>0.94975604386433798</v>
      </c>
      <c r="AI71" s="120">
        <v>0.94975604386433798</v>
      </c>
      <c r="AJ71" s="120">
        <f t="shared" si="29"/>
        <v>0</v>
      </c>
      <c r="AK71" s="125">
        <f t="shared" si="11"/>
        <v>0.94975604386433798</v>
      </c>
      <c r="AL71" s="117"/>
      <c r="AM71" s="126"/>
      <c r="AN71" s="126"/>
      <c r="AO71" s="126"/>
      <c r="AP71" s="117"/>
      <c r="AQ71" s="126"/>
      <c r="AR71" s="126"/>
      <c r="AS71" s="127"/>
    </row>
    <row r="72" spans="1:45" s="63" customFormat="1" ht="33">
      <c r="A72" s="104" t="s">
        <v>556</v>
      </c>
      <c r="B72" s="105" t="s">
        <v>557</v>
      </c>
      <c r="C72" s="106" t="s">
        <v>467</v>
      </c>
      <c r="D72" s="106" t="s">
        <v>558</v>
      </c>
      <c r="E72" s="106"/>
      <c r="F72" s="107">
        <f>SUM(F73:F75)</f>
        <v>8720346</v>
      </c>
      <c r="G72" s="107"/>
      <c r="H72" s="107">
        <f>SUM(H73:H75)</f>
        <v>8720346</v>
      </c>
      <c r="I72" s="107"/>
      <c r="J72" s="107">
        <f>SUM(J73:J75)</f>
        <v>8720346</v>
      </c>
      <c r="K72" s="107" t="s">
        <v>469</v>
      </c>
      <c r="L72" s="107">
        <f>SUM(L73:L75)</f>
        <v>1200000</v>
      </c>
      <c r="M72" s="107">
        <f>SUM(M73:M75)</f>
        <v>1036200</v>
      </c>
      <c r="N72" s="86">
        <f t="shared" si="0"/>
        <v>9756546</v>
      </c>
      <c r="O72" s="108">
        <f>SUM(O73:O75)</f>
        <v>8897791.9100000001</v>
      </c>
      <c r="P72" s="137">
        <f>SUM(P73:P75)</f>
        <v>9743163.1500000004</v>
      </c>
      <c r="Q72" s="138">
        <f>P72/J72</f>
        <v>1.1172908907513532</v>
      </c>
      <c r="R72" s="138">
        <v>0.99941428585517122</v>
      </c>
      <c r="S72" s="138">
        <f t="shared" si="24"/>
        <v>0.11787660489618201</v>
      </c>
      <c r="T72" s="138">
        <f t="shared" si="3"/>
        <v>0.99862832092422871</v>
      </c>
      <c r="U72" s="137">
        <f>SUM(U73:U75)</f>
        <v>9743163.1500000004</v>
      </c>
      <c r="V72" s="138">
        <f>U72/J72</f>
        <v>1.1172908907513532</v>
      </c>
      <c r="W72" s="138">
        <v>0.99941428585517122</v>
      </c>
      <c r="X72" s="138">
        <f t="shared" si="25"/>
        <v>0.11787660489618201</v>
      </c>
      <c r="Y72" s="138">
        <f t="shared" si="6"/>
        <v>0.99862832092422871</v>
      </c>
      <c r="Z72" s="137">
        <f>SUM(Z73:Z75)</f>
        <v>6549643.6299999999</v>
      </c>
      <c r="AA72" s="137">
        <f>SUM(AA73:AA75)</f>
        <v>0</v>
      </c>
      <c r="AB72" s="137">
        <f>SUM(AB73:AB75)</f>
        <v>0</v>
      </c>
      <c r="AC72" s="137">
        <f>SUM(AC73:AC75)</f>
        <v>0</v>
      </c>
      <c r="AD72" s="137">
        <f>SUM(AD73:AD75)</f>
        <v>0</v>
      </c>
      <c r="AE72" s="109">
        <f t="shared" si="26"/>
        <v>6549643.6299999999</v>
      </c>
      <c r="AF72" s="109">
        <f t="shared" si="27"/>
        <v>6549643.6299999999</v>
      </c>
      <c r="AG72" s="279">
        <f>SUM(AG73:AG75)</f>
        <v>6549643.6299999999</v>
      </c>
      <c r="AH72" s="110">
        <f>AG72/J72</f>
        <v>0.75107611899803062</v>
      </c>
      <c r="AI72" s="110">
        <v>0.75107611899803062</v>
      </c>
      <c r="AJ72" s="110">
        <f t="shared" si="29"/>
        <v>0</v>
      </c>
      <c r="AK72" s="89">
        <f t="shared" si="11"/>
        <v>0.67130761542045714</v>
      </c>
      <c r="AL72" s="107"/>
      <c r="AM72" s="112"/>
      <c r="AN72" s="112"/>
      <c r="AO72" s="112"/>
      <c r="AP72" s="107"/>
      <c r="AQ72" s="112"/>
      <c r="AR72" s="112"/>
      <c r="AS72" s="113"/>
    </row>
    <row r="73" spans="1:45" ht="82.5">
      <c r="A73" s="114" t="s">
        <v>67</v>
      </c>
      <c r="B73" s="115" t="s">
        <v>559</v>
      </c>
      <c r="C73" s="116" t="s">
        <v>467</v>
      </c>
      <c r="D73" s="116" t="s">
        <v>558</v>
      </c>
      <c r="E73" s="116"/>
      <c r="F73" s="117">
        <v>0</v>
      </c>
      <c r="G73" s="117"/>
      <c r="H73" s="117">
        <v>0</v>
      </c>
      <c r="I73" s="117"/>
      <c r="J73" s="117">
        <v>0</v>
      </c>
      <c r="K73" s="107" t="s">
        <v>469</v>
      </c>
      <c r="L73" s="117">
        <v>0</v>
      </c>
      <c r="M73" s="117"/>
      <c r="N73" s="118">
        <f t="shared" si="0"/>
        <v>0</v>
      </c>
      <c r="O73" s="119">
        <v>0</v>
      </c>
      <c r="P73" s="135">
        <v>0</v>
      </c>
      <c r="Q73" s="130">
        <v>0</v>
      </c>
      <c r="R73" s="131">
        <v>0</v>
      </c>
      <c r="S73" s="130">
        <f t="shared" si="24"/>
        <v>0</v>
      </c>
      <c r="T73" s="130" t="e">
        <f t="shared" si="3"/>
        <v>#DIV/0!</v>
      </c>
      <c r="U73" s="134">
        <v>0</v>
      </c>
      <c r="V73" s="130">
        <v>0</v>
      </c>
      <c r="W73" s="131">
        <v>0</v>
      </c>
      <c r="X73" s="130">
        <f t="shared" si="25"/>
        <v>0</v>
      </c>
      <c r="Y73" s="130" t="e">
        <f t="shared" si="6"/>
        <v>#DIV/0!</v>
      </c>
      <c r="Z73" s="136">
        <v>0</v>
      </c>
      <c r="AA73" s="136">
        <v>0</v>
      </c>
      <c r="AB73" s="136">
        <v>0</v>
      </c>
      <c r="AC73" s="136">
        <v>0</v>
      </c>
      <c r="AD73" s="136">
        <v>0</v>
      </c>
      <c r="AE73" s="122">
        <f t="shared" si="26"/>
        <v>0</v>
      </c>
      <c r="AF73" s="124">
        <f t="shared" si="27"/>
        <v>0</v>
      </c>
      <c r="AG73" s="282">
        <f>SUM(Z73:AB73)</f>
        <v>0</v>
      </c>
      <c r="AH73" s="120">
        <v>0</v>
      </c>
      <c r="AI73" s="120">
        <v>0</v>
      </c>
      <c r="AJ73" s="120">
        <f t="shared" si="29"/>
        <v>0</v>
      </c>
      <c r="AK73" s="125" t="e">
        <f t="shared" si="11"/>
        <v>#DIV/0!</v>
      </c>
      <c r="AL73" s="117"/>
      <c r="AM73" s="126"/>
      <c r="AN73" s="126"/>
      <c r="AO73" s="126"/>
      <c r="AP73" s="117"/>
      <c r="AQ73" s="126"/>
      <c r="AR73" s="126"/>
      <c r="AS73" s="127"/>
    </row>
    <row r="74" spans="1:45" ht="66">
      <c r="A74" s="114" t="s">
        <v>68</v>
      </c>
      <c r="B74" s="115" t="s">
        <v>560</v>
      </c>
      <c r="C74" s="116" t="s">
        <v>467</v>
      </c>
      <c r="D74" s="116" t="s">
        <v>558</v>
      </c>
      <c r="E74" s="116"/>
      <c r="F74" s="117">
        <v>0</v>
      </c>
      <c r="G74" s="117"/>
      <c r="H74" s="117">
        <v>0</v>
      </c>
      <c r="I74" s="117"/>
      <c r="J74" s="117">
        <v>0</v>
      </c>
      <c r="K74" s="107" t="s">
        <v>469</v>
      </c>
      <c r="L74" s="117">
        <v>0</v>
      </c>
      <c r="M74" s="117"/>
      <c r="N74" s="118">
        <f t="shared" si="0"/>
        <v>0</v>
      </c>
      <c r="O74" s="119">
        <v>0</v>
      </c>
      <c r="P74" s="135">
        <v>0</v>
      </c>
      <c r="Q74" s="130">
        <v>0</v>
      </c>
      <c r="R74" s="131">
        <v>0</v>
      </c>
      <c r="S74" s="130">
        <f t="shared" si="24"/>
        <v>0</v>
      </c>
      <c r="T74" s="130" t="e">
        <f t="shared" si="3"/>
        <v>#DIV/0!</v>
      </c>
      <c r="U74" s="134">
        <v>0</v>
      </c>
      <c r="V74" s="130">
        <v>0</v>
      </c>
      <c r="W74" s="131">
        <v>0</v>
      </c>
      <c r="X74" s="130">
        <f t="shared" si="25"/>
        <v>0</v>
      </c>
      <c r="Y74" s="130" t="e">
        <f t="shared" si="6"/>
        <v>#DIV/0!</v>
      </c>
      <c r="Z74" s="136">
        <v>0</v>
      </c>
      <c r="AA74" s="136">
        <v>0</v>
      </c>
      <c r="AB74" s="136">
        <v>0</v>
      </c>
      <c r="AC74" s="136">
        <v>0</v>
      </c>
      <c r="AD74" s="136">
        <v>0</v>
      </c>
      <c r="AE74" s="122">
        <f t="shared" si="26"/>
        <v>0</v>
      </c>
      <c r="AF74" s="124">
        <f t="shared" si="27"/>
        <v>0</v>
      </c>
      <c r="AG74" s="282">
        <f>SUM(Z74:AB74)</f>
        <v>0</v>
      </c>
      <c r="AH74" s="120">
        <v>0</v>
      </c>
      <c r="AI74" s="120">
        <v>0</v>
      </c>
      <c r="AJ74" s="120">
        <f t="shared" si="29"/>
        <v>0</v>
      </c>
      <c r="AK74" s="125" t="e">
        <f t="shared" si="11"/>
        <v>#DIV/0!</v>
      </c>
      <c r="AL74" s="117"/>
      <c r="AM74" s="126"/>
      <c r="AN74" s="126"/>
      <c r="AO74" s="126"/>
      <c r="AP74" s="117"/>
      <c r="AQ74" s="126"/>
      <c r="AR74" s="126"/>
      <c r="AS74" s="127"/>
    </row>
    <row r="75" spans="1:45" ht="148.5">
      <c r="A75" s="114" t="s">
        <v>69</v>
      </c>
      <c r="B75" s="115" t="s">
        <v>561</v>
      </c>
      <c r="C75" s="116" t="s">
        <v>467</v>
      </c>
      <c r="D75" s="116" t="s">
        <v>558</v>
      </c>
      <c r="E75" s="116"/>
      <c r="F75" s="117">
        <v>8720346</v>
      </c>
      <c r="G75" s="117"/>
      <c r="H75" s="117">
        <v>8720346</v>
      </c>
      <c r="I75" s="117"/>
      <c r="J75" s="117">
        <v>8720346</v>
      </c>
      <c r="K75" s="107" t="s">
        <v>469</v>
      </c>
      <c r="L75" s="117">
        <v>1200000</v>
      </c>
      <c r="M75" s="117">
        <f>L75*0.8635</f>
        <v>1036200</v>
      </c>
      <c r="N75" s="118">
        <f t="shared" si="0"/>
        <v>9756546</v>
      </c>
      <c r="O75" s="119">
        <v>8897791.9100000001</v>
      </c>
      <c r="P75" s="153">
        <v>9743163.1500000004</v>
      </c>
      <c r="Q75" s="130">
        <f>P75/J75</f>
        <v>1.1172908907513532</v>
      </c>
      <c r="R75" s="131">
        <v>0.99941428585517122</v>
      </c>
      <c r="S75" s="130">
        <f t="shared" si="24"/>
        <v>0.11787660489618201</v>
      </c>
      <c r="T75" s="130">
        <f>P75/N75</f>
        <v>0.99862832092422871</v>
      </c>
      <c r="U75" s="153">
        <v>9743163.1500000004</v>
      </c>
      <c r="V75" s="130">
        <f t="shared" ref="V75:V88" si="31">U75/J75</f>
        <v>1.1172908907513532</v>
      </c>
      <c r="W75" s="131">
        <v>0.99941428585517122</v>
      </c>
      <c r="X75" s="130">
        <f t="shared" si="25"/>
        <v>0.11787660489618201</v>
      </c>
      <c r="Y75" s="130">
        <f t="shared" si="6"/>
        <v>0.99862832092422871</v>
      </c>
      <c r="Z75" s="134">
        <v>6549643.6299999999</v>
      </c>
      <c r="AA75" s="134">
        <v>0</v>
      </c>
      <c r="AB75" s="134">
        <v>0</v>
      </c>
      <c r="AC75" s="136">
        <v>0</v>
      </c>
      <c r="AD75" s="136">
        <v>0</v>
      </c>
      <c r="AE75" s="122">
        <f t="shared" si="26"/>
        <v>6549643.6299999999</v>
      </c>
      <c r="AF75" s="124">
        <f t="shared" si="27"/>
        <v>6549643.6299999999</v>
      </c>
      <c r="AG75" s="282">
        <f>SUM(Z75:AB75)</f>
        <v>6549643.6299999999</v>
      </c>
      <c r="AH75" s="120">
        <f t="shared" ref="AH75:AH88" si="32">AG75/J75</f>
        <v>0.75107611899803062</v>
      </c>
      <c r="AI75" s="120">
        <v>0.75107611899803062</v>
      </c>
      <c r="AJ75" s="120">
        <f t="shared" si="29"/>
        <v>0</v>
      </c>
      <c r="AK75" s="125">
        <f t="shared" si="11"/>
        <v>0.67130761542045714</v>
      </c>
      <c r="AL75" s="117"/>
      <c r="AM75" s="126"/>
      <c r="AN75" s="126"/>
      <c r="AO75" s="126"/>
      <c r="AP75" s="117"/>
      <c r="AQ75" s="126"/>
      <c r="AR75" s="126"/>
      <c r="AS75" s="127"/>
    </row>
    <row r="76" spans="1:45" s="63" customFormat="1" ht="66">
      <c r="A76" s="104" t="s">
        <v>562</v>
      </c>
      <c r="B76" s="105" t="s">
        <v>563</v>
      </c>
      <c r="C76" s="106" t="s">
        <v>467</v>
      </c>
      <c r="D76" s="106"/>
      <c r="E76" s="106"/>
      <c r="F76" s="107">
        <f>F77</f>
        <v>33745009.938956</v>
      </c>
      <c r="G76" s="107"/>
      <c r="H76" s="107">
        <f>H77</f>
        <v>33745009.938956</v>
      </c>
      <c r="I76" s="107"/>
      <c r="J76" s="107">
        <f>J77</f>
        <v>33745009.938956</v>
      </c>
      <c r="K76" s="107" t="s">
        <v>469</v>
      </c>
      <c r="L76" s="107">
        <f>L77</f>
        <v>2127446.2999999998</v>
      </c>
      <c r="M76" s="107">
        <f>M77</f>
        <v>1964482.1096700002</v>
      </c>
      <c r="N76" s="86">
        <f t="shared" ref="N76:N139" si="33">J76+M76</f>
        <v>35709492.048625998</v>
      </c>
      <c r="O76" s="108">
        <f>O77</f>
        <v>29287172.93</v>
      </c>
      <c r="P76" s="137">
        <f>P77</f>
        <v>33263203.649999999</v>
      </c>
      <c r="Q76" s="138">
        <f t="shared" ref="Q76:Q88" si="34">P76/J76</f>
        <v>0.98572214707218697</v>
      </c>
      <c r="R76" s="138">
        <v>0.98591185363951594</v>
      </c>
      <c r="S76" s="138">
        <f t="shared" si="24"/>
        <v>-1.8970656732897329E-4</v>
      </c>
      <c r="T76" s="138">
        <f t="shared" ref="T76:T139" si="35">P76/N76</f>
        <v>0.9314947298803673</v>
      </c>
      <c r="U76" s="137">
        <f>U77</f>
        <v>33263203.649999999</v>
      </c>
      <c r="V76" s="138">
        <f t="shared" si="31"/>
        <v>0.98572214707218697</v>
      </c>
      <c r="W76" s="138">
        <v>0.98591185363951594</v>
      </c>
      <c r="X76" s="138">
        <f t="shared" si="25"/>
        <v>-1.8970656732897329E-4</v>
      </c>
      <c r="Y76" s="138">
        <f t="shared" ref="Y76:Y139" si="36">U76/N76</f>
        <v>0.9314947298803673</v>
      </c>
      <c r="Z76" s="137">
        <f>Z77</f>
        <v>22934922.560000002</v>
      </c>
      <c r="AA76" s="137">
        <f>AA77</f>
        <v>0</v>
      </c>
      <c r="AB76" s="137">
        <f>AB77</f>
        <v>2295247.31</v>
      </c>
      <c r="AC76" s="137">
        <f>AC77</f>
        <v>400618.96000000194</v>
      </c>
      <c r="AD76" s="137">
        <f>AD77</f>
        <v>22378.09</v>
      </c>
      <c r="AE76" s="109">
        <f t="shared" si="26"/>
        <v>25207791.779999997</v>
      </c>
      <c r="AF76" s="109">
        <f t="shared" si="27"/>
        <v>23335541.520000003</v>
      </c>
      <c r="AG76" s="279">
        <f>AG77</f>
        <v>25230169.869999997</v>
      </c>
      <c r="AH76" s="110">
        <f t="shared" si="32"/>
        <v>0.74767113465489665</v>
      </c>
      <c r="AI76" s="110">
        <v>0.72275103057073076</v>
      </c>
      <c r="AJ76" s="110">
        <f t="shared" si="29"/>
        <v>2.4920104084165895E-2</v>
      </c>
      <c r="AK76" s="89">
        <f t="shared" ref="AK76:AK139" si="37">AG76/N76</f>
        <v>0.70653958996795041</v>
      </c>
      <c r="AL76" s="107"/>
      <c r="AM76" s="112"/>
      <c r="AN76" s="112"/>
      <c r="AO76" s="112"/>
      <c r="AP76" s="107"/>
      <c r="AQ76" s="112"/>
      <c r="AR76" s="112"/>
      <c r="AS76" s="113"/>
    </row>
    <row r="77" spans="1:45" s="63" customFormat="1" ht="49.5">
      <c r="A77" s="104" t="s">
        <v>564</v>
      </c>
      <c r="B77" s="105" t="s">
        <v>565</v>
      </c>
      <c r="C77" s="106" t="s">
        <v>467</v>
      </c>
      <c r="D77" s="106"/>
      <c r="E77" s="106"/>
      <c r="F77" s="107">
        <f>F78+F81</f>
        <v>33745009.938956</v>
      </c>
      <c r="G77" s="107"/>
      <c r="H77" s="107">
        <f>H78+H81</f>
        <v>33745009.938956</v>
      </c>
      <c r="I77" s="107"/>
      <c r="J77" s="107">
        <f>J78+J81</f>
        <v>33745009.938956</v>
      </c>
      <c r="K77" s="107" t="s">
        <v>469</v>
      </c>
      <c r="L77" s="107">
        <f>L78+L81</f>
        <v>2127446.2999999998</v>
      </c>
      <c r="M77" s="107">
        <f>M78+M81</f>
        <v>1964482.1096700002</v>
      </c>
      <c r="N77" s="86">
        <f t="shared" si="33"/>
        <v>35709492.048625998</v>
      </c>
      <c r="O77" s="108">
        <f>O78+O81</f>
        <v>29287172.93</v>
      </c>
      <c r="P77" s="137">
        <f>P78+P81</f>
        <v>33263203.649999999</v>
      </c>
      <c r="Q77" s="138">
        <f t="shared" si="34"/>
        <v>0.98572214707218697</v>
      </c>
      <c r="R77" s="138">
        <v>0.98591185363951594</v>
      </c>
      <c r="S77" s="138">
        <f t="shared" si="24"/>
        <v>-1.8970656732897329E-4</v>
      </c>
      <c r="T77" s="138">
        <f t="shared" si="35"/>
        <v>0.9314947298803673</v>
      </c>
      <c r="U77" s="137">
        <f>U78+U81</f>
        <v>33263203.649999999</v>
      </c>
      <c r="V77" s="138">
        <f t="shared" si="31"/>
        <v>0.98572214707218697</v>
      </c>
      <c r="W77" s="138">
        <v>0.98591185363951594</v>
      </c>
      <c r="X77" s="138">
        <f t="shared" si="25"/>
        <v>-1.8970656732897329E-4</v>
      </c>
      <c r="Y77" s="138">
        <f t="shared" si="36"/>
        <v>0.9314947298803673</v>
      </c>
      <c r="Z77" s="137">
        <f>Z78+Z81</f>
        <v>22934922.560000002</v>
      </c>
      <c r="AA77" s="137">
        <f>AA78+AA81</f>
        <v>0</v>
      </c>
      <c r="AB77" s="137">
        <f>AB78+AB81</f>
        <v>2295247.31</v>
      </c>
      <c r="AC77" s="137">
        <f>SUM(AC78,AC81)</f>
        <v>400618.96000000194</v>
      </c>
      <c r="AD77" s="137">
        <f>AD78+AD81</f>
        <v>22378.09</v>
      </c>
      <c r="AE77" s="109">
        <f t="shared" si="26"/>
        <v>25207791.779999997</v>
      </c>
      <c r="AF77" s="109">
        <f t="shared" si="27"/>
        <v>23335541.520000003</v>
      </c>
      <c r="AG77" s="279">
        <f>AG78+AG81</f>
        <v>25230169.869999997</v>
      </c>
      <c r="AH77" s="110">
        <f t="shared" si="32"/>
        <v>0.74767113465489665</v>
      </c>
      <c r="AI77" s="110">
        <v>0.72275103057073076</v>
      </c>
      <c r="AJ77" s="110">
        <f t="shared" si="29"/>
        <v>2.4920104084165895E-2</v>
      </c>
      <c r="AK77" s="89">
        <f t="shared" si="37"/>
        <v>0.70653958996795041</v>
      </c>
      <c r="AL77" s="107"/>
      <c r="AM77" s="112"/>
      <c r="AN77" s="112"/>
      <c r="AO77" s="112"/>
      <c r="AP77" s="107"/>
      <c r="AQ77" s="112"/>
      <c r="AR77" s="112"/>
      <c r="AS77" s="113"/>
    </row>
    <row r="78" spans="1:45" s="63" customFormat="1" ht="82.5">
      <c r="A78" s="139" t="s">
        <v>566</v>
      </c>
      <c r="B78" s="140" t="s">
        <v>567</v>
      </c>
      <c r="C78" s="141" t="s">
        <v>467</v>
      </c>
      <c r="D78" s="141" t="s">
        <v>568</v>
      </c>
      <c r="E78" s="141"/>
      <c r="F78" s="117">
        <f>SUM(F79:F80)</f>
        <v>19645085.938956</v>
      </c>
      <c r="G78" s="117"/>
      <c r="H78" s="117">
        <f>SUM(H79:H80)</f>
        <v>19645085.938956</v>
      </c>
      <c r="I78" s="117"/>
      <c r="J78" s="117">
        <f>SUM(J79:J80)</f>
        <v>19645085.938956</v>
      </c>
      <c r="K78" s="107" t="s">
        <v>469</v>
      </c>
      <c r="L78" s="117">
        <f>SUM(L79:L80)</f>
        <v>2127446.2999999998</v>
      </c>
      <c r="M78" s="117">
        <f>SUM(M79:M80)</f>
        <v>1964482.1096700002</v>
      </c>
      <c r="N78" s="118">
        <f t="shared" si="33"/>
        <v>21609568.048625998</v>
      </c>
      <c r="O78" s="142">
        <f>SUM(O79:O80)</f>
        <v>18187599.07</v>
      </c>
      <c r="P78" s="143">
        <f>SUM(P79:P80)</f>
        <v>19582503.789999999</v>
      </c>
      <c r="Q78" s="130">
        <f t="shared" si="34"/>
        <v>0.99681436115115685</v>
      </c>
      <c r="R78" s="130">
        <v>0.99681436115115685</v>
      </c>
      <c r="S78" s="130">
        <f t="shared" si="24"/>
        <v>0</v>
      </c>
      <c r="T78" s="130">
        <f t="shared" si="35"/>
        <v>0.90619598438688431</v>
      </c>
      <c r="U78" s="144">
        <f>SUM(U79:U80)</f>
        <v>19582503.789999999</v>
      </c>
      <c r="V78" s="130">
        <f t="shared" si="31"/>
        <v>0.99681436115115685</v>
      </c>
      <c r="W78" s="130">
        <v>0.99681436115115685</v>
      </c>
      <c r="X78" s="130">
        <f t="shared" si="25"/>
        <v>0</v>
      </c>
      <c r="Y78" s="130">
        <f t="shared" si="36"/>
        <v>0.90619598438688431</v>
      </c>
      <c r="Z78" s="144">
        <f>SUM(Z79:Z80)</f>
        <v>15745663.08</v>
      </c>
      <c r="AA78" s="144">
        <f>SUM(AA79:AA80)</f>
        <v>0</v>
      </c>
      <c r="AB78" s="144">
        <f>SUM(AB79:AB80)</f>
        <v>0</v>
      </c>
      <c r="AC78" s="144">
        <f>SUM(AC79:AC80)</f>
        <v>0</v>
      </c>
      <c r="AD78" s="144">
        <f>SUM(AD79:AD80)</f>
        <v>0</v>
      </c>
      <c r="AE78" s="145">
        <f t="shared" si="26"/>
        <v>15745663.08</v>
      </c>
      <c r="AF78" s="146">
        <f t="shared" si="27"/>
        <v>15745663.08</v>
      </c>
      <c r="AG78" s="283">
        <f>SUM(AG79:AG80)</f>
        <v>15745663.08</v>
      </c>
      <c r="AH78" s="120">
        <f t="shared" si="32"/>
        <v>0.80150644944629712</v>
      </c>
      <c r="AI78" s="120">
        <v>0.78288992309785421</v>
      </c>
      <c r="AJ78" s="120">
        <f t="shared" si="29"/>
        <v>1.8616526348442908E-2</v>
      </c>
      <c r="AK78" s="125">
        <f t="shared" si="37"/>
        <v>0.72864311977773</v>
      </c>
      <c r="AL78" s="117"/>
      <c r="AM78" s="126"/>
      <c r="AN78" s="126"/>
      <c r="AO78" s="126"/>
      <c r="AP78" s="117"/>
      <c r="AQ78" s="126"/>
      <c r="AR78" s="126"/>
      <c r="AS78" s="127"/>
    </row>
    <row r="79" spans="1:45" ht="99">
      <c r="A79" s="114" t="s">
        <v>28</v>
      </c>
      <c r="B79" s="115" t="s">
        <v>569</v>
      </c>
      <c r="C79" s="116" t="s">
        <v>467</v>
      </c>
      <c r="D79" s="116" t="s">
        <v>568</v>
      </c>
      <c r="E79" s="116"/>
      <c r="F79" s="117">
        <v>10940071.258476</v>
      </c>
      <c r="G79" s="117"/>
      <c r="H79" s="117">
        <v>10940071.258476</v>
      </c>
      <c r="I79" s="117"/>
      <c r="J79" s="117">
        <v>10940071.258476</v>
      </c>
      <c r="K79" s="107" t="s">
        <v>469</v>
      </c>
      <c r="L79" s="117">
        <v>1194461.3</v>
      </c>
      <c r="M79" s="117">
        <f>L79*0.9159</f>
        <v>1094007.10467</v>
      </c>
      <c r="N79" s="118">
        <f t="shared" si="33"/>
        <v>12034078.363146</v>
      </c>
      <c r="O79" s="119">
        <v>10450819.07</v>
      </c>
      <c r="P79" s="153">
        <v>10888746.68</v>
      </c>
      <c r="Q79" s="130">
        <f t="shared" si="34"/>
        <v>0.99530857000257322</v>
      </c>
      <c r="R79" s="131">
        <v>0.99530857000257322</v>
      </c>
      <c r="S79" s="130">
        <f t="shared" si="24"/>
        <v>0</v>
      </c>
      <c r="T79" s="130">
        <f t="shared" si="35"/>
        <v>0.90482597432192702</v>
      </c>
      <c r="U79" s="153">
        <v>10888746.68</v>
      </c>
      <c r="V79" s="130">
        <f t="shared" si="31"/>
        <v>0.99530857000257322</v>
      </c>
      <c r="W79" s="131">
        <v>0.99530857000257322</v>
      </c>
      <c r="X79" s="130">
        <f t="shared" si="25"/>
        <v>0</v>
      </c>
      <c r="Y79" s="130">
        <f t="shared" si="36"/>
        <v>0.90482597432192702</v>
      </c>
      <c r="Z79" s="132">
        <v>8480346.7599999998</v>
      </c>
      <c r="AA79" s="134">
        <v>0</v>
      </c>
      <c r="AB79" s="134">
        <v>0</v>
      </c>
      <c r="AC79" s="134">
        <v>0</v>
      </c>
      <c r="AD79" s="134">
        <v>0</v>
      </c>
      <c r="AE79" s="122">
        <f t="shared" si="26"/>
        <v>8480346.7599999998</v>
      </c>
      <c r="AF79" s="124">
        <f t="shared" si="27"/>
        <v>8480346.7599999998</v>
      </c>
      <c r="AG79" s="282">
        <f>SUM(Z79:AB79)</f>
        <v>8480346.7599999998</v>
      </c>
      <c r="AH79" s="120">
        <f t="shared" si="32"/>
        <v>0.77516375895903888</v>
      </c>
      <c r="AI79" s="120">
        <v>0.76167925995399766</v>
      </c>
      <c r="AJ79" s="120">
        <f t="shared" si="29"/>
        <v>1.3484499005041228E-2</v>
      </c>
      <c r="AK79" s="125">
        <f t="shared" si="37"/>
        <v>0.70469432756652184</v>
      </c>
      <c r="AL79" s="117"/>
      <c r="AM79" s="126"/>
      <c r="AN79" s="126"/>
      <c r="AO79" s="126"/>
      <c r="AP79" s="117"/>
      <c r="AQ79" s="126"/>
      <c r="AR79" s="126"/>
      <c r="AS79" s="127"/>
    </row>
    <row r="80" spans="1:45" ht="115.5">
      <c r="A80" s="114" t="s">
        <v>29</v>
      </c>
      <c r="B80" s="115" t="s">
        <v>570</v>
      </c>
      <c r="C80" s="116" t="s">
        <v>467</v>
      </c>
      <c r="D80" s="116" t="s">
        <v>568</v>
      </c>
      <c r="E80" s="116"/>
      <c r="F80" s="117">
        <v>8705014.6804799996</v>
      </c>
      <c r="G80" s="117"/>
      <c r="H80" s="117">
        <v>8705014.6804799996</v>
      </c>
      <c r="I80" s="117"/>
      <c r="J80" s="117">
        <v>8705014.6804799996</v>
      </c>
      <c r="K80" s="107" t="s">
        <v>469</v>
      </c>
      <c r="L80" s="117">
        <v>932985</v>
      </c>
      <c r="M80" s="117">
        <f>L80*0.933</f>
        <v>870475.005</v>
      </c>
      <c r="N80" s="118">
        <f t="shared" si="33"/>
        <v>9575489.6854800005</v>
      </c>
      <c r="O80" s="119">
        <v>7736780</v>
      </c>
      <c r="P80" s="155">
        <v>8693757.1099999994</v>
      </c>
      <c r="Q80" s="130">
        <f t="shared" si="34"/>
        <v>0.99870677179841594</v>
      </c>
      <c r="R80" s="131">
        <v>0.99870677179841594</v>
      </c>
      <c r="S80" s="130">
        <f t="shared" si="24"/>
        <v>0</v>
      </c>
      <c r="T80" s="130">
        <f t="shared" si="35"/>
        <v>0.90791775622535154</v>
      </c>
      <c r="U80" s="155">
        <v>8693757.1099999994</v>
      </c>
      <c r="V80" s="130">
        <f t="shared" si="31"/>
        <v>0.99870677179841594</v>
      </c>
      <c r="W80" s="131">
        <v>0.99870677179841594</v>
      </c>
      <c r="X80" s="130">
        <f t="shared" si="25"/>
        <v>0</v>
      </c>
      <c r="Y80" s="130">
        <f t="shared" si="36"/>
        <v>0.90791775622535154</v>
      </c>
      <c r="Z80" s="132">
        <v>7265316.3200000003</v>
      </c>
      <c r="AA80" s="134">
        <v>0</v>
      </c>
      <c r="AB80" s="134">
        <v>0</v>
      </c>
      <c r="AC80" s="134">
        <v>0</v>
      </c>
      <c r="AD80" s="134">
        <v>0</v>
      </c>
      <c r="AE80" s="122">
        <f t="shared" si="26"/>
        <v>7265316.3200000003</v>
      </c>
      <c r="AF80" s="124">
        <f t="shared" si="27"/>
        <v>7265316.3200000003</v>
      </c>
      <c r="AG80" s="282">
        <f>SUM(Z80:AB80)</f>
        <v>7265316.3200000003</v>
      </c>
      <c r="AH80" s="120">
        <f t="shared" si="32"/>
        <v>0.83461275904469656</v>
      </c>
      <c r="AI80" s="120">
        <v>0.80954653135764942</v>
      </c>
      <c r="AJ80" s="120">
        <f t="shared" si="29"/>
        <v>2.5066227687047138E-2</v>
      </c>
      <c r="AK80" s="125">
        <f t="shared" si="37"/>
        <v>0.7587409687273664</v>
      </c>
      <c r="AL80" s="117"/>
      <c r="AM80" s="126"/>
      <c r="AN80" s="126"/>
      <c r="AO80" s="126"/>
      <c r="AP80" s="117"/>
      <c r="AQ80" s="126"/>
      <c r="AR80" s="126"/>
      <c r="AS80" s="127"/>
    </row>
    <row r="81" spans="1:45" s="63" customFormat="1" ht="132">
      <c r="A81" s="139" t="s">
        <v>571</v>
      </c>
      <c r="B81" s="140" t="s">
        <v>572</v>
      </c>
      <c r="C81" s="141" t="s">
        <v>467</v>
      </c>
      <c r="D81" s="141" t="s">
        <v>568</v>
      </c>
      <c r="E81" s="141"/>
      <c r="F81" s="117">
        <f>SUM(F82:F84)</f>
        <v>14099924</v>
      </c>
      <c r="G81" s="117"/>
      <c r="H81" s="117">
        <f>SUM(H82:H84)</f>
        <v>14099924</v>
      </c>
      <c r="I81" s="117"/>
      <c r="J81" s="117">
        <f>SUM(J82:J84)</f>
        <v>14099924</v>
      </c>
      <c r="K81" s="107" t="s">
        <v>469</v>
      </c>
      <c r="L81" s="117">
        <f>SUM(L82:L84)</f>
        <v>0</v>
      </c>
      <c r="M81" s="117">
        <f>SUM(M82:M84)</f>
        <v>0</v>
      </c>
      <c r="N81" s="118">
        <f t="shared" si="33"/>
        <v>14099924</v>
      </c>
      <c r="O81" s="142">
        <f>SUM(O82:O84)</f>
        <v>11099573.859999999</v>
      </c>
      <c r="P81" s="147">
        <f>SUM(P82:P84)</f>
        <v>13680699.859999999</v>
      </c>
      <c r="Q81" s="130">
        <f t="shared" si="34"/>
        <v>0.97026763122978532</v>
      </c>
      <c r="R81" s="130">
        <v>0.97072165140748279</v>
      </c>
      <c r="S81" s="130">
        <f t="shared" si="24"/>
        <v>-4.5402017769746728E-4</v>
      </c>
      <c r="T81" s="130">
        <f t="shared" si="35"/>
        <v>0.97026763122978532</v>
      </c>
      <c r="U81" s="144">
        <f>SUM(U82:U84)</f>
        <v>13680699.859999999</v>
      </c>
      <c r="V81" s="130">
        <f t="shared" si="31"/>
        <v>0.97026763122978532</v>
      </c>
      <c r="W81" s="130">
        <v>0.97072165140748279</v>
      </c>
      <c r="X81" s="130">
        <f t="shared" si="25"/>
        <v>-4.5402017769746728E-4</v>
      </c>
      <c r="Y81" s="130">
        <f t="shared" si="36"/>
        <v>0.97026763122978532</v>
      </c>
      <c r="Z81" s="144">
        <f>SUM(Z82:Z84)</f>
        <v>7189259.4800000004</v>
      </c>
      <c r="AA81" s="144">
        <f>SUM(AA82:AA84)</f>
        <v>0</v>
      </c>
      <c r="AB81" s="144">
        <f>SUM(AB82:AB84)</f>
        <v>2295247.31</v>
      </c>
      <c r="AC81" s="144">
        <f>SUM(AC82:AC84)</f>
        <v>400618.96000000194</v>
      </c>
      <c r="AD81" s="144">
        <f>SUM(AD82:AD84)</f>
        <v>22378.09</v>
      </c>
      <c r="AE81" s="145">
        <f t="shared" si="26"/>
        <v>9462128.6999999993</v>
      </c>
      <c r="AF81" s="146">
        <f t="shared" si="27"/>
        <v>7589878.4400000023</v>
      </c>
      <c r="AG81" s="283">
        <f>SUM(AG82:AG84)</f>
        <v>9484506.7899999991</v>
      </c>
      <c r="AH81" s="120">
        <f t="shared" si="32"/>
        <v>0.67266368173331992</v>
      </c>
      <c r="AI81" s="120">
        <v>0.63896095397393637</v>
      </c>
      <c r="AJ81" s="120">
        <f t="shared" si="29"/>
        <v>3.3702727759383544E-2</v>
      </c>
      <c r="AK81" s="125">
        <f t="shared" si="37"/>
        <v>0.67266368173331992</v>
      </c>
      <c r="AL81" s="117"/>
      <c r="AM81" s="126"/>
      <c r="AN81" s="126"/>
      <c r="AO81" s="126"/>
      <c r="AP81" s="117"/>
      <c r="AQ81" s="126"/>
      <c r="AR81" s="126"/>
      <c r="AS81" s="127"/>
    </row>
    <row r="82" spans="1:45" ht="82.5">
      <c r="A82" s="114" t="s">
        <v>573</v>
      </c>
      <c r="B82" s="115" t="s">
        <v>574</v>
      </c>
      <c r="C82" s="116" t="s">
        <v>467</v>
      </c>
      <c r="D82" s="116" t="s">
        <v>568</v>
      </c>
      <c r="E82" s="116"/>
      <c r="F82" s="117">
        <v>1262086</v>
      </c>
      <c r="G82" s="117"/>
      <c r="H82" s="117">
        <v>1262086</v>
      </c>
      <c r="I82" s="117"/>
      <c r="J82" s="117">
        <v>1262086</v>
      </c>
      <c r="K82" s="107" t="s">
        <v>469</v>
      </c>
      <c r="L82" s="117">
        <v>0</v>
      </c>
      <c r="M82" s="117"/>
      <c r="N82" s="118">
        <f t="shared" si="33"/>
        <v>1262086</v>
      </c>
      <c r="O82" s="119">
        <v>1002828.26</v>
      </c>
      <c r="P82" s="135">
        <v>1261889.69</v>
      </c>
      <c r="Q82" s="130">
        <f t="shared" si="34"/>
        <v>0.99984445592455662</v>
      </c>
      <c r="R82" s="131">
        <v>0.99984445592455662</v>
      </c>
      <c r="S82" s="130">
        <f t="shared" si="24"/>
        <v>0</v>
      </c>
      <c r="T82" s="130">
        <f t="shared" si="35"/>
        <v>0.99984445592455662</v>
      </c>
      <c r="U82" s="135">
        <v>1261889.69</v>
      </c>
      <c r="V82" s="130">
        <f t="shared" si="31"/>
        <v>0.99984445592455662</v>
      </c>
      <c r="W82" s="131">
        <v>0.99984445592455662</v>
      </c>
      <c r="X82" s="130">
        <f t="shared" si="25"/>
        <v>0</v>
      </c>
      <c r="Y82" s="130">
        <f t="shared" si="36"/>
        <v>0.99984445592455662</v>
      </c>
      <c r="Z82" s="132">
        <v>733316.11</v>
      </c>
      <c r="AA82" s="134">
        <v>0</v>
      </c>
      <c r="AB82" s="134">
        <v>0</v>
      </c>
      <c r="AC82" s="134">
        <v>0</v>
      </c>
      <c r="AD82" s="134">
        <v>0</v>
      </c>
      <c r="AE82" s="122">
        <f t="shared" si="26"/>
        <v>733316.11</v>
      </c>
      <c r="AF82" s="124">
        <f t="shared" si="27"/>
        <v>733316.11</v>
      </c>
      <c r="AG82" s="282">
        <f>SUM(Z82:AB82)</f>
        <v>733316.11</v>
      </c>
      <c r="AH82" s="120">
        <f t="shared" si="32"/>
        <v>0.58103497701424467</v>
      </c>
      <c r="AI82" s="120">
        <v>0.57966260619323884</v>
      </c>
      <c r="AJ82" s="120">
        <f t="shared" si="29"/>
        <v>1.3723708210058305E-3</v>
      </c>
      <c r="AK82" s="125">
        <f t="shared" si="37"/>
        <v>0.58103497701424467</v>
      </c>
      <c r="AL82" s="117"/>
      <c r="AM82" s="126"/>
      <c r="AN82" s="126"/>
      <c r="AO82" s="126"/>
      <c r="AP82" s="117"/>
      <c r="AQ82" s="126"/>
      <c r="AR82" s="126"/>
      <c r="AS82" s="127"/>
    </row>
    <row r="83" spans="1:45" ht="132">
      <c r="A83" s="114" t="s">
        <v>31</v>
      </c>
      <c r="B83" s="115" t="s">
        <v>575</v>
      </c>
      <c r="C83" s="116" t="s">
        <v>467</v>
      </c>
      <c r="D83" s="116" t="s">
        <v>568</v>
      </c>
      <c r="E83" s="116"/>
      <c r="F83" s="117">
        <v>3215141</v>
      </c>
      <c r="G83" s="117"/>
      <c r="H83" s="117">
        <v>3215141</v>
      </c>
      <c r="I83" s="117"/>
      <c r="J83" s="117">
        <v>3215141</v>
      </c>
      <c r="K83" s="107" t="s">
        <v>469</v>
      </c>
      <c r="L83" s="117">
        <v>0</v>
      </c>
      <c r="M83" s="117"/>
      <c r="N83" s="118">
        <f t="shared" si="33"/>
        <v>3215141</v>
      </c>
      <c r="O83" s="119">
        <v>3212479.7800000003</v>
      </c>
      <c r="P83" s="135">
        <v>3215136.33</v>
      </c>
      <c r="Q83" s="130">
        <f t="shared" si="34"/>
        <v>0.99999854749760586</v>
      </c>
      <c r="R83" s="131">
        <v>0.99999854749760586</v>
      </c>
      <c r="S83" s="130">
        <f t="shared" si="24"/>
        <v>0</v>
      </c>
      <c r="T83" s="130">
        <f t="shared" si="35"/>
        <v>0.99999854749760586</v>
      </c>
      <c r="U83" s="134">
        <v>3215136.33</v>
      </c>
      <c r="V83" s="130">
        <f t="shared" si="31"/>
        <v>0.99999854749760586</v>
      </c>
      <c r="W83" s="131">
        <v>0.99999854749760586</v>
      </c>
      <c r="X83" s="130">
        <f t="shared" si="25"/>
        <v>0</v>
      </c>
      <c r="Y83" s="130">
        <f t="shared" si="36"/>
        <v>0.99999854749760586</v>
      </c>
      <c r="Z83" s="132">
        <v>2407856.94</v>
      </c>
      <c r="AA83" s="136">
        <v>0</v>
      </c>
      <c r="AB83" s="134">
        <v>241209.09</v>
      </c>
      <c r="AC83" s="132">
        <v>104686.040000001</v>
      </c>
      <c r="AD83" s="134">
        <v>0</v>
      </c>
      <c r="AE83" s="122">
        <f t="shared" si="26"/>
        <v>2649066.0299999998</v>
      </c>
      <c r="AF83" s="124">
        <f t="shared" si="27"/>
        <v>2512542.9800000009</v>
      </c>
      <c r="AG83" s="282">
        <f>SUM(Z83:AB83)</f>
        <v>2649066.0299999998</v>
      </c>
      <c r="AH83" s="120">
        <f t="shared" si="32"/>
        <v>0.82393463614815021</v>
      </c>
      <c r="AI83" s="120">
        <v>0.81237967790526133</v>
      </c>
      <c r="AJ83" s="120">
        <f t="shared" si="29"/>
        <v>1.155495824288888E-2</v>
      </c>
      <c r="AK83" s="125">
        <f t="shared" si="37"/>
        <v>0.82393463614815021</v>
      </c>
      <c r="AL83" s="117"/>
      <c r="AM83" s="126"/>
      <c r="AN83" s="126"/>
      <c r="AO83" s="126"/>
      <c r="AP83" s="117"/>
      <c r="AQ83" s="126"/>
      <c r="AR83" s="126"/>
      <c r="AS83" s="127"/>
    </row>
    <row r="84" spans="1:45" ht="115.5">
      <c r="A84" s="114" t="s">
        <v>576</v>
      </c>
      <c r="B84" s="115" t="s">
        <v>577</v>
      </c>
      <c r="C84" s="116" t="s">
        <v>467</v>
      </c>
      <c r="D84" s="116" t="s">
        <v>568</v>
      </c>
      <c r="E84" s="116"/>
      <c r="F84" s="117">
        <v>9622697</v>
      </c>
      <c r="G84" s="117"/>
      <c r="H84" s="117">
        <v>9622697</v>
      </c>
      <c r="I84" s="117"/>
      <c r="J84" s="117">
        <v>9622697</v>
      </c>
      <c r="K84" s="107" t="s">
        <v>469</v>
      </c>
      <c r="L84" s="117">
        <v>0</v>
      </c>
      <c r="M84" s="117"/>
      <c r="N84" s="118">
        <f t="shared" si="33"/>
        <v>9622697</v>
      </c>
      <c r="O84" s="119">
        <v>6884265.8200000003</v>
      </c>
      <c r="P84" s="153">
        <v>9203673.8399999999</v>
      </c>
      <c r="Q84" s="130">
        <f t="shared" si="34"/>
        <v>0.95645470703275803</v>
      </c>
      <c r="R84" s="131">
        <v>0.95711997270619664</v>
      </c>
      <c r="S84" s="130">
        <f t="shared" si="24"/>
        <v>-6.6526567343860865E-4</v>
      </c>
      <c r="T84" s="130">
        <f t="shared" si="35"/>
        <v>0.95645470703275803</v>
      </c>
      <c r="U84" s="153">
        <v>9203673.8399999999</v>
      </c>
      <c r="V84" s="130">
        <f t="shared" si="31"/>
        <v>0.95645470703275803</v>
      </c>
      <c r="W84" s="131">
        <v>0.95711997270619664</v>
      </c>
      <c r="X84" s="130">
        <f t="shared" si="25"/>
        <v>-6.6526567343860865E-4</v>
      </c>
      <c r="Y84" s="130">
        <f t="shared" si="36"/>
        <v>0.95645470703275803</v>
      </c>
      <c r="Z84" s="132">
        <v>4048086.43</v>
      </c>
      <c r="AA84" s="136">
        <v>0</v>
      </c>
      <c r="AB84" s="134">
        <v>2054038.22</v>
      </c>
      <c r="AC84" s="132">
        <v>295932.92000000097</v>
      </c>
      <c r="AD84" s="134">
        <v>22378.09</v>
      </c>
      <c r="AE84" s="122">
        <f t="shared" si="26"/>
        <v>6079746.5600000005</v>
      </c>
      <c r="AF84" s="124">
        <f t="shared" si="27"/>
        <v>4344019.3500000015</v>
      </c>
      <c r="AG84" s="282">
        <f>SUM(Z84:AB84)</f>
        <v>6102124.6500000004</v>
      </c>
      <c r="AH84" s="120">
        <f t="shared" si="32"/>
        <v>0.63413870872168165</v>
      </c>
      <c r="AI84" s="120">
        <v>0.58879559649441315</v>
      </c>
      <c r="AJ84" s="120">
        <f t="shared" si="29"/>
        <v>4.5343112227268501E-2</v>
      </c>
      <c r="AK84" s="125">
        <f t="shared" si="37"/>
        <v>0.63413870872168165</v>
      </c>
      <c r="AL84" s="117"/>
      <c r="AM84" s="126"/>
      <c r="AN84" s="126"/>
      <c r="AO84" s="126"/>
      <c r="AP84" s="117"/>
      <c r="AQ84" s="126"/>
      <c r="AR84" s="126"/>
      <c r="AS84" s="127"/>
    </row>
    <row r="85" spans="1:45" s="63" customFormat="1" ht="66">
      <c r="A85" s="104" t="s">
        <v>578</v>
      </c>
      <c r="B85" s="105" t="s">
        <v>579</v>
      </c>
      <c r="C85" s="106" t="s">
        <v>467</v>
      </c>
      <c r="D85" s="106" t="s">
        <v>468</v>
      </c>
      <c r="E85" s="106"/>
      <c r="F85" s="107">
        <f>F86+F94+F100</f>
        <v>16087896.360943999</v>
      </c>
      <c r="G85" s="107"/>
      <c r="H85" s="107">
        <f>H86+H94+H100</f>
        <v>16087896.360943999</v>
      </c>
      <c r="I85" s="107"/>
      <c r="J85" s="107">
        <f>J86+J94+J100</f>
        <v>16087896.398467999</v>
      </c>
      <c r="K85" s="107" t="s">
        <v>469</v>
      </c>
      <c r="L85" s="107">
        <f>L86+L94+L100</f>
        <v>0</v>
      </c>
      <c r="M85" s="107">
        <f>M86+M94+M100</f>
        <v>0</v>
      </c>
      <c r="N85" s="86">
        <f t="shared" si="33"/>
        <v>16087896.398467999</v>
      </c>
      <c r="O85" s="108">
        <f>O86+O94+O100</f>
        <v>13359181.68</v>
      </c>
      <c r="P85" s="137">
        <f>P86+P94+P100</f>
        <v>15717625.890000001</v>
      </c>
      <c r="Q85" s="138">
        <f t="shared" si="34"/>
        <v>0.97698452928232071</v>
      </c>
      <c r="R85" s="138">
        <v>0.9797489584732566</v>
      </c>
      <c r="S85" s="138">
        <f t="shared" si="24"/>
        <v>-2.7644291909358909E-3</v>
      </c>
      <c r="T85" s="138">
        <f t="shared" si="35"/>
        <v>0.97698452928232071</v>
      </c>
      <c r="U85" s="137">
        <f>U86+U94+U100</f>
        <v>15682864.259999998</v>
      </c>
      <c r="V85" s="138">
        <f t="shared" si="31"/>
        <v>0.9748237974414995</v>
      </c>
      <c r="W85" s="138">
        <v>0.97485528623047069</v>
      </c>
      <c r="X85" s="138">
        <f t="shared" si="25"/>
        <v>-3.1488788971190118E-5</v>
      </c>
      <c r="Y85" s="138">
        <f t="shared" si="36"/>
        <v>0.9748237974414995</v>
      </c>
      <c r="Z85" s="137">
        <f>Z86+Z94+Z100</f>
        <v>7622500.2599999998</v>
      </c>
      <c r="AA85" s="137">
        <f>AA86+AA94+AA100</f>
        <v>0</v>
      </c>
      <c r="AB85" s="137">
        <f>AB86+AB94+AB100</f>
        <v>3351441.2199999997</v>
      </c>
      <c r="AC85" s="137">
        <f>AC86+AC94+AC100</f>
        <v>1952313.4000000008</v>
      </c>
      <c r="AD85" s="137">
        <f>AD86+AD94+AD100</f>
        <v>81636.78</v>
      </c>
      <c r="AE85" s="109">
        <f t="shared" si="26"/>
        <v>10892304.700000001</v>
      </c>
      <c r="AF85" s="109">
        <f t="shared" si="27"/>
        <v>9574813.6600000001</v>
      </c>
      <c r="AG85" s="279">
        <f>AG86+AG94+AG100</f>
        <v>10973941.48</v>
      </c>
      <c r="AH85" s="110">
        <f t="shared" si="32"/>
        <v>0.68212407689578458</v>
      </c>
      <c r="AI85" s="110">
        <v>0.64935954852473632</v>
      </c>
      <c r="AJ85" s="110">
        <f t="shared" si="29"/>
        <v>3.2764528371048263E-2</v>
      </c>
      <c r="AK85" s="89">
        <f t="shared" si="37"/>
        <v>0.68212407689578458</v>
      </c>
      <c r="AL85" s="107"/>
      <c r="AM85" s="112"/>
      <c r="AN85" s="112"/>
      <c r="AO85" s="112"/>
      <c r="AP85" s="107"/>
      <c r="AQ85" s="112"/>
      <c r="AR85" s="112"/>
      <c r="AS85" s="113"/>
    </row>
    <row r="86" spans="1:45" s="63" customFormat="1" ht="49.5">
      <c r="A86" s="104" t="s">
        <v>580</v>
      </c>
      <c r="B86" s="105" t="s">
        <v>581</v>
      </c>
      <c r="C86" s="106" t="s">
        <v>467</v>
      </c>
      <c r="D86" s="106" t="s">
        <v>468</v>
      </c>
      <c r="E86" s="106"/>
      <c r="F86" s="107">
        <f>F87+F90+F91</f>
        <v>5299478.0679240003</v>
      </c>
      <c r="G86" s="107"/>
      <c r="H86" s="107">
        <f>H87+H90+H91</f>
        <v>5299478.0679240003</v>
      </c>
      <c r="I86" s="107"/>
      <c r="J86" s="107">
        <f>J87+J90+J91</f>
        <v>5299478.1054480001</v>
      </c>
      <c r="K86" s="107" t="s">
        <v>469</v>
      </c>
      <c r="L86" s="107">
        <f>L87+L90+L91</f>
        <v>0</v>
      </c>
      <c r="M86" s="107">
        <f>M87+M90+M91</f>
        <v>0</v>
      </c>
      <c r="N86" s="86">
        <f t="shared" si="33"/>
        <v>5299478.1054480001</v>
      </c>
      <c r="O86" s="108">
        <f>O87+O90+O91</f>
        <v>4544472.7300000004</v>
      </c>
      <c r="P86" s="137">
        <f>P87+P90+P91</f>
        <v>5337574.6300000008</v>
      </c>
      <c r="Q86" s="138">
        <f t="shared" si="34"/>
        <v>1.0071887313795742</v>
      </c>
      <c r="R86" s="138">
        <v>0.99970137453541963</v>
      </c>
      <c r="S86" s="138">
        <f t="shared" si="24"/>
        <v>7.4873568441545801E-3</v>
      </c>
      <c r="T86" s="138">
        <f t="shared" si="35"/>
        <v>1.0071887313795742</v>
      </c>
      <c r="U86" s="137">
        <f>U87+U90+U91</f>
        <v>5302813</v>
      </c>
      <c r="V86" s="138">
        <f t="shared" si="31"/>
        <v>1.0006292873535172</v>
      </c>
      <c r="W86" s="138">
        <v>0.98857183232343582</v>
      </c>
      <c r="X86" s="138">
        <f t="shared" si="25"/>
        <v>1.2057455030081377E-2</v>
      </c>
      <c r="Y86" s="138">
        <f t="shared" si="36"/>
        <v>1.0006292873535172</v>
      </c>
      <c r="Z86" s="137">
        <f>Z87+Z90+Z91</f>
        <v>2929279.51</v>
      </c>
      <c r="AA86" s="137">
        <f>AA87+AA90+AA91</f>
        <v>0</v>
      </c>
      <c r="AB86" s="137">
        <f>AB87+AB90+AB91</f>
        <v>57811.66</v>
      </c>
      <c r="AC86" s="137">
        <f>AC87+AC90+AC91</f>
        <v>55404.149999999907</v>
      </c>
      <c r="AD86" s="137">
        <f>AD87+AD90+AD91</f>
        <v>3927.54</v>
      </c>
      <c r="AE86" s="109">
        <f t="shared" si="26"/>
        <v>2983163.63</v>
      </c>
      <c r="AF86" s="109">
        <f t="shared" si="27"/>
        <v>2984683.6599999997</v>
      </c>
      <c r="AG86" s="279">
        <f>AG87+AG90+AG91</f>
        <v>2987091.17</v>
      </c>
      <c r="AH86" s="110">
        <f t="shared" si="32"/>
        <v>0.56365761128991043</v>
      </c>
      <c r="AI86" s="110">
        <v>0.5225321942359914</v>
      </c>
      <c r="AJ86" s="110">
        <f t="shared" si="29"/>
        <v>4.1125417053919033E-2</v>
      </c>
      <c r="AK86" s="89">
        <f t="shared" si="37"/>
        <v>0.56365761128991043</v>
      </c>
      <c r="AL86" s="107"/>
      <c r="AM86" s="112"/>
      <c r="AN86" s="112"/>
      <c r="AO86" s="112"/>
      <c r="AP86" s="107"/>
      <c r="AQ86" s="112"/>
      <c r="AR86" s="112"/>
      <c r="AS86" s="113"/>
    </row>
    <row r="87" spans="1:45" s="63" customFormat="1" ht="82.5">
      <c r="A87" s="139" t="s">
        <v>582</v>
      </c>
      <c r="B87" s="140" t="s">
        <v>583</v>
      </c>
      <c r="C87" s="141" t="s">
        <v>467</v>
      </c>
      <c r="D87" s="141" t="s">
        <v>468</v>
      </c>
      <c r="E87" s="141"/>
      <c r="F87" s="117">
        <f>SUM(F88:F89)</f>
        <v>2781474</v>
      </c>
      <c r="G87" s="117"/>
      <c r="H87" s="117">
        <f>SUM(H88:H89)</f>
        <v>2781474</v>
      </c>
      <c r="I87" s="117"/>
      <c r="J87" s="117">
        <f>SUM(J88:J89)</f>
        <v>2781474.0375239998</v>
      </c>
      <c r="K87" s="107" t="s">
        <v>469</v>
      </c>
      <c r="L87" s="117">
        <f>SUM(L88:L89)</f>
        <v>0</v>
      </c>
      <c r="M87" s="117">
        <f>SUM(M88:M89)</f>
        <v>0</v>
      </c>
      <c r="N87" s="118">
        <f t="shared" si="33"/>
        <v>2781474.0375239998</v>
      </c>
      <c r="O87" s="142">
        <f>SUM(O88:O89)</f>
        <v>1988364.74</v>
      </c>
      <c r="P87" s="143">
        <f>SUM(P88:P89)</f>
        <v>2781474</v>
      </c>
      <c r="Q87" s="130">
        <f t="shared" si="34"/>
        <v>0.99999998650931154</v>
      </c>
      <c r="R87" s="130">
        <v>0.99999998650931154</v>
      </c>
      <c r="S87" s="130">
        <f t="shared" si="24"/>
        <v>0</v>
      </c>
      <c r="T87" s="130">
        <f t="shared" si="35"/>
        <v>0.99999998650931154</v>
      </c>
      <c r="U87" s="144">
        <f>SUM(U88:U89)</f>
        <v>2781474</v>
      </c>
      <c r="V87" s="130">
        <f t="shared" si="31"/>
        <v>0.99999998650931154</v>
      </c>
      <c r="W87" s="130">
        <v>0.99999998650931154</v>
      </c>
      <c r="X87" s="130">
        <f t="shared" si="25"/>
        <v>0</v>
      </c>
      <c r="Y87" s="130">
        <f t="shared" si="36"/>
        <v>0.99999998650931154</v>
      </c>
      <c r="Z87" s="144">
        <f>SUM(Z88:Z89)</f>
        <v>1362419.03</v>
      </c>
      <c r="AA87" s="144">
        <f>SUM(AA88:AA89)</f>
        <v>0</v>
      </c>
      <c r="AB87" s="144">
        <f>SUM(AB88:AB89)</f>
        <v>0</v>
      </c>
      <c r="AC87" s="144">
        <f>SUM(AC88:AC89)</f>
        <v>0</v>
      </c>
      <c r="AD87" s="144">
        <f>SUM(AD88:AD89)</f>
        <v>0</v>
      </c>
      <c r="AE87" s="145">
        <f t="shared" si="26"/>
        <v>1362419.03</v>
      </c>
      <c r="AF87" s="146">
        <f t="shared" si="27"/>
        <v>1362419.03</v>
      </c>
      <c r="AG87" s="283">
        <f>SUM(AG88:AG89)</f>
        <v>1362419.03</v>
      </c>
      <c r="AH87" s="120">
        <f t="shared" si="32"/>
        <v>0.4898190713341305</v>
      </c>
      <c r="AI87" s="120">
        <v>0.4898190713341305</v>
      </c>
      <c r="AJ87" s="120">
        <f t="shared" si="29"/>
        <v>0</v>
      </c>
      <c r="AK87" s="125">
        <f t="shared" si="37"/>
        <v>0.4898190713341305</v>
      </c>
      <c r="AL87" s="117"/>
      <c r="AM87" s="126"/>
      <c r="AN87" s="126"/>
      <c r="AO87" s="126"/>
      <c r="AP87" s="117"/>
      <c r="AQ87" s="126"/>
      <c r="AR87" s="126"/>
      <c r="AS87" s="127"/>
    </row>
    <row r="88" spans="1:45" ht="115.5">
      <c r="A88" s="114" t="s">
        <v>37</v>
      </c>
      <c r="B88" s="115" t="s">
        <v>584</v>
      </c>
      <c r="C88" s="116" t="s">
        <v>467</v>
      </c>
      <c r="D88" s="116" t="s">
        <v>585</v>
      </c>
      <c r="E88" s="116"/>
      <c r="F88" s="117">
        <v>2781474</v>
      </c>
      <c r="G88" s="117"/>
      <c r="H88" s="117">
        <v>2781474</v>
      </c>
      <c r="I88" s="117"/>
      <c r="J88" s="117">
        <v>2781474.0375239998</v>
      </c>
      <c r="K88" s="107" t="s">
        <v>469</v>
      </c>
      <c r="L88" s="117">
        <v>0</v>
      </c>
      <c r="M88" s="117"/>
      <c r="N88" s="118">
        <f t="shared" si="33"/>
        <v>2781474.0375239998</v>
      </c>
      <c r="O88" s="119">
        <v>1988364.74</v>
      </c>
      <c r="P88" s="135">
        <v>2781474</v>
      </c>
      <c r="Q88" s="130">
        <f t="shared" si="34"/>
        <v>0.99999998650931154</v>
      </c>
      <c r="R88" s="131">
        <v>0.99999998650931154</v>
      </c>
      <c r="S88" s="130">
        <f t="shared" si="24"/>
        <v>0</v>
      </c>
      <c r="T88" s="130">
        <f t="shared" si="35"/>
        <v>0.99999998650931154</v>
      </c>
      <c r="U88" s="134">
        <f>P88</f>
        <v>2781474</v>
      </c>
      <c r="V88" s="130">
        <f t="shared" si="31"/>
        <v>0.99999998650931154</v>
      </c>
      <c r="W88" s="131">
        <v>0.99999998650931154</v>
      </c>
      <c r="X88" s="130">
        <f t="shared" si="25"/>
        <v>0</v>
      </c>
      <c r="Y88" s="130">
        <f t="shared" si="36"/>
        <v>0.99999998650931154</v>
      </c>
      <c r="Z88" s="134">
        <v>1362419.03</v>
      </c>
      <c r="AA88" s="134">
        <v>0</v>
      </c>
      <c r="AB88" s="134">
        <v>0</v>
      </c>
      <c r="AC88" s="134">
        <v>0</v>
      </c>
      <c r="AD88" s="134">
        <v>0</v>
      </c>
      <c r="AE88" s="122">
        <f t="shared" si="26"/>
        <v>1362419.03</v>
      </c>
      <c r="AF88" s="124">
        <f t="shared" si="27"/>
        <v>1362419.03</v>
      </c>
      <c r="AG88" s="282">
        <f>SUM(Z88:AB88)</f>
        <v>1362419.03</v>
      </c>
      <c r="AH88" s="120">
        <f t="shared" si="32"/>
        <v>0.4898190713341305</v>
      </c>
      <c r="AI88" s="120">
        <v>0.4898190713341305</v>
      </c>
      <c r="AJ88" s="120">
        <f t="shared" si="29"/>
        <v>0</v>
      </c>
      <c r="AK88" s="125">
        <f t="shared" si="37"/>
        <v>0.4898190713341305</v>
      </c>
      <c r="AL88" s="117"/>
      <c r="AM88" s="126"/>
      <c r="AN88" s="126"/>
      <c r="AO88" s="126"/>
      <c r="AP88" s="117"/>
      <c r="AQ88" s="126"/>
      <c r="AR88" s="126"/>
      <c r="AS88" s="127"/>
    </row>
    <row r="89" spans="1:45" ht="49.5">
      <c r="A89" s="114" t="s">
        <v>38</v>
      </c>
      <c r="B89" s="115" t="s">
        <v>586</v>
      </c>
      <c r="C89" s="116" t="s">
        <v>467</v>
      </c>
      <c r="D89" s="116" t="s">
        <v>587</v>
      </c>
      <c r="E89" s="116"/>
      <c r="F89" s="117">
        <v>0</v>
      </c>
      <c r="G89" s="117"/>
      <c r="H89" s="117">
        <v>0</v>
      </c>
      <c r="I89" s="117"/>
      <c r="J89" s="117">
        <v>0</v>
      </c>
      <c r="K89" s="107" t="s">
        <v>469</v>
      </c>
      <c r="L89" s="117">
        <v>0</v>
      </c>
      <c r="M89" s="117"/>
      <c r="N89" s="118">
        <f t="shared" si="33"/>
        <v>0</v>
      </c>
      <c r="O89" s="119">
        <v>0</v>
      </c>
      <c r="P89" s="135">
        <v>0</v>
      </c>
      <c r="Q89" s="130"/>
      <c r="R89" s="131"/>
      <c r="S89" s="130">
        <f t="shared" si="24"/>
        <v>0</v>
      </c>
      <c r="T89" s="130" t="e">
        <f t="shared" si="35"/>
        <v>#DIV/0!</v>
      </c>
      <c r="U89" s="134">
        <v>0</v>
      </c>
      <c r="V89" s="130"/>
      <c r="W89" s="131"/>
      <c r="X89" s="130">
        <f t="shared" si="25"/>
        <v>0</v>
      </c>
      <c r="Y89" s="130" t="e">
        <f t="shared" si="36"/>
        <v>#DIV/0!</v>
      </c>
      <c r="Z89" s="136">
        <v>0</v>
      </c>
      <c r="AA89" s="136">
        <v>0</v>
      </c>
      <c r="AB89" s="136">
        <v>0</v>
      </c>
      <c r="AC89" s="134">
        <v>0</v>
      </c>
      <c r="AD89" s="134">
        <v>0</v>
      </c>
      <c r="AE89" s="122">
        <f t="shared" si="26"/>
        <v>0</v>
      </c>
      <c r="AF89" s="124">
        <f t="shared" si="27"/>
        <v>0</v>
      </c>
      <c r="AG89" s="282">
        <f>SUM(Z89:AB89)</f>
        <v>0</v>
      </c>
      <c r="AH89" s="120"/>
      <c r="AI89" s="120"/>
      <c r="AJ89" s="120">
        <f t="shared" si="29"/>
        <v>0</v>
      </c>
      <c r="AK89" s="125" t="e">
        <f t="shared" si="37"/>
        <v>#DIV/0!</v>
      </c>
      <c r="AL89" s="117"/>
      <c r="AM89" s="126"/>
      <c r="AN89" s="126"/>
      <c r="AO89" s="126"/>
      <c r="AP89" s="117"/>
      <c r="AQ89" s="126"/>
      <c r="AR89" s="126"/>
      <c r="AS89" s="127"/>
    </row>
    <row r="90" spans="1:45" ht="115.5">
      <c r="A90" s="114" t="s">
        <v>39</v>
      </c>
      <c r="B90" s="115" t="s">
        <v>588</v>
      </c>
      <c r="C90" s="116" t="s">
        <v>467</v>
      </c>
      <c r="D90" s="116" t="s">
        <v>587</v>
      </c>
      <c r="E90" s="116"/>
      <c r="F90" s="128">
        <v>1723395</v>
      </c>
      <c r="G90" s="117"/>
      <c r="H90" s="128">
        <v>1723395</v>
      </c>
      <c r="I90" s="117"/>
      <c r="J90" s="117">
        <f>H90</f>
        <v>1723395</v>
      </c>
      <c r="K90" s="107" t="s">
        <v>469</v>
      </c>
      <c r="L90" s="117">
        <v>0</v>
      </c>
      <c r="M90" s="117"/>
      <c r="N90" s="118">
        <f t="shared" si="33"/>
        <v>1723395</v>
      </c>
      <c r="O90" s="119">
        <v>1626849.1600000001</v>
      </c>
      <c r="P90" s="147">
        <v>1761644.56</v>
      </c>
      <c r="Q90" s="148">
        <f t="shared" ref="Q90:Q117" si="38">P90/J90</f>
        <v>1.0221943083274583</v>
      </c>
      <c r="R90" s="131">
        <v>0.9998885029920408</v>
      </c>
      <c r="S90" s="130">
        <f t="shared" si="24"/>
        <v>2.2305805335417483E-2</v>
      </c>
      <c r="T90" s="130">
        <f t="shared" si="35"/>
        <v>1.0221943083274583</v>
      </c>
      <c r="U90" s="134">
        <v>1761644.56</v>
      </c>
      <c r="V90" s="130">
        <f t="shared" ref="V90:V117" si="39">U90/J90</f>
        <v>1.0221943083274583</v>
      </c>
      <c r="W90" s="131">
        <v>0.9998885029920408</v>
      </c>
      <c r="X90" s="156">
        <f t="shared" si="25"/>
        <v>2.2305805335417483E-2</v>
      </c>
      <c r="Y90" s="130">
        <f t="shared" si="36"/>
        <v>1.0221943083274583</v>
      </c>
      <c r="Z90" s="132">
        <v>885711.99</v>
      </c>
      <c r="AA90" s="134">
        <v>0</v>
      </c>
      <c r="AB90" s="134">
        <v>0</v>
      </c>
      <c r="AC90" s="134">
        <v>0</v>
      </c>
      <c r="AD90" s="134">
        <v>0</v>
      </c>
      <c r="AE90" s="122">
        <f t="shared" si="26"/>
        <v>885711.99</v>
      </c>
      <c r="AF90" s="124">
        <f t="shared" si="27"/>
        <v>885711.99</v>
      </c>
      <c r="AG90" s="282">
        <f>SUM(Z90:AB90)</f>
        <v>885711.99</v>
      </c>
      <c r="AH90" s="152">
        <f t="shared" ref="AH90:AH117" si="40">AG90/J90</f>
        <v>0.51393440853663841</v>
      </c>
      <c r="AI90" s="152">
        <v>0.39083463263711082</v>
      </c>
      <c r="AJ90" s="152">
        <f t="shared" si="29"/>
        <v>0.12309977589952759</v>
      </c>
      <c r="AK90" s="125">
        <f t="shared" si="37"/>
        <v>0.51393440853663841</v>
      </c>
      <c r="AL90" s="117"/>
      <c r="AM90" s="126"/>
      <c r="AN90" s="126"/>
      <c r="AO90" s="126"/>
      <c r="AP90" s="117"/>
      <c r="AQ90" s="126"/>
      <c r="AR90" s="126"/>
      <c r="AS90" s="127"/>
    </row>
    <row r="91" spans="1:45" s="63" customFormat="1" ht="115.5">
      <c r="A91" s="139" t="s">
        <v>589</v>
      </c>
      <c r="B91" s="140" t="s">
        <v>590</v>
      </c>
      <c r="C91" s="141" t="s">
        <v>467</v>
      </c>
      <c r="D91" s="141" t="s">
        <v>587</v>
      </c>
      <c r="E91" s="141"/>
      <c r="F91" s="117">
        <f>SUM(F92:F93)</f>
        <v>794609.06792399997</v>
      </c>
      <c r="G91" s="117"/>
      <c r="H91" s="117">
        <f>SUM(H92:H93)</f>
        <v>794609.06792399997</v>
      </c>
      <c r="I91" s="117"/>
      <c r="J91" s="117">
        <f>SUM(J92:J93)</f>
        <v>794609.06792399997</v>
      </c>
      <c r="K91" s="107" t="s">
        <v>469</v>
      </c>
      <c r="L91" s="117">
        <f>SUM(L92:L93)</f>
        <v>0</v>
      </c>
      <c r="M91" s="117">
        <f>SUM(M92:M93)</f>
        <v>0</v>
      </c>
      <c r="N91" s="118">
        <f t="shared" si="33"/>
        <v>794609.06792399997</v>
      </c>
      <c r="O91" s="142">
        <f>SUM(O92:O93)</f>
        <v>929258.82999999984</v>
      </c>
      <c r="P91" s="135">
        <v>794456.07</v>
      </c>
      <c r="Q91" s="130">
        <f t="shared" si="38"/>
        <v>0.99980745509939906</v>
      </c>
      <c r="R91" s="130">
        <v>0.99824375916292196</v>
      </c>
      <c r="S91" s="130">
        <f t="shared" si="24"/>
        <v>1.5636959364770942E-3</v>
      </c>
      <c r="T91" s="130">
        <f t="shared" si="35"/>
        <v>0.99980745509939906</v>
      </c>
      <c r="U91" s="135">
        <v>759694.44</v>
      </c>
      <c r="V91" s="130">
        <f t="shared" si="39"/>
        <v>0.95606062234449685</v>
      </c>
      <c r="W91" s="130">
        <v>0.9235908855072883</v>
      </c>
      <c r="X91" s="130">
        <f t="shared" si="25"/>
        <v>3.2469736837208552E-2</v>
      </c>
      <c r="Y91" s="130">
        <f t="shared" si="36"/>
        <v>0.95606062234449685</v>
      </c>
      <c r="Z91" s="144">
        <f>SUM(Z92:Z93)</f>
        <v>681148.49</v>
      </c>
      <c r="AA91" s="144">
        <f>SUM(AA92:AA93)</f>
        <v>0</v>
      </c>
      <c r="AB91" s="144">
        <f>SUM(AB92:AB93)</f>
        <v>57811.66</v>
      </c>
      <c r="AC91" s="144">
        <f>SUM(AC92:AC93)</f>
        <v>55404.149999999907</v>
      </c>
      <c r="AD91" s="144">
        <f>SUM(AD92:AD93)</f>
        <v>3927.54</v>
      </c>
      <c r="AE91" s="145">
        <f t="shared" si="26"/>
        <v>735032.60999999987</v>
      </c>
      <c r="AF91" s="146">
        <f t="shared" si="27"/>
        <v>736552.6399999999</v>
      </c>
      <c r="AG91" s="287">
        <f>SUM(AG92:AG93)</f>
        <v>738960.14999999991</v>
      </c>
      <c r="AH91" s="120">
        <f>AG91/J91</f>
        <v>0.92996692314449825</v>
      </c>
      <c r="AI91" s="120">
        <v>0.92833373324606427</v>
      </c>
      <c r="AJ91" s="120">
        <f t="shared" si="29"/>
        <v>1.6331898984339732E-3</v>
      </c>
      <c r="AK91" s="125">
        <f t="shared" si="37"/>
        <v>0.92996692314449825</v>
      </c>
      <c r="AL91" s="117"/>
      <c r="AM91" s="126"/>
      <c r="AN91" s="126"/>
      <c r="AO91" s="126"/>
      <c r="AP91" s="117"/>
      <c r="AQ91" s="126"/>
      <c r="AR91" s="126"/>
      <c r="AS91" s="127"/>
    </row>
    <row r="92" spans="1:45" ht="99">
      <c r="A92" s="114" t="s">
        <v>591</v>
      </c>
      <c r="B92" s="115" t="s">
        <v>592</v>
      </c>
      <c r="C92" s="116" t="s">
        <v>467</v>
      </c>
      <c r="D92" s="116" t="s">
        <v>587</v>
      </c>
      <c r="E92" s="116"/>
      <c r="F92" s="117">
        <v>341103</v>
      </c>
      <c r="G92" s="117"/>
      <c r="H92" s="117">
        <v>341103</v>
      </c>
      <c r="I92" s="117"/>
      <c r="J92" s="117">
        <f>H92</f>
        <v>341103</v>
      </c>
      <c r="K92" s="107" t="s">
        <v>469</v>
      </c>
      <c r="L92" s="117">
        <v>0</v>
      </c>
      <c r="M92" s="117"/>
      <c r="N92" s="118">
        <f t="shared" si="33"/>
        <v>341103</v>
      </c>
      <c r="O92" s="119">
        <v>411488.88999999996</v>
      </c>
      <c r="P92" s="135">
        <v>341103.3</v>
      </c>
      <c r="Q92" s="130">
        <f t="shared" si="38"/>
        <v>1.0000008794997406</v>
      </c>
      <c r="R92" s="131">
        <v>1.0000008794997406</v>
      </c>
      <c r="S92" s="130">
        <f t="shared" si="24"/>
        <v>0</v>
      </c>
      <c r="T92" s="130">
        <f t="shared" si="35"/>
        <v>1.0000008794997406</v>
      </c>
      <c r="U92" s="134">
        <v>341103.3</v>
      </c>
      <c r="V92" s="130">
        <f t="shared" si="39"/>
        <v>1.0000008794997406</v>
      </c>
      <c r="W92" s="131">
        <v>1.0000008794997406</v>
      </c>
      <c r="X92" s="130">
        <f t="shared" si="25"/>
        <v>0</v>
      </c>
      <c r="Y92" s="130">
        <f t="shared" si="36"/>
        <v>1.0000008794997406</v>
      </c>
      <c r="Z92" s="134">
        <v>315151.14</v>
      </c>
      <c r="AA92" s="134">
        <v>0</v>
      </c>
      <c r="AB92" s="134">
        <v>26366.92</v>
      </c>
      <c r="AC92" s="134">
        <v>25952.159999999902</v>
      </c>
      <c r="AD92" s="134">
        <v>414.77</v>
      </c>
      <c r="AE92" s="122">
        <f t="shared" si="26"/>
        <v>341103.29</v>
      </c>
      <c r="AF92" s="124">
        <f t="shared" si="27"/>
        <v>341103.29999999993</v>
      </c>
      <c r="AG92" s="282">
        <f>SUM(Z92:AB92)</f>
        <v>341518.06</v>
      </c>
      <c r="AH92" s="120">
        <f>AG92/J92</f>
        <v>1.0012168172077056</v>
      </c>
      <c r="AI92" s="120">
        <v>1.0012168172077056</v>
      </c>
      <c r="AJ92" s="120">
        <f t="shared" si="29"/>
        <v>0</v>
      </c>
      <c r="AK92" s="125">
        <f t="shared" si="37"/>
        <v>1.0012168172077056</v>
      </c>
      <c r="AL92" s="117"/>
      <c r="AM92" s="126"/>
      <c r="AN92" s="126"/>
      <c r="AO92" s="126"/>
      <c r="AP92" s="117"/>
      <c r="AQ92" s="126"/>
      <c r="AR92" s="126"/>
      <c r="AS92" s="127"/>
    </row>
    <row r="93" spans="1:45" ht="115.5">
      <c r="A93" s="114" t="s">
        <v>41</v>
      </c>
      <c r="B93" s="115" t="s">
        <v>593</v>
      </c>
      <c r="C93" s="116" t="s">
        <v>467</v>
      </c>
      <c r="D93" s="116" t="s">
        <v>587</v>
      </c>
      <c r="E93" s="116"/>
      <c r="F93" s="128">
        <v>453506.06792399997</v>
      </c>
      <c r="G93" s="117"/>
      <c r="H93" s="128">
        <v>453506.06792399997</v>
      </c>
      <c r="I93" s="117"/>
      <c r="J93" s="128">
        <f>H93</f>
        <v>453506.06792399997</v>
      </c>
      <c r="K93" s="107" t="s">
        <v>469</v>
      </c>
      <c r="L93" s="117">
        <v>0</v>
      </c>
      <c r="M93" s="117"/>
      <c r="N93" s="118">
        <f t="shared" si="33"/>
        <v>453506.06792399997</v>
      </c>
      <c r="O93" s="119">
        <v>517769.93999999994</v>
      </c>
      <c r="P93" s="153">
        <v>453352.77</v>
      </c>
      <c r="Q93" s="130">
        <f t="shared" si="38"/>
        <v>0.9996619716144004</v>
      </c>
      <c r="R93" s="131">
        <v>0.99692620860665104</v>
      </c>
      <c r="S93" s="130">
        <f t="shared" si="24"/>
        <v>2.7357630077493589E-3</v>
      </c>
      <c r="T93" s="130">
        <f t="shared" si="35"/>
        <v>0.9996619716144004</v>
      </c>
      <c r="U93" s="135">
        <v>418591.14</v>
      </c>
      <c r="V93" s="130">
        <f t="shared" si="39"/>
        <v>0.92301111188251816</v>
      </c>
      <c r="W93" s="131">
        <v>0.86629598772488259</v>
      </c>
      <c r="X93" s="130">
        <f t="shared" si="25"/>
        <v>5.6715124157635577E-2</v>
      </c>
      <c r="Y93" s="130">
        <f t="shared" si="36"/>
        <v>0.92301111188251816</v>
      </c>
      <c r="Z93" s="132">
        <v>365997.35</v>
      </c>
      <c r="AA93" s="134">
        <v>0</v>
      </c>
      <c r="AB93" s="134">
        <v>31444.74</v>
      </c>
      <c r="AC93" s="134">
        <v>29451.99</v>
      </c>
      <c r="AD93" s="134">
        <v>3512.77</v>
      </c>
      <c r="AE93" s="122">
        <f t="shared" si="26"/>
        <v>393929.31999999995</v>
      </c>
      <c r="AF93" s="124">
        <f t="shared" si="27"/>
        <v>395449.33999999997</v>
      </c>
      <c r="AG93" s="282">
        <f>SUM(Z93:AB93)</f>
        <v>397442.08999999997</v>
      </c>
      <c r="AH93" s="120">
        <f t="shared" si="40"/>
        <v>0.876376564969368</v>
      </c>
      <c r="AI93" s="120">
        <v>0.87368343650528457</v>
      </c>
      <c r="AJ93" s="120">
        <f t="shared" si="29"/>
        <v>2.6931284640834274E-3</v>
      </c>
      <c r="AK93" s="125">
        <f t="shared" si="37"/>
        <v>0.876376564969368</v>
      </c>
      <c r="AL93" s="117"/>
      <c r="AM93" s="126"/>
      <c r="AN93" s="126"/>
      <c r="AO93" s="126"/>
      <c r="AP93" s="117"/>
      <c r="AQ93" s="126"/>
      <c r="AR93" s="126"/>
      <c r="AS93" s="127"/>
    </row>
    <row r="94" spans="1:45" s="63" customFormat="1" ht="66">
      <c r="A94" s="104" t="s">
        <v>594</v>
      </c>
      <c r="B94" s="105" t="s">
        <v>595</v>
      </c>
      <c r="C94" s="106" t="s">
        <v>467</v>
      </c>
      <c r="D94" s="106" t="s">
        <v>587</v>
      </c>
      <c r="E94" s="106"/>
      <c r="F94" s="107">
        <f>F95+F96</f>
        <v>5761702.2930199997</v>
      </c>
      <c r="G94" s="107"/>
      <c r="H94" s="107">
        <f>H95+H96</f>
        <v>5761702.2930199997</v>
      </c>
      <c r="I94" s="107"/>
      <c r="J94" s="107">
        <f>J95+J96</f>
        <v>5761702.2930199997</v>
      </c>
      <c r="K94" s="107" t="s">
        <v>469</v>
      </c>
      <c r="L94" s="107">
        <f>L95+L96</f>
        <v>0</v>
      </c>
      <c r="M94" s="107">
        <f>M95+M96</f>
        <v>0</v>
      </c>
      <c r="N94" s="86">
        <f t="shared" si="33"/>
        <v>5761702.2930199997</v>
      </c>
      <c r="O94" s="108">
        <f>O95+O96</f>
        <v>4290282.95</v>
      </c>
      <c r="P94" s="137">
        <f>P95+P96</f>
        <v>5495892.8299999991</v>
      </c>
      <c r="Q94" s="138">
        <f t="shared" si="38"/>
        <v>0.95386615803770092</v>
      </c>
      <c r="R94" s="138">
        <v>0.96645725671971028</v>
      </c>
      <c r="S94" s="138">
        <f t="shared" si="24"/>
        <v>-1.2591098682009361E-2</v>
      </c>
      <c r="T94" s="138">
        <f t="shared" si="35"/>
        <v>0.95386615803770092</v>
      </c>
      <c r="U94" s="137">
        <f>U95+U96</f>
        <v>5495892.8299999991</v>
      </c>
      <c r="V94" s="138">
        <f t="shared" si="39"/>
        <v>0.95386615803770092</v>
      </c>
      <c r="W94" s="138">
        <v>0.96308340854040175</v>
      </c>
      <c r="X94" s="138">
        <f t="shared" si="25"/>
        <v>-9.2172505027008356E-3</v>
      </c>
      <c r="Y94" s="138">
        <f t="shared" si="36"/>
        <v>0.95386615803770092</v>
      </c>
      <c r="Z94" s="137">
        <f>Z95+Z96</f>
        <v>2850683.04</v>
      </c>
      <c r="AA94" s="137">
        <f>AA95+AA96</f>
        <v>0</v>
      </c>
      <c r="AB94" s="137">
        <f>AB95+AB96</f>
        <v>1027462.29</v>
      </c>
      <c r="AC94" s="137">
        <f>AC95+AC96</f>
        <v>439976.68999999994</v>
      </c>
      <c r="AD94" s="137">
        <f>AD95+AD96</f>
        <v>49216.959999999992</v>
      </c>
      <c r="AE94" s="109">
        <f t="shared" si="26"/>
        <v>3828928.37</v>
      </c>
      <c r="AF94" s="109">
        <f t="shared" si="27"/>
        <v>3290659.73</v>
      </c>
      <c r="AG94" s="279">
        <f>AG95+AG96</f>
        <v>3878145.33</v>
      </c>
      <c r="AH94" s="110">
        <f t="shared" si="40"/>
        <v>0.67309019674587667</v>
      </c>
      <c r="AI94" s="110">
        <v>0.63598763843219941</v>
      </c>
      <c r="AJ94" s="110">
        <f t="shared" si="29"/>
        <v>3.7102558313677259E-2</v>
      </c>
      <c r="AK94" s="89">
        <f t="shared" si="37"/>
        <v>0.67309019674587667</v>
      </c>
      <c r="AL94" s="107"/>
      <c r="AM94" s="112"/>
      <c r="AN94" s="112"/>
      <c r="AO94" s="112"/>
      <c r="AP94" s="107"/>
      <c r="AQ94" s="112"/>
      <c r="AR94" s="112"/>
      <c r="AS94" s="113"/>
    </row>
    <row r="95" spans="1:45" ht="132">
      <c r="A95" s="114" t="s">
        <v>42</v>
      </c>
      <c r="B95" s="115" t="s">
        <v>596</v>
      </c>
      <c r="C95" s="116" t="s">
        <v>467</v>
      </c>
      <c r="D95" s="116" t="s">
        <v>587</v>
      </c>
      <c r="E95" s="116"/>
      <c r="F95" s="117">
        <v>55106</v>
      </c>
      <c r="G95" s="117"/>
      <c r="H95" s="117">
        <v>55106</v>
      </c>
      <c r="I95" s="117"/>
      <c r="J95" s="117">
        <f>H95</f>
        <v>55106</v>
      </c>
      <c r="K95" s="107" t="s">
        <v>469</v>
      </c>
      <c r="L95" s="117">
        <v>0</v>
      </c>
      <c r="M95" s="117"/>
      <c r="N95" s="118">
        <f t="shared" si="33"/>
        <v>55106</v>
      </c>
      <c r="O95" s="119">
        <v>71563.47</v>
      </c>
      <c r="P95" s="135">
        <v>51187.06</v>
      </c>
      <c r="Q95" s="130">
        <f t="shared" si="38"/>
        <v>0.92888360614089205</v>
      </c>
      <c r="R95" s="131">
        <v>0.92888360614089205</v>
      </c>
      <c r="S95" s="130">
        <f t="shared" si="24"/>
        <v>0</v>
      </c>
      <c r="T95" s="130">
        <f t="shared" si="35"/>
        <v>0.92888360614089205</v>
      </c>
      <c r="U95" s="134">
        <v>51187.06</v>
      </c>
      <c r="V95" s="130">
        <f t="shared" si="39"/>
        <v>0.92888360614089205</v>
      </c>
      <c r="W95" s="131">
        <v>0.92888360614089205</v>
      </c>
      <c r="X95" s="130">
        <f t="shared" si="25"/>
        <v>0</v>
      </c>
      <c r="Y95" s="130">
        <f t="shared" si="36"/>
        <v>0.92888360614089205</v>
      </c>
      <c r="Z95" s="134">
        <f>60434.93-5329.06</f>
        <v>55105.87</v>
      </c>
      <c r="AA95" s="134">
        <v>0</v>
      </c>
      <c r="AB95" s="134">
        <v>0</v>
      </c>
      <c r="AC95" s="134">
        <v>0</v>
      </c>
      <c r="AD95" s="134">
        <v>3918.81</v>
      </c>
      <c r="AE95" s="122">
        <f t="shared" si="26"/>
        <v>51187.060000000005</v>
      </c>
      <c r="AF95" s="124">
        <f t="shared" si="27"/>
        <v>55105.87</v>
      </c>
      <c r="AG95" s="282">
        <f>SUM(Z95:AB95)</f>
        <v>55105.87</v>
      </c>
      <c r="AH95" s="120">
        <f t="shared" si="40"/>
        <v>0.99999764091024579</v>
      </c>
      <c r="AI95" s="120">
        <v>0.99999764091024579</v>
      </c>
      <c r="AJ95" s="120">
        <f t="shared" si="29"/>
        <v>0</v>
      </c>
      <c r="AK95" s="125">
        <f t="shared" si="37"/>
        <v>0.99999764091024579</v>
      </c>
      <c r="AL95" s="117"/>
      <c r="AM95" s="126"/>
      <c r="AN95" s="126"/>
      <c r="AO95" s="126"/>
      <c r="AP95" s="117"/>
      <c r="AQ95" s="126"/>
      <c r="AR95" s="126"/>
      <c r="AS95" s="127"/>
    </row>
    <row r="96" spans="1:45" s="63" customFormat="1" ht="115.5">
      <c r="A96" s="139" t="s">
        <v>597</v>
      </c>
      <c r="B96" s="140" t="s">
        <v>598</v>
      </c>
      <c r="C96" s="141" t="s">
        <v>467</v>
      </c>
      <c r="D96" s="141" t="s">
        <v>587</v>
      </c>
      <c r="E96" s="141"/>
      <c r="F96" s="117">
        <f>SUM(F97:F99)</f>
        <v>5706596.2930199997</v>
      </c>
      <c r="G96" s="117"/>
      <c r="H96" s="117">
        <f>SUM(H97:H99)</f>
        <v>5706596.2930199997</v>
      </c>
      <c r="I96" s="117"/>
      <c r="J96" s="117">
        <f>SUM(J97:J99)</f>
        <v>5706596.2930199997</v>
      </c>
      <c r="K96" s="107" t="s">
        <v>469</v>
      </c>
      <c r="L96" s="117">
        <f>SUM(L97:L99)</f>
        <v>0</v>
      </c>
      <c r="M96" s="117">
        <f>SUM(M97:M99)</f>
        <v>0</v>
      </c>
      <c r="N96" s="118">
        <f t="shared" si="33"/>
        <v>5706596.2930199997</v>
      </c>
      <c r="O96" s="157">
        <f>O97+O98+O99</f>
        <v>4218719.4800000004</v>
      </c>
      <c r="P96" s="147">
        <f>SUM(P97:P99)</f>
        <v>5444705.7699999996</v>
      </c>
      <c r="Q96" s="130">
        <f t="shared" si="38"/>
        <v>0.95410740315723219</v>
      </c>
      <c r="R96" s="130">
        <v>0.96682263950158887</v>
      </c>
      <c r="S96" s="130">
        <f t="shared" si="24"/>
        <v>-1.2715236344356673E-2</v>
      </c>
      <c r="T96" s="130">
        <f t="shared" si="35"/>
        <v>0.95410740315723219</v>
      </c>
      <c r="U96" s="147">
        <f>SUM(U97:U99)</f>
        <v>5444705.7699999996</v>
      </c>
      <c r="V96" s="130">
        <f t="shared" si="39"/>
        <v>0.95410740315723219</v>
      </c>
      <c r="W96" s="130">
        <v>0.96341598253169425</v>
      </c>
      <c r="X96" s="130">
        <f t="shared" si="25"/>
        <v>-9.308579374462056E-3</v>
      </c>
      <c r="Y96" s="130">
        <f t="shared" si="36"/>
        <v>0.95410740315723219</v>
      </c>
      <c r="Z96" s="144">
        <f>SUM(Z97:Z99)</f>
        <v>2795577.17</v>
      </c>
      <c r="AA96" s="144">
        <f>SUM(AA97:AA99)</f>
        <v>0</v>
      </c>
      <c r="AB96" s="144">
        <f>SUM(AB97:AB99)</f>
        <v>1027462.29</v>
      </c>
      <c r="AC96" s="144">
        <f>SUM(AC97:AC99)</f>
        <v>439976.68999999994</v>
      </c>
      <c r="AD96" s="144">
        <f>SUM(AD97:AD99)</f>
        <v>45298.149999999994</v>
      </c>
      <c r="AE96" s="145">
        <f t="shared" si="26"/>
        <v>3777741.31</v>
      </c>
      <c r="AF96" s="146">
        <f t="shared" si="27"/>
        <v>3235553.86</v>
      </c>
      <c r="AG96" s="287">
        <f>SUM(AG97:AG99)</f>
        <v>3823039.46</v>
      </c>
      <c r="AH96" s="120">
        <f t="shared" si="40"/>
        <v>0.66993340052390515</v>
      </c>
      <c r="AI96" s="120">
        <v>0.63244784431349854</v>
      </c>
      <c r="AJ96" s="120">
        <f t="shared" si="29"/>
        <v>3.7485556210406612E-2</v>
      </c>
      <c r="AK96" s="125">
        <f t="shared" si="37"/>
        <v>0.66993340052390515</v>
      </c>
      <c r="AL96" s="117"/>
      <c r="AM96" s="126"/>
      <c r="AN96" s="126"/>
      <c r="AO96" s="126"/>
      <c r="AP96" s="117"/>
      <c r="AQ96" s="126"/>
      <c r="AR96" s="126"/>
      <c r="AS96" s="127"/>
    </row>
    <row r="97" spans="1:45" ht="82.5">
      <c r="A97" s="114" t="s">
        <v>43</v>
      </c>
      <c r="B97" s="115" t="s">
        <v>599</v>
      </c>
      <c r="C97" s="116" t="s">
        <v>467</v>
      </c>
      <c r="D97" s="116" t="s">
        <v>587</v>
      </c>
      <c r="E97" s="116"/>
      <c r="F97" s="128">
        <v>1901912.020308</v>
      </c>
      <c r="G97" s="117"/>
      <c r="H97" s="128">
        <v>1901912.020308</v>
      </c>
      <c r="I97" s="117"/>
      <c r="J97" s="128">
        <f>H97</f>
        <v>1901912.020308</v>
      </c>
      <c r="K97" s="107" t="s">
        <v>469</v>
      </c>
      <c r="L97" s="117">
        <v>0</v>
      </c>
      <c r="M97" s="117"/>
      <c r="N97" s="118">
        <f t="shared" si="33"/>
        <v>1901912.020308</v>
      </c>
      <c r="O97" s="119">
        <v>1414598.29</v>
      </c>
      <c r="P97" s="135">
        <v>1901911.42</v>
      </c>
      <c r="Q97" s="130">
        <f t="shared" si="38"/>
        <v>0.9999996843660518</v>
      </c>
      <c r="R97" s="131">
        <v>0.99704044376784151</v>
      </c>
      <c r="S97" s="130">
        <f t="shared" si="24"/>
        <v>2.9592405982102887E-3</v>
      </c>
      <c r="T97" s="130">
        <f t="shared" si="35"/>
        <v>0.9999996843660518</v>
      </c>
      <c r="U97" s="134">
        <v>1901911.42</v>
      </c>
      <c r="V97" s="130">
        <f t="shared" si="39"/>
        <v>0.9999996843660518</v>
      </c>
      <c r="W97" s="131">
        <v>0.99704044376784151</v>
      </c>
      <c r="X97" s="130">
        <f t="shared" si="25"/>
        <v>2.9592405982102887E-3</v>
      </c>
      <c r="Y97" s="130">
        <f t="shared" si="36"/>
        <v>0.9999996843660518</v>
      </c>
      <c r="Z97" s="132">
        <v>949076.85</v>
      </c>
      <c r="AA97" s="134">
        <v>0</v>
      </c>
      <c r="AB97" s="134">
        <v>279309.62</v>
      </c>
      <c r="AC97" s="134">
        <v>74153.960000000006</v>
      </c>
      <c r="AD97" s="134">
        <v>0</v>
      </c>
      <c r="AE97" s="122">
        <f t="shared" si="26"/>
        <v>1228386.47</v>
      </c>
      <c r="AF97" s="124">
        <f t="shared" si="27"/>
        <v>1023230.8099999999</v>
      </c>
      <c r="AG97" s="282">
        <f>SUM(Z97:AB97)</f>
        <v>1228386.47</v>
      </c>
      <c r="AH97" s="120">
        <f t="shared" si="40"/>
        <v>0.645869239419956</v>
      </c>
      <c r="AI97" s="120">
        <v>0.61453386484432226</v>
      </c>
      <c r="AJ97" s="120">
        <f t="shared" si="29"/>
        <v>3.1335374575633734E-2</v>
      </c>
      <c r="AK97" s="125">
        <f t="shared" si="37"/>
        <v>0.645869239419956</v>
      </c>
      <c r="AL97" s="117"/>
      <c r="AM97" s="126"/>
      <c r="AN97" s="126"/>
      <c r="AO97" s="126"/>
      <c r="AP97" s="117"/>
      <c r="AQ97" s="126"/>
      <c r="AR97" s="126"/>
      <c r="AS97" s="127"/>
    </row>
    <row r="98" spans="1:45" ht="82.5">
      <c r="A98" s="114" t="s">
        <v>600</v>
      </c>
      <c r="B98" s="115" t="s">
        <v>601</v>
      </c>
      <c r="C98" s="116" t="s">
        <v>467</v>
      </c>
      <c r="D98" s="116" t="s">
        <v>587</v>
      </c>
      <c r="E98" s="116"/>
      <c r="F98" s="128">
        <v>2259767.1666359999</v>
      </c>
      <c r="G98" s="117"/>
      <c r="H98" s="128">
        <v>2259767.1666359999</v>
      </c>
      <c r="I98" s="117"/>
      <c r="J98" s="128">
        <f>H98</f>
        <v>2259767.1666359999</v>
      </c>
      <c r="K98" s="107" t="s">
        <v>469</v>
      </c>
      <c r="L98" s="117">
        <v>0</v>
      </c>
      <c r="M98" s="117"/>
      <c r="N98" s="118">
        <f t="shared" si="33"/>
        <v>2259767.1666359999</v>
      </c>
      <c r="O98" s="119">
        <v>1379847.58</v>
      </c>
      <c r="P98" s="132">
        <v>2035143.98</v>
      </c>
      <c r="Q98" s="130">
        <f t="shared" si="38"/>
        <v>0.90059896879978785</v>
      </c>
      <c r="R98" s="131">
        <v>0.97535189172591708</v>
      </c>
      <c r="S98" s="130">
        <f t="shared" si="24"/>
        <v>-7.4752922926129228E-2</v>
      </c>
      <c r="T98" s="130">
        <f t="shared" si="35"/>
        <v>0.90059896879978785</v>
      </c>
      <c r="U98" s="153">
        <v>2035143.98</v>
      </c>
      <c r="V98" s="130">
        <f t="shared" si="39"/>
        <v>0.90059896879978785</v>
      </c>
      <c r="W98" s="131">
        <v>0.97535189172591708</v>
      </c>
      <c r="X98" s="130">
        <f t="shared" si="25"/>
        <v>-7.4752922926129228E-2</v>
      </c>
      <c r="Y98" s="130">
        <f t="shared" si="36"/>
        <v>0.90059896879978785</v>
      </c>
      <c r="Z98" s="132">
        <v>1011434.71</v>
      </c>
      <c r="AA98" s="134">
        <v>0</v>
      </c>
      <c r="AB98" s="132">
        <v>439236.96</v>
      </c>
      <c r="AC98" s="132">
        <v>196902.65</v>
      </c>
      <c r="AD98" s="134">
        <v>17587.559999999998</v>
      </c>
      <c r="AE98" s="122">
        <f t="shared" si="26"/>
        <v>1433084.1099999999</v>
      </c>
      <c r="AF98" s="124">
        <f t="shared" si="27"/>
        <v>1208337.3599999999</v>
      </c>
      <c r="AG98" s="282">
        <f>SUM(Z98:AB98)</f>
        <v>1450671.67</v>
      </c>
      <c r="AH98" s="120">
        <f t="shared" si="40"/>
        <v>0.64195625612152818</v>
      </c>
      <c r="AI98" s="120">
        <v>0.64253693488078012</v>
      </c>
      <c r="AJ98" s="120">
        <f t="shared" si="29"/>
        <v>-5.8067875925194024E-4</v>
      </c>
      <c r="AK98" s="125">
        <f t="shared" si="37"/>
        <v>0.64195625612152818</v>
      </c>
      <c r="AL98" s="117"/>
      <c r="AM98" s="126"/>
      <c r="AN98" s="126"/>
      <c r="AO98" s="126"/>
      <c r="AP98" s="117"/>
      <c r="AQ98" s="126"/>
      <c r="AR98" s="126"/>
      <c r="AS98" s="127"/>
    </row>
    <row r="99" spans="1:45" ht="165">
      <c r="A99" s="114" t="s">
        <v>602</v>
      </c>
      <c r="B99" s="115" t="s">
        <v>603</v>
      </c>
      <c r="C99" s="116" t="s">
        <v>467</v>
      </c>
      <c r="D99" s="116" t="s">
        <v>587</v>
      </c>
      <c r="E99" s="116"/>
      <c r="F99" s="128">
        <v>1544917.106076</v>
      </c>
      <c r="G99" s="117"/>
      <c r="H99" s="128">
        <v>1544917.106076</v>
      </c>
      <c r="I99" s="117"/>
      <c r="J99" s="128">
        <f>H99</f>
        <v>1544917.106076</v>
      </c>
      <c r="K99" s="107" t="s">
        <v>469</v>
      </c>
      <c r="L99" s="117">
        <v>0</v>
      </c>
      <c r="M99" s="117"/>
      <c r="N99" s="118">
        <f t="shared" si="33"/>
        <v>1544917.106076</v>
      </c>
      <c r="O99" s="119">
        <v>1424273.6099999999</v>
      </c>
      <c r="P99" s="132">
        <v>1507650.37</v>
      </c>
      <c r="Q99" s="130">
        <f t="shared" si="38"/>
        <v>0.97587784099908426</v>
      </c>
      <c r="R99" s="131">
        <v>0.9215831122070689</v>
      </c>
      <c r="S99" s="130">
        <f t="shared" si="24"/>
        <v>5.4294728792015357E-2</v>
      </c>
      <c r="T99" s="130">
        <f t="shared" si="35"/>
        <v>0.97587784099908426</v>
      </c>
      <c r="U99" s="153">
        <v>1507650.37</v>
      </c>
      <c r="V99" s="130">
        <f t="shared" si="39"/>
        <v>0.97587784099908426</v>
      </c>
      <c r="W99" s="131">
        <v>0.91001201184641378</v>
      </c>
      <c r="X99" s="130">
        <f t="shared" si="25"/>
        <v>6.5865829152670474E-2</v>
      </c>
      <c r="Y99" s="130">
        <f t="shared" si="36"/>
        <v>0.97587784099908426</v>
      </c>
      <c r="Z99" s="132">
        <v>835065.61</v>
      </c>
      <c r="AA99" s="134">
        <v>0</v>
      </c>
      <c r="AB99" s="134">
        <v>308915.71000000002</v>
      </c>
      <c r="AC99" s="132">
        <v>168920.08</v>
      </c>
      <c r="AD99" s="132">
        <v>27710.59</v>
      </c>
      <c r="AE99" s="122">
        <f t="shared" si="26"/>
        <v>1116270.73</v>
      </c>
      <c r="AF99" s="124">
        <f t="shared" si="27"/>
        <v>1003985.69</v>
      </c>
      <c r="AG99" s="282">
        <f>SUM(Z99:AB99)</f>
        <v>1143981.32</v>
      </c>
      <c r="AH99" s="120">
        <f t="shared" si="40"/>
        <v>0.74048071284914851</v>
      </c>
      <c r="AI99" s="120">
        <v>0.6402862583637875</v>
      </c>
      <c r="AJ99" s="120">
        <f t="shared" si="29"/>
        <v>0.10019445448536102</v>
      </c>
      <c r="AK99" s="125">
        <f t="shared" si="37"/>
        <v>0.74048071284914851</v>
      </c>
      <c r="AL99" s="117"/>
      <c r="AM99" s="126"/>
      <c r="AN99" s="126"/>
      <c r="AO99" s="126"/>
      <c r="AP99" s="117"/>
      <c r="AQ99" s="126"/>
      <c r="AR99" s="126"/>
      <c r="AS99" s="127"/>
    </row>
    <row r="100" spans="1:45" s="63" customFormat="1" ht="165">
      <c r="A100" s="104" t="s">
        <v>604</v>
      </c>
      <c r="B100" s="105" t="s">
        <v>605</v>
      </c>
      <c r="C100" s="106" t="s">
        <v>467</v>
      </c>
      <c r="D100" s="106" t="s">
        <v>606</v>
      </c>
      <c r="E100" s="106"/>
      <c r="F100" s="107">
        <f>SUM(F101:F102)</f>
        <v>5026716</v>
      </c>
      <c r="G100" s="107"/>
      <c r="H100" s="107">
        <f>SUM(H101:H102)</f>
        <v>5026716</v>
      </c>
      <c r="I100" s="107"/>
      <c r="J100" s="107">
        <f>SUM(J101:J102)</f>
        <v>5026716</v>
      </c>
      <c r="K100" s="107" t="s">
        <v>469</v>
      </c>
      <c r="L100" s="107">
        <f>SUM(L101:L102)</f>
        <v>0</v>
      </c>
      <c r="M100" s="107">
        <f>SUM(M101:M102)</f>
        <v>0</v>
      </c>
      <c r="N100" s="86">
        <f t="shared" si="33"/>
        <v>5026716</v>
      </c>
      <c r="O100" s="158">
        <f>SUM(O101:O102)</f>
        <v>4524426</v>
      </c>
      <c r="P100" s="137">
        <f>SUM(P101:P102)</f>
        <v>4884158.43</v>
      </c>
      <c r="Q100" s="159">
        <f t="shared" si="38"/>
        <v>0.9716400190502108</v>
      </c>
      <c r="R100" s="138">
        <v>0.97368552748951798</v>
      </c>
      <c r="S100" s="138">
        <f t="shared" si="24"/>
        <v>-2.0455084393071754E-3</v>
      </c>
      <c r="T100" s="138">
        <f t="shared" si="35"/>
        <v>0.9716400190502108</v>
      </c>
      <c r="U100" s="137">
        <f>SUM(U101:U102)</f>
        <v>4884158.43</v>
      </c>
      <c r="V100" s="138">
        <f t="shared" si="39"/>
        <v>0.9716400190502108</v>
      </c>
      <c r="W100" s="138">
        <v>0.97368552748951798</v>
      </c>
      <c r="X100" s="138">
        <f t="shared" si="25"/>
        <v>-2.0455084393071754E-3</v>
      </c>
      <c r="Y100" s="138">
        <f t="shared" si="36"/>
        <v>0.9716400190502108</v>
      </c>
      <c r="Z100" s="137">
        <f>SUM(Z101:Z102)</f>
        <v>1842537.71</v>
      </c>
      <c r="AA100" s="137">
        <f>SUM(AA101:AA102)</f>
        <v>0</v>
      </c>
      <c r="AB100" s="137">
        <f>SUM(AB101:AB102)</f>
        <v>2266167.27</v>
      </c>
      <c r="AC100" s="137">
        <f>SUM(AC101:AC102)</f>
        <v>1456932.560000001</v>
      </c>
      <c r="AD100" s="137">
        <f>SUM(AD101:AD102)</f>
        <v>28492.28</v>
      </c>
      <c r="AE100" s="109">
        <f t="shared" si="26"/>
        <v>4080212.7</v>
      </c>
      <c r="AF100" s="109">
        <f t="shared" si="27"/>
        <v>3299470.2700000009</v>
      </c>
      <c r="AG100" s="279">
        <f>SUM(AG101:AG102)</f>
        <v>4108704.98</v>
      </c>
      <c r="AH100" s="110">
        <f t="shared" si="40"/>
        <v>0.81737360535188386</v>
      </c>
      <c r="AI100" s="110">
        <v>0.79929526354781133</v>
      </c>
      <c r="AJ100" s="110">
        <f t="shared" si="29"/>
        <v>1.8078341804072529E-2</v>
      </c>
      <c r="AK100" s="89">
        <f t="shared" si="37"/>
        <v>0.81737360535188386</v>
      </c>
      <c r="AL100" s="107"/>
      <c r="AM100" s="112"/>
      <c r="AN100" s="112"/>
      <c r="AO100" s="112"/>
      <c r="AP100" s="107"/>
      <c r="AQ100" s="112"/>
      <c r="AR100" s="112"/>
      <c r="AS100" s="113"/>
    </row>
    <row r="101" spans="1:45" ht="99">
      <c r="A101" s="114" t="s">
        <v>607</v>
      </c>
      <c r="B101" s="115" t="s">
        <v>608</v>
      </c>
      <c r="C101" s="116" t="s">
        <v>467</v>
      </c>
      <c r="D101" s="116" t="s">
        <v>606</v>
      </c>
      <c r="E101" s="116"/>
      <c r="F101" s="117">
        <v>2543142</v>
      </c>
      <c r="G101" s="117"/>
      <c r="H101" s="117">
        <v>2543142</v>
      </c>
      <c r="I101" s="117"/>
      <c r="J101" s="117">
        <f>H101</f>
        <v>2543142</v>
      </c>
      <c r="K101" s="107" t="s">
        <v>469</v>
      </c>
      <c r="L101" s="117">
        <v>0</v>
      </c>
      <c r="M101" s="117"/>
      <c r="N101" s="118">
        <f t="shared" si="33"/>
        <v>2543142</v>
      </c>
      <c r="O101" s="160">
        <v>2384900</v>
      </c>
      <c r="P101" s="132">
        <v>2498253.77</v>
      </c>
      <c r="Q101" s="161">
        <f t="shared" si="38"/>
        <v>0.98234930255565756</v>
      </c>
      <c r="R101" s="131">
        <v>0.98328004098866684</v>
      </c>
      <c r="S101" s="130">
        <f t="shared" si="24"/>
        <v>-9.3073843300928161E-4</v>
      </c>
      <c r="T101" s="130">
        <f t="shared" si="35"/>
        <v>0.98234930255565756</v>
      </c>
      <c r="U101" s="132">
        <v>2498253.77</v>
      </c>
      <c r="V101" s="130">
        <f t="shared" si="39"/>
        <v>0.98234930255565756</v>
      </c>
      <c r="W101" s="131">
        <v>0.98328004098866684</v>
      </c>
      <c r="X101" s="130">
        <f t="shared" si="25"/>
        <v>-9.3073843300928161E-4</v>
      </c>
      <c r="Y101" s="130">
        <f t="shared" si="36"/>
        <v>0.98234930255565756</v>
      </c>
      <c r="Z101" s="132">
        <v>1156170.8600000001</v>
      </c>
      <c r="AA101" s="134">
        <v>0</v>
      </c>
      <c r="AB101" s="134">
        <v>1142664.77</v>
      </c>
      <c r="AC101" s="132">
        <v>918431.92000000097</v>
      </c>
      <c r="AD101" s="134">
        <v>15092.64</v>
      </c>
      <c r="AE101" s="145">
        <f t="shared" si="26"/>
        <v>2283742.9899999998</v>
      </c>
      <c r="AF101" s="146">
        <f t="shared" si="27"/>
        <v>2074602.7800000012</v>
      </c>
      <c r="AG101" s="284">
        <f>SUM(Z101:AB101)</f>
        <v>2298835.63</v>
      </c>
      <c r="AH101" s="120">
        <f t="shared" si="40"/>
        <v>0.90393522264977733</v>
      </c>
      <c r="AI101" s="120">
        <v>0.89201026918669912</v>
      </c>
      <c r="AJ101" s="120">
        <f t="shared" si="29"/>
        <v>1.1924953463078203E-2</v>
      </c>
      <c r="AK101" s="125">
        <f t="shared" si="37"/>
        <v>0.90393522264977733</v>
      </c>
      <c r="AL101" s="117"/>
      <c r="AM101" s="126"/>
      <c r="AN101" s="126"/>
      <c r="AO101" s="126"/>
      <c r="AP101" s="117"/>
      <c r="AQ101" s="126"/>
      <c r="AR101" s="126"/>
      <c r="AS101" s="127"/>
    </row>
    <row r="102" spans="1:45" ht="115.5">
      <c r="A102" s="114" t="s">
        <v>609</v>
      </c>
      <c r="B102" s="115" t="s">
        <v>610</v>
      </c>
      <c r="C102" s="116" t="s">
        <v>467</v>
      </c>
      <c r="D102" s="116" t="s">
        <v>606</v>
      </c>
      <c r="E102" s="116"/>
      <c r="F102" s="117">
        <v>2483574</v>
      </c>
      <c r="G102" s="117"/>
      <c r="H102" s="117">
        <v>2483574</v>
      </c>
      <c r="I102" s="117"/>
      <c r="J102" s="117">
        <f>H102</f>
        <v>2483574</v>
      </c>
      <c r="K102" s="107" t="s">
        <v>469</v>
      </c>
      <c r="L102" s="117">
        <v>0</v>
      </c>
      <c r="M102" s="117"/>
      <c r="N102" s="118">
        <f t="shared" si="33"/>
        <v>2483574</v>
      </c>
      <c r="O102" s="160">
        <v>2139526</v>
      </c>
      <c r="P102" s="132">
        <v>2385904.66</v>
      </c>
      <c r="Q102" s="161">
        <f t="shared" si="38"/>
        <v>0.96067387563245554</v>
      </c>
      <c r="R102" s="131">
        <v>0.96386089160218302</v>
      </c>
      <c r="S102" s="130">
        <f t="shared" si="24"/>
        <v>-3.1870159697274802E-3</v>
      </c>
      <c r="T102" s="130">
        <f t="shared" si="35"/>
        <v>0.96067387563245554</v>
      </c>
      <c r="U102" s="132">
        <v>2385904.66</v>
      </c>
      <c r="V102" s="130">
        <f t="shared" si="39"/>
        <v>0.96067387563245554</v>
      </c>
      <c r="W102" s="131">
        <v>0.96386089160218302</v>
      </c>
      <c r="X102" s="130">
        <f t="shared" si="25"/>
        <v>-3.1870159697274802E-3</v>
      </c>
      <c r="Y102" s="130">
        <f t="shared" si="36"/>
        <v>0.96067387563245554</v>
      </c>
      <c r="Z102" s="134">
        <v>686366.85</v>
      </c>
      <c r="AA102" s="134">
        <v>0</v>
      </c>
      <c r="AB102" s="134">
        <v>1123502.5</v>
      </c>
      <c r="AC102" s="132">
        <v>538500.64</v>
      </c>
      <c r="AD102" s="134">
        <v>13399.64</v>
      </c>
      <c r="AE102" s="145">
        <f t="shared" si="26"/>
        <v>1796469.7100000002</v>
      </c>
      <c r="AF102" s="146">
        <f t="shared" si="27"/>
        <v>1224867.49</v>
      </c>
      <c r="AG102" s="284">
        <f>SUM(Z102:AB102)</f>
        <v>1809869.35</v>
      </c>
      <c r="AH102" s="120">
        <f t="shared" si="40"/>
        <v>0.72873582587029828</v>
      </c>
      <c r="AI102" s="120">
        <v>0.70435650800016425</v>
      </c>
      <c r="AJ102" s="120">
        <f t="shared" si="29"/>
        <v>2.4379317870134032E-2</v>
      </c>
      <c r="AK102" s="125">
        <f t="shared" si="37"/>
        <v>0.72873582587029828</v>
      </c>
      <c r="AL102" s="117"/>
      <c r="AM102" s="126"/>
      <c r="AN102" s="126"/>
      <c r="AO102" s="126"/>
      <c r="AP102" s="117"/>
      <c r="AQ102" s="126"/>
      <c r="AR102" s="126"/>
      <c r="AS102" s="127"/>
    </row>
    <row r="103" spans="1:45" s="63" customFormat="1" ht="49.5">
      <c r="A103" s="104" t="s">
        <v>611</v>
      </c>
      <c r="B103" s="105" t="s">
        <v>612</v>
      </c>
      <c r="C103" s="106" t="s">
        <v>467</v>
      </c>
      <c r="D103" s="106" t="s">
        <v>585</v>
      </c>
      <c r="E103" s="106"/>
      <c r="F103" s="107">
        <f>F104</f>
        <v>12847761</v>
      </c>
      <c r="G103" s="107"/>
      <c r="H103" s="107">
        <f>H104</f>
        <v>12847761</v>
      </c>
      <c r="I103" s="107"/>
      <c r="J103" s="107">
        <f>J104</f>
        <v>12847761</v>
      </c>
      <c r="K103" s="107" t="s">
        <v>469</v>
      </c>
      <c r="L103" s="107">
        <f>L104</f>
        <v>0</v>
      </c>
      <c r="M103" s="107">
        <f>M104</f>
        <v>0</v>
      </c>
      <c r="N103" s="86">
        <f t="shared" si="33"/>
        <v>12847761</v>
      </c>
      <c r="O103" s="108">
        <f>O104</f>
        <v>7167747.3103999998</v>
      </c>
      <c r="P103" s="162">
        <f>P104</f>
        <v>12629926.57</v>
      </c>
      <c r="Q103" s="110">
        <f t="shared" si="38"/>
        <v>0.98304495001113423</v>
      </c>
      <c r="R103" s="110">
        <v>0.98304507999487223</v>
      </c>
      <c r="S103" s="110">
        <f t="shared" si="24"/>
        <v>-1.2998373799533169E-7</v>
      </c>
      <c r="T103" s="110">
        <f t="shared" si="35"/>
        <v>0.98304495001113423</v>
      </c>
      <c r="U103" s="109">
        <f>U104</f>
        <v>12629926.57</v>
      </c>
      <c r="V103" s="110">
        <f t="shared" si="39"/>
        <v>0.98304495001113423</v>
      </c>
      <c r="W103" s="110">
        <v>0.98304507999487223</v>
      </c>
      <c r="X103" s="110">
        <f t="shared" si="25"/>
        <v>-1.2998373799533169E-7</v>
      </c>
      <c r="Y103" s="110">
        <f t="shared" si="36"/>
        <v>0.98304495001113423</v>
      </c>
      <c r="Z103" s="109">
        <f t="shared" ref="Z103:AD104" si="41">Z104</f>
        <v>8205179.8300000001</v>
      </c>
      <c r="AA103" s="109">
        <f t="shared" si="41"/>
        <v>0</v>
      </c>
      <c r="AB103" s="109">
        <f t="shared" si="41"/>
        <v>0</v>
      </c>
      <c r="AC103" s="109">
        <f t="shared" si="41"/>
        <v>0</v>
      </c>
      <c r="AD103" s="109">
        <f t="shared" si="41"/>
        <v>0</v>
      </c>
      <c r="AE103" s="109">
        <f t="shared" si="26"/>
        <v>8205179.8300000001</v>
      </c>
      <c r="AF103" s="109">
        <f t="shared" si="27"/>
        <v>8205179.8300000001</v>
      </c>
      <c r="AG103" s="279">
        <f>AG104</f>
        <v>8205179.8300000001</v>
      </c>
      <c r="AH103" s="110">
        <f t="shared" si="40"/>
        <v>0.63864667392240559</v>
      </c>
      <c r="AI103" s="110">
        <v>0.62856977025024041</v>
      </c>
      <c r="AJ103" s="110">
        <f t="shared" si="29"/>
        <v>1.0076903672165183E-2</v>
      </c>
      <c r="AK103" s="89">
        <f t="shared" si="37"/>
        <v>0.63864667392240559</v>
      </c>
      <c r="AL103" s="107"/>
      <c r="AM103" s="112"/>
      <c r="AN103" s="112"/>
      <c r="AO103" s="112"/>
      <c r="AP103" s="107"/>
      <c r="AQ103" s="112"/>
      <c r="AR103" s="112"/>
      <c r="AS103" s="113"/>
    </row>
    <row r="104" spans="1:45" s="63" customFormat="1" ht="132">
      <c r="A104" s="104" t="s">
        <v>613</v>
      </c>
      <c r="B104" s="105" t="s">
        <v>614</v>
      </c>
      <c r="C104" s="106" t="s">
        <v>467</v>
      </c>
      <c r="D104" s="106" t="s">
        <v>585</v>
      </c>
      <c r="E104" s="106"/>
      <c r="F104" s="107">
        <f>F105</f>
        <v>12847761</v>
      </c>
      <c r="G104" s="107"/>
      <c r="H104" s="107">
        <f>H105</f>
        <v>12847761</v>
      </c>
      <c r="I104" s="107"/>
      <c r="J104" s="107">
        <f>J105</f>
        <v>12847761</v>
      </c>
      <c r="K104" s="107" t="s">
        <v>469</v>
      </c>
      <c r="L104" s="107">
        <f>L105</f>
        <v>0</v>
      </c>
      <c r="M104" s="107">
        <f>M105</f>
        <v>0</v>
      </c>
      <c r="N104" s="86">
        <f t="shared" si="33"/>
        <v>12847761</v>
      </c>
      <c r="O104" s="108">
        <f>O105</f>
        <v>7167747.3103999998</v>
      </c>
      <c r="P104" s="109">
        <f>P105</f>
        <v>12629926.57</v>
      </c>
      <c r="Q104" s="110">
        <f t="shared" si="38"/>
        <v>0.98304495001113423</v>
      </c>
      <c r="R104" s="110">
        <v>0.98304507999487223</v>
      </c>
      <c r="S104" s="110">
        <f t="shared" si="24"/>
        <v>-1.2998373799533169E-7</v>
      </c>
      <c r="T104" s="110">
        <f t="shared" si="35"/>
        <v>0.98304495001113423</v>
      </c>
      <c r="U104" s="109">
        <f>U105</f>
        <v>12629926.57</v>
      </c>
      <c r="V104" s="110">
        <f t="shared" si="39"/>
        <v>0.98304495001113423</v>
      </c>
      <c r="W104" s="110">
        <v>0.98304507999487223</v>
      </c>
      <c r="X104" s="110">
        <f t="shared" si="25"/>
        <v>-1.2998373799533169E-7</v>
      </c>
      <c r="Y104" s="110">
        <f t="shared" si="36"/>
        <v>0.98304495001113423</v>
      </c>
      <c r="Z104" s="109">
        <f t="shared" si="41"/>
        <v>8205179.8300000001</v>
      </c>
      <c r="AA104" s="109">
        <f t="shared" si="41"/>
        <v>0</v>
      </c>
      <c r="AB104" s="109">
        <f t="shared" si="41"/>
        <v>0</v>
      </c>
      <c r="AC104" s="109">
        <f t="shared" si="41"/>
        <v>0</v>
      </c>
      <c r="AD104" s="109">
        <f t="shared" si="41"/>
        <v>0</v>
      </c>
      <c r="AE104" s="109">
        <f t="shared" si="26"/>
        <v>8205179.8300000001</v>
      </c>
      <c r="AF104" s="109">
        <f t="shared" si="27"/>
        <v>8205179.8300000001</v>
      </c>
      <c r="AG104" s="279">
        <f>AG105</f>
        <v>8205179.8300000001</v>
      </c>
      <c r="AH104" s="110">
        <f t="shared" si="40"/>
        <v>0.63864667392240559</v>
      </c>
      <c r="AI104" s="110">
        <v>0.62856977025024041</v>
      </c>
      <c r="AJ104" s="110">
        <f t="shared" si="29"/>
        <v>1.0076903672165183E-2</v>
      </c>
      <c r="AK104" s="89">
        <f t="shared" si="37"/>
        <v>0.63864667392240559</v>
      </c>
      <c r="AL104" s="107"/>
      <c r="AM104" s="112"/>
      <c r="AN104" s="112"/>
      <c r="AO104" s="112"/>
      <c r="AP104" s="107"/>
      <c r="AQ104" s="112"/>
      <c r="AR104" s="112"/>
      <c r="AS104" s="113"/>
    </row>
    <row r="105" spans="1:45" ht="82.5">
      <c r="A105" s="114" t="s">
        <v>72</v>
      </c>
      <c r="B105" s="115" t="s">
        <v>615</v>
      </c>
      <c r="C105" s="116" t="s">
        <v>467</v>
      </c>
      <c r="D105" s="116" t="s">
        <v>585</v>
      </c>
      <c r="E105" s="116"/>
      <c r="F105" s="117">
        <v>12847761</v>
      </c>
      <c r="G105" s="117"/>
      <c r="H105" s="117">
        <v>12847761</v>
      </c>
      <c r="I105" s="117"/>
      <c r="J105" s="117">
        <v>12847761</v>
      </c>
      <c r="K105" s="107" t="s">
        <v>469</v>
      </c>
      <c r="L105" s="117">
        <v>0</v>
      </c>
      <c r="M105" s="117"/>
      <c r="N105" s="118">
        <f t="shared" si="33"/>
        <v>12847761</v>
      </c>
      <c r="O105" s="119">
        <f>0.16*44798420.69</f>
        <v>7167747.3103999998</v>
      </c>
      <c r="P105" s="117">
        <v>12629926.57</v>
      </c>
      <c r="Q105" s="120">
        <f t="shared" si="38"/>
        <v>0.98304495001113423</v>
      </c>
      <c r="R105" s="121">
        <v>0.98304507999487223</v>
      </c>
      <c r="S105" s="120">
        <f t="shared" si="24"/>
        <v>-1.2998373799533169E-7</v>
      </c>
      <c r="T105" s="120">
        <f t="shared" si="35"/>
        <v>0.98304495001113423</v>
      </c>
      <c r="U105" s="117">
        <v>12629926.57</v>
      </c>
      <c r="V105" s="120">
        <f t="shared" si="39"/>
        <v>0.98304495001113423</v>
      </c>
      <c r="W105" s="121">
        <v>0.98304507999487223</v>
      </c>
      <c r="X105" s="120">
        <f t="shared" si="25"/>
        <v>-1.2998373799533169E-7</v>
      </c>
      <c r="Y105" s="120">
        <f t="shared" si="36"/>
        <v>0.98304495001113423</v>
      </c>
      <c r="Z105" s="117">
        <v>8205179.8300000001</v>
      </c>
      <c r="AA105" s="163">
        <v>0</v>
      </c>
      <c r="AB105" s="163">
        <v>0</v>
      </c>
      <c r="AC105" s="163">
        <v>0</v>
      </c>
      <c r="AD105" s="163">
        <v>0</v>
      </c>
      <c r="AE105" s="164">
        <f t="shared" si="26"/>
        <v>8205179.8300000001</v>
      </c>
      <c r="AF105" s="117">
        <f t="shared" si="27"/>
        <v>8205179.8300000001</v>
      </c>
      <c r="AG105" s="287">
        <f>SUM(Z105:AB105)</f>
        <v>8205179.8300000001</v>
      </c>
      <c r="AH105" s="120">
        <f t="shared" si="40"/>
        <v>0.63864667392240559</v>
      </c>
      <c r="AI105" s="120">
        <v>0.62856977025024041</v>
      </c>
      <c r="AJ105" s="120">
        <f t="shared" si="29"/>
        <v>1.0076903672165183E-2</v>
      </c>
      <c r="AK105" s="125">
        <f t="shared" si="37"/>
        <v>0.63864667392240559</v>
      </c>
      <c r="AL105" s="165"/>
      <c r="AM105" s="166"/>
      <c r="AN105" s="126"/>
      <c r="AO105" s="126"/>
      <c r="AP105" s="117"/>
      <c r="AQ105" s="126"/>
      <c r="AR105" s="126"/>
      <c r="AS105" s="127"/>
    </row>
    <row r="106" spans="1:45" s="63" customFormat="1" ht="92.25">
      <c r="A106" s="91">
        <v>2</v>
      </c>
      <c r="B106" s="92" t="s">
        <v>616</v>
      </c>
      <c r="C106" s="93" t="s">
        <v>617</v>
      </c>
      <c r="D106" s="93" t="s">
        <v>468</v>
      </c>
      <c r="E106" s="93"/>
      <c r="F106" s="94">
        <f>F107+F127+F137+F148</f>
        <v>517777458.1358</v>
      </c>
      <c r="G106" s="94">
        <f>H106/G5</f>
        <v>736730950.4320749</v>
      </c>
      <c r="H106" s="94">
        <f>H107+H127+H137+H148</f>
        <v>517777458.88746399</v>
      </c>
      <c r="I106" s="94"/>
      <c r="J106" s="94">
        <f>J107+J127+J137+J148</f>
        <v>517777458.71760005</v>
      </c>
      <c r="K106" s="167" t="s">
        <v>618</v>
      </c>
      <c r="L106" s="96">
        <f>L107+L127+L137+L148</f>
        <v>41070677.789999999</v>
      </c>
      <c r="M106" s="96">
        <f>M107+M127+M137+M148</f>
        <v>36962177.789999999</v>
      </c>
      <c r="N106" s="96">
        <f t="shared" si="33"/>
        <v>554739636.50760007</v>
      </c>
      <c r="O106" s="95">
        <f>O107+O127+O137+O148</f>
        <v>343566082.9149</v>
      </c>
      <c r="P106" s="96">
        <f>P107+P127+P137+P148</f>
        <v>479598594.38</v>
      </c>
      <c r="Q106" s="97">
        <f t="shared" si="38"/>
        <v>0.92626395047756782</v>
      </c>
      <c r="R106" s="99">
        <v>0.92777741146852888</v>
      </c>
      <c r="S106" s="97">
        <f t="shared" si="24"/>
        <v>-1.5134609909610575E-3</v>
      </c>
      <c r="T106" s="97">
        <f t="shared" si="35"/>
        <v>0.86454719082152587</v>
      </c>
      <c r="U106" s="96">
        <f>U107+U127+U137+U148</f>
        <v>476010855.37</v>
      </c>
      <c r="V106" s="97">
        <f t="shared" si="39"/>
        <v>0.91933483653180836</v>
      </c>
      <c r="W106" s="99">
        <v>0.91570235447977588</v>
      </c>
      <c r="X106" s="97">
        <f t="shared" si="25"/>
        <v>3.6324820520324819E-3</v>
      </c>
      <c r="Y106" s="97">
        <f t="shared" si="36"/>
        <v>0.85807976218673987</v>
      </c>
      <c r="Z106" s="96">
        <f>Z107+Z127+Z137+Z148</f>
        <v>228595195.98000002</v>
      </c>
      <c r="AA106" s="96">
        <f>AA107+AA127+AA137+AA148</f>
        <v>27216414.289999999</v>
      </c>
      <c r="AB106" s="96">
        <f>AB107+AB127+AB137+AB148</f>
        <v>32147032.68</v>
      </c>
      <c r="AC106" s="96">
        <f>AC107+AC127+AC137+AC148</f>
        <v>11125437.57</v>
      </c>
      <c r="AD106" s="96">
        <f>AD107+AD127+AD137+AD148</f>
        <v>39812330.170000002</v>
      </c>
      <c r="AE106" s="96">
        <f t="shared" si="26"/>
        <v>248146312.77999997</v>
      </c>
      <c r="AF106" s="96">
        <f t="shared" si="27"/>
        <v>266937047.84</v>
      </c>
      <c r="AG106" s="281">
        <f>AG107+AG127+AG137+AG148</f>
        <v>287958642.94999999</v>
      </c>
      <c r="AH106" s="97">
        <f t="shared" si="40"/>
        <v>0.55614364453639709</v>
      </c>
      <c r="AI106" s="100">
        <v>0.54028105358289003</v>
      </c>
      <c r="AJ106" s="97">
        <f t="shared" si="29"/>
        <v>1.5862590953507061E-2</v>
      </c>
      <c r="AK106" s="97">
        <f t="shared" si="37"/>
        <v>0.51908791800575604</v>
      </c>
      <c r="AL106" s="168">
        <v>165856216.49573633</v>
      </c>
      <c r="AM106" s="102">
        <f>AL106/J106</f>
        <v>0.32032336229259378</v>
      </c>
      <c r="AN106" s="102">
        <v>0.32032336195273187</v>
      </c>
      <c r="AO106" s="102">
        <f>AM106-AN106</f>
        <v>3.3986191638746277E-10</v>
      </c>
      <c r="AP106" s="168">
        <v>212669306.5</v>
      </c>
      <c r="AQ106" s="102">
        <f>AP106/J106</f>
        <v>0.41073496522372083</v>
      </c>
      <c r="AR106" s="102">
        <v>0.39917582196320295</v>
      </c>
      <c r="AS106" s="103">
        <f>AQ106-AR106</f>
        <v>1.1559143260517879E-2</v>
      </c>
    </row>
    <row r="107" spans="1:45" s="63" customFormat="1" ht="60">
      <c r="A107" s="104" t="s">
        <v>387</v>
      </c>
      <c r="B107" s="105" t="s">
        <v>619</v>
      </c>
      <c r="C107" s="106"/>
      <c r="D107" s="106"/>
      <c r="E107" s="106"/>
      <c r="F107" s="107">
        <v>327536181</v>
      </c>
      <c r="G107" s="107"/>
      <c r="H107" s="107">
        <f>H108+H114</f>
        <v>318005285.239824</v>
      </c>
      <c r="I107" s="107"/>
      <c r="J107" s="107">
        <f>J108+J114</f>
        <v>318005285.06418002</v>
      </c>
      <c r="K107" s="169" t="s">
        <v>620</v>
      </c>
      <c r="L107" s="109">
        <f>L108+L114</f>
        <v>35070677.789999999</v>
      </c>
      <c r="M107" s="109">
        <f>M108+M114</f>
        <v>33962177.789999999</v>
      </c>
      <c r="N107" s="86">
        <f t="shared" si="33"/>
        <v>351967462.85418004</v>
      </c>
      <c r="O107" s="108">
        <f>O108+O114</f>
        <v>140468251.81</v>
      </c>
      <c r="P107" s="137">
        <f>P108+P114</f>
        <v>298750367.78999996</v>
      </c>
      <c r="Q107" s="138">
        <f t="shared" si="38"/>
        <v>0.93945095198561235</v>
      </c>
      <c r="R107" s="138">
        <v>0.94229905060617336</v>
      </c>
      <c r="S107" s="138">
        <f t="shared" si="24"/>
        <v>-2.8480986205610126E-3</v>
      </c>
      <c r="T107" s="138">
        <f t="shared" si="35"/>
        <v>0.84880109475850074</v>
      </c>
      <c r="U107" s="137">
        <f>U108+U114</f>
        <v>295614795.16999996</v>
      </c>
      <c r="V107" s="138">
        <f t="shared" si="39"/>
        <v>0.92959082460009679</v>
      </c>
      <c r="W107" s="138">
        <v>0.9233694208772355</v>
      </c>
      <c r="X107" s="138">
        <f t="shared" si="25"/>
        <v>6.2214037228612851E-3</v>
      </c>
      <c r="Y107" s="138">
        <f t="shared" si="36"/>
        <v>0.83989239452077713</v>
      </c>
      <c r="Z107" s="137">
        <f>Z108+Z114</f>
        <v>73058507.00999999</v>
      </c>
      <c r="AA107" s="137">
        <f>AA108+AA114</f>
        <v>26968766.829999998</v>
      </c>
      <c r="AB107" s="137">
        <f>AB108+AB114</f>
        <v>31968926.940000001</v>
      </c>
      <c r="AC107" s="137">
        <f>AC108+AC114</f>
        <v>10945558.07</v>
      </c>
      <c r="AD107" s="137">
        <f>AD108+AD114</f>
        <v>6282437.3600000003</v>
      </c>
      <c r="AE107" s="137">
        <f t="shared" si="26"/>
        <v>125713763.42</v>
      </c>
      <c r="AF107" s="137">
        <f t="shared" si="27"/>
        <v>110972831.91</v>
      </c>
      <c r="AG107" s="279">
        <f>AG108+AG114</f>
        <v>131996200.78</v>
      </c>
      <c r="AH107" s="110">
        <f t="shared" si="40"/>
        <v>0.4150754939602983</v>
      </c>
      <c r="AI107" s="110">
        <v>0.39155911749275141</v>
      </c>
      <c r="AJ107" s="110">
        <f t="shared" si="29"/>
        <v>2.3516376467546896E-2</v>
      </c>
      <c r="AK107" s="75">
        <f t="shared" si="37"/>
        <v>0.37502387212049193</v>
      </c>
      <c r="AL107" s="107"/>
      <c r="AM107" s="112"/>
      <c r="AN107" s="112"/>
      <c r="AO107" s="112"/>
      <c r="AP107" s="107"/>
      <c r="AQ107" s="112"/>
      <c r="AR107" s="112"/>
      <c r="AS107" s="113"/>
    </row>
    <row r="108" spans="1:45" s="63" customFormat="1" ht="126">
      <c r="A108" s="104" t="s">
        <v>621</v>
      </c>
      <c r="B108" s="105" t="s">
        <v>622</v>
      </c>
      <c r="C108" s="106" t="s">
        <v>617</v>
      </c>
      <c r="D108" s="106" t="s">
        <v>475</v>
      </c>
      <c r="E108" s="106"/>
      <c r="F108" s="107">
        <f>F109+F110+F111</f>
        <v>167317954</v>
      </c>
      <c r="G108" s="107"/>
      <c r="H108" s="107">
        <f>H109+H110+H111</f>
        <v>153973230.30987599</v>
      </c>
      <c r="I108" s="107"/>
      <c r="J108" s="107">
        <f>J109+J110+J111</f>
        <v>153973230.30987599</v>
      </c>
      <c r="K108" s="170" t="s">
        <v>623</v>
      </c>
      <c r="L108" s="109">
        <f>L109+L110+L111</f>
        <v>15000000</v>
      </c>
      <c r="M108" s="109">
        <f>M109+M110+M111</f>
        <v>13891500</v>
      </c>
      <c r="N108" s="86">
        <f t="shared" si="33"/>
        <v>167864730.30987599</v>
      </c>
      <c r="O108" s="108">
        <f>SUM(O109,O110,O111)</f>
        <v>58160289.439999998</v>
      </c>
      <c r="P108" s="137">
        <f>SUM(P109,P110,P111)</f>
        <v>136852397.78</v>
      </c>
      <c r="Q108" s="138">
        <f t="shared" si="38"/>
        <v>0.88880643410922944</v>
      </c>
      <c r="R108" s="138">
        <v>0.88882403457130033</v>
      </c>
      <c r="S108" s="138">
        <f t="shared" si="24"/>
        <v>-1.7600462070888057E-5</v>
      </c>
      <c r="T108" s="138">
        <f t="shared" si="35"/>
        <v>0.81525402940434444</v>
      </c>
      <c r="U108" s="137">
        <f>SUM(U109,U110,U111)</f>
        <v>135051660.78</v>
      </c>
      <c r="V108" s="138">
        <f t="shared" si="39"/>
        <v>0.87711130375198509</v>
      </c>
      <c r="W108" s="138">
        <v>0.87712890421405598</v>
      </c>
      <c r="X108" s="138">
        <f t="shared" si="25"/>
        <v>-1.7600462070888057E-5</v>
      </c>
      <c r="Y108" s="138">
        <f t="shared" si="36"/>
        <v>0.8045267194049428</v>
      </c>
      <c r="Z108" s="137">
        <f>SUM(Z109,Z110,Z111)</f>
        <v>26445633.350000001</v>
      </c>
      <c r="AA108" s="137">
        <f>SUM(AA109,AA110,AA111)</f>
        <v>0</v>
      </c>
      <c r="AB108" s="137">
        <f>SUM(AB109,AB110,AB111)</f>
        <v>31706975.210000001</v>
      </c>
      <c r="AC108" s="137">
        <f>SUM(AC109,AC110,AC111)</f>
        <v>763409.44999999902</v>
      </c>
      <c r="AD108" s="137">
        <f>SUM(AD109,AD110,AD111)</f>
        <v>62567</v>
      </c>
      <c r="AE108" s="137">
        <f t="shared" si="26"/>
        <v>58090041.560000002</v>
      </c>
      <c r="AF108" s="137">
        <f t="shared" si="27"/>
        <v>27209042.800000001</v>
      </c>
      <c r="AG108" s="279">
        <f>SUM(AG109,AG110,AG111)</f>
        <v>58152608.560000002</v>
      </c>
      <c r="AH108" s="110">
        <f t="shared" si="40"/>
        <v>0.37767999309338407</v>
      </c>
      <c r="AI108" s="110">
        <v>0.33579799901544094</v>
      </c>
      <c r="AJ108" s="110">
        <f t="shared" si="29"/>
        <v>4.188199407794313E-2</v>
      </c>
      <c r="AK108" s="75">
        <f t="shared" si="37"/>
        <v>0.34642541320413811</v>
      </c>
      <c r="AL108" s="107"/>
      <c r="AM108" s="112"/>
      <c r="AN108" s="112"/>
      <c r="AO108" s="112"/>
      <c r="AP108" s="107"/>
      <c r="AQ108" s="112"/>
      <c r="AR108" s="112"/>
      <c r="AS108" s="113"/>
    </row>
    <row r="109" spans="1:45" ht="49.5">
      <c r="A109" s="114" t="s">
        <v>624</v>
      </c>
      <c r="B109" s="115" t="s">
        <v>625</v>
      </c>
      <c r="C109" s="116" t="s">
        <v>617</v>
      </c>
      <c r="D109" s="116" t="s">
        <v>475</v>
      </c>
      <c r="E109" s="116"/>
      <c r="F109" s="117">
        <v>35843004</v>
      </c>
      <c r="G109" s="117">
        <v>51786945</v>
      </c>
      <c r="H109" s="171">
        <f>G109*G5</f>
        <v>36396072.093779996</v>
      </c>
      <c r="I109" s="171"/>
      <c r="J109" s="124">
        <v>36396072</v>
      </c>
      <c r="K109" s="172" t="s">
        <v>626</v>
      </c>
      <c r="L109" s="124">
        <v>15000000</v>
      </c>
      <c r="M109" s="124">
        <f>L109*0.9261</f>
        <v>13891500</v>
      </c>
      <c r="N109" s="118">
        <f t="shared" si="33"/>
        <v>50287572</v>
      </c>
      <c r="O109" s="173">
        <v>25173896.189999998</v>
      </c>
      <c r="P109" s="135">
        <v>33571088.399999999</v>
      </c>
      <c r="Q109" s="130">
        <f t="shared" si="38"/>
        <v>0.92238218453903487</v>
      </c>
      <c r="R109" s="131">
        <v>0.92243938851423302</v>
      </c>
      <c r="S109" s="130">
        <f t="shared" si="24"/>
        <v>-5.7203975198150125E-5</v>
      </c>
      <c r="T109" s="130">
        <f t="shared" si="35"/>
        <v>0.6675822089799841</v>
      </c>
      <c r="U109" s="134">
        <v>33571088.399999999</v>
      </c>
      <c r="V109" s="130">
        <f t="shared" si="39"/>
        <v>0.92238218453903487</v>
      </c>
      <c r="W109" s="131">
        <v>0.92243938851423302</v>
      </c>
      <c r="X109" s="130">
        <f t="shared" si="25"/>
        <v>-5.7203975198150125E-5</v>
      </c>
      <c r="Y109" s="130">
        <f t="shared" si="36"/>
        <v>0.6675822089799841</v>
      </c>
      <c r="Z109" s="134">
        <v>14822082.649999999</v>
      </c>
      <c r="AA109" s="134">
        <v>0</v>
      </c>
      <c r="AB109" s="134">
        <v>10968186.779999999</v>
      </c>
      <c r="AC109" s="134">
        <v>595921.64999999898</v>
      </c>
      <c r="AD109" s="134">
        <v>62567</v>
      </c>
      <c r="AE109" s="134">
        <f t="shared" si="26"/>
        <v>25727702.43</v>
      </c>
      <c r="AF109" s="174">
        <f t="shared" si="27"/>
        <v>15418004.299999997</v>
      </c>
      <c r="AG109" s="282">
        <f>SUM(Z109:AB109)</f>
        <v>25790269.43</v>
      </c>
      <c r="AH109" s="120">
        <f t="shared" si="40"/>
        <v>0.70860035198303817</v>
      </c>
      <c r="AI109" s="120">
        <v>0.66649635076004909</v>
      </c>
      <c r="AJ109" s="120">
        <f t="shared" si="29"/>
        <v>4.2104001222989074E-2</v>
      </c>
      <c r="AK109" s="175">
        <f t="shared" si="37"/>
        <v>0.51285572964230608</v>
      </c>
      <c r="AL109" s="117"/>
      <c r="AM109" s="126"/>
      <c r="AN109" s="126"/>
      <c r="AO109" s="126"/>
      <c r="AP109" s="117"/>
      <c r="AQ109" s="126"/>
      <c r="AR109" s="126"/>
      <c r="AS109" s="127"/>
    </row>
    <row r="110" spans="1:45" ht="132">
      <c r="A110" s="114" t="s">
        <v>627</v>
      </c>
      <c r="B110" s="115" t="s">
        <v>628</v>
      </c>
      <c r="C110" s="116" t="s">
        <v>617</v>
      </c>
      <c r="D110" s="116" t="s">
        <v>475</v>
      </c>
      <c r="E110" s="116"/>
      <c r="F110" s="117">
        <v>4919628</v>
      </c>
      <c r="G110" s="117">
        <v>6213055</v>
      </c>
      <c r="H110" s="122">
        <f>G110*G5</f>
        <v>4366559.9062200002</v>
      </c>
      <c r="I110" s="122"/>
      <c r="J110" s="122">
        <v>4366560</v>
      </c>
      <c r="K110" s="172" t="s">
        <v>629</v>
      </c>
      <c r="L110" s="122">
        <v>0</v>
      </c>
      <c r="M110" s="122"/>
      <c r="N110" s="118">
        <f t="shared" si="33"/>
        <v>4366560</v>
      </c>
      <c r="O110" s="176">
        <v>2918741.62</v>
      </c>
      <c r="P110" s="135">
        <v>4139715.38</v>
      </c>
      <c r="Q110" s="130">
        <f t="shared" si="38"/>
        <v>0.94804958136381956</v>
      </c>
      <c r="R110" s="131">
        <v>0.94819340167088051</v>
      </c>
      <c r="S110" s="130">
        <f t="shared" si="24"/>
        <v>-1.4382030706094895E-4</v>
      </c>
      <c r="T110" s="130">
        <f t="shared" si="35"/>
        <v>0.94804958136381956</v>
      </c>
      <c r="U110" s="134">
        <v>4139715.38</v>
      </c>
      <c r="V110" s="130">
        <f t="shared" si="39"/>
        <v>0.94804958136381956</v>
      </c>
      <c r="W110" s="131">
        <v>0.94819340167088051</v>
      </c>
      <c r="X110" s="130">
        <f t="shared" si="25"/>
        <v>-1.4382030706094895E-4</v>
      </c>
      <c r="Y110" s="130">
        <f t="shared" si="36"/>
        <v>0.94804958136381956</v>
      </c>
      <c r="Z110" s="134">
        <v>1874460.3499999999</v>
      </c>
      <c r="AA110" s="134">
        <v>0</v>
      </c>
      <c r="AB110" s="134">
        <v>1046472.99</v>
      </c>
      <c r="AC110" s="134">
        <v>167487.79999999999</v>
      </c>
      <c r="AD110" s="134">
        <v>0</v>
      </c>
      <c r="AE110" s="134">
        <f t="shared" si="26"/>
        <v>2920933.34</v>
      </c>
      <c r="AF110" s="174">
        <f t="shared" si="27"/>
        <v>2041948.15</v>
      </c>
      <c r="AG110" s="282">
        <f>SUM(Z110:AB110)</f>
        <v>2920933.34</v>
      </c>
      <c r="AH110" s="120">
        <f t="shared" si="40"/>
        <v>0.66893237239382941</v>
      </c>
      <c r="AI110" s="120">
        <v>0.63614846011505621</v>
      </c>
      <c r="AJ110" s="120">
        <f t="shared" si="29"/>
        <v>3.2783912278773197E-2</v>
      </c>
      <c r="AK110" s="175">
        <f t="shared" si="37"/>
        <v>0.66893237239382941</v>
      </c>
      <c r="AL110" s="117"/>
      <c r="AM110" s="126"/>
      <c r="AN110" s="126"/>
      <c r="AO110" s="126"/>
      <c r="AP110" s="117"/>
      <c r="AQ110" s="126"/>
      <c r="AR110" s="126"/>
      <c r="AS110" s="127"/>
    </row>
    <row r="111" spans="1:45" s="63" customFormat="1" ht="82.5">
      <c r="A111" s="139" t="s">
        <v>630</v>
      </c>
      <c r="B111" s="140" t="s">
        <v>631</v>
      </c>
      <c r="C111" s="141" t="s">
        <v>617</v>
      </c>
      <c r="D111" s="141" t="s">
        <v>475</v>
      </c>
      <c r="E111" s="141"/>
      <c r="F111" s="117">
        <f>F112+F113</f>
        <v>126555322</v>
      </c>
      <c r="G111" s="117">
        <f>G112+G113</f>
        <v>161084169</v>
      </c>
      <c r="H111" s="117">
        <f>H112+H113</f>
        <v>113210598.30987599</v>
      </c>
      <c r="I111" s="117"/>
      <c r="J111" s="117">
        <f>J112+J113</f>
        <v>113210598.30987599</v>
      </c>
      <c r="K111" s="172" t="s">
        <v>632</v>
      </c>
      <c r="L111" s="117">
        <f>L112+L113</f>
        <v>0</v>
      </c>
      <c r="M111" s="117">
        <f>M112+M113</f>
        <v>0</v>
      </c>
      <c r="N111" s="118">
        <f t="shared" si="33"/>
        <v>113210598.30987599</v>
      </c>
      <c r="O111" s="177">
        <f>SUM(O112,O113)</f>
        <v>30067651.630000003</v>
      </c>
      <c r="P111" s="135">
        <v>99141594</v>
      </c>
      <c r="Q111" s="130">
        <f t="shared" si="38"/>
        <v>0.87572714463210577</v>
      </c>
      <c r="R111" s="130">
        <v>0.87572714463210577</v>
      </c>
      <c r="S111" s="130">
        <f t="shared" si="24"/>
        <v>0</v>
      </c>
      <c r="T111" s="130">
        <f t="shared" si="35"/>
        <v>0.87572714463210577</v>
      </c>
      <c r="U111" s="135">
        <v>97340857</v>
      </c>
      <c r="V111" s="130">
        <f t="shared" si="39"/>
        <v>0.85982106316196738</v>
      </c>
      <c r="W111" s="130">
        <v>0.85982106316196738</v>
      </c>
      <c r="X111" s="130">
        <f t="shared" si="25"/>
        <v>0</v>
      </c>
      <c r="Y111" s="130">
        <f t="shared" si="36"/>
        <v>0.85982106316196738</v>
      </c>
      <c r="Z111" s="144">
        <f>SUM(Z112,Z113)</f>
        <v>9749090.3500000015</v>
      </c>
      <c r="AA111" s="144">
        <f>SUM(AA112,AA113)</f>
        <v>0</v>
      </c>
      <c r="AB111" s="144">
        <f>SUM(AB112,AB113)</f>
        <v>19692315.440000001</v>
      </c>
      <c r="AC111" s="144">
        <f>SUM(AC112,AC113)</f>
        <v>0</v>
      </c>
      <c r="AD111" s="144">
        <f>SUM(AD112,AD113)</f>
        <v>0</v>
      </c>
      <c r="AE111" s="144">
        <f t="shared" si="26"/>
        <v>29441405.790000003</v>
      </c>
      <c r="AF111" s="178">
        <f t="shared" si="27"/>
        <v>9749090.3500000015</v>
      </c>
      <c r="AG111" s="283">
        <f>SUM(AG112,AG113)</f>
        <v>29441405.790000003</v>
      </c>
      <c r="AH111" s="120">
        <f t="shared" si="40"/>
        <v>0.26005874211011626</v>
      </c>
      <c r="AI111" s="120">
        <v>0.21789720590009504</v>
      </c>
      <c r="AJ111" s="120">
        <f t="shared" si="29"/>
        <v>4.2161536210021222E-2</v>
      </c>
      <c r="AK111" s="175">
        <f t="shared" si="37"/>
        <v>0.26005874211011626</v>
      </c>
      <c r="AL111" s="117"/>
      <c r="AM111" s="126"/>
      <c r="AN111" s="126"/>
      <c r="AO111" s="126"/>
      <c r="AP111" s="117"/>
      <c r="AQ111" s="126"/>
      <c r="AR111" s="126"/>
      <c r="AS111" s="127"/>
    </row>
    <row r="112" spans="1:45" ht="66">
      <c r="A112" s="114" t="s">
        <v>633</v>
      </c>
      <c r="B112" s="115" t="s">
        <v>634</v>
      </c>
      <c r="C112" s="116" t="s">
        <v>635</v>
      </c>
      <c r="D112" s="116" t="s">
        <v>475</v>
      </c>
      <c r="E112" s="116"/>
      <c r="F112" s="122">
        <v>98443162</v>
      </c>
      <c r="G112" s="122">
        <v>146123578</v>
      </c>
      <c r="H112" s="122">
        <v>102696235.112712</v>
      </c>
      <c r="I112" s="122"/>
      <c r="J112" s="122">
        <v>102696235.112712</v>
      </c>
      <c r="K112" s="179" t="s">
        <v>636</v>
      </c>
      <c r="L112" s="122">
        <v>0</v>
      </c>
      <c r="M112" s="122">
        <f>L112*0.7812</f>
        <v>0</v>
      </c>
      <c r="N112" s="118">
        <f t="shared" si="33"/>
        <v>102696235.112712</v>
      </c>
      <c r="O112" s="176">
        <v>24567730.5</v>
      </c>
      <c r="P112" s="135">
        <v>88627231</v>
      </c>
      <c r="Q112" s="130">
        <f t="shared" si="38"/>
        <v>0.86300370118465519</v>
      </c>
      <c r="R112" s="131">
        <v>0.86300370118465519</v>
      </c>
      <c r="S112" s="130">
        <f t="shared" si="24"/>
        <v>0</v>
      </c>
      <c r="T112" s="130">
        <f t="shared" si="35"/>
        <v>0.86300370118465519</v>
      </c>
      <c r="U112" s="134">
        <v>86826494</v>
      </c>
      <c r="V112" s="130">
        <f t="shared" si="39"/>
        <v>0.84546910512060636</v>
      </c>
      <c r="W112" s="131">
        <v>0.84546910512060636</v>
      </c>
      <c r="X112" s="130">
        <f t="shared" si="25"/>
        <v>0</v>
      </c>
      <c r="Y112" s="130">
        <f t="shared" si="36"/>
        <v>0.84546910512060636</v>
      </c>
      <c r="Z112" s="134">
        <v>7580015.4400000004</v>
      </c>
      <c r="AA112" s="134">
        <v>0</v>
      </c>
      <c r="AB112" s="134">
        <v>19692315.440000001</v>
      </c>
      <c r="AC112" s="134">
        <v>0</v>
      </c>
      <c r="AD112" s="134">
        <v>0</v>
      </c>
      <c r="AE112" s="134">
        <f t="shared" si="26"/>
        <v>27272330.880000003</v>
      </c>
      <c r="AF112" s="174">
        <f t="shared" si="27"/>
        <v>7580015.4400000004</v>
      </c>
      <c r="AG112" s="282">
        <f>SUM(Z112:AB112)</f>
        <v>27272330.880000003</v>
      </c>
      <c r="AH112" s="120">
        <f t="shared" si="40"/>
        <v>0.26556310316602993</v>
      </c>
      <c r="AI112" s="120">
        <v>0.21908493641764473</v>
      </c>
      <c r="AJ112" s="120">
        <f t="shared" si="29"/>
        <v>4.6478166748385202E-2</v>
      </c>
      <c r="AK112" s="175">
        <f t="shared" si="37"/>
        <v>0.26556310316602993</v>
      </c>
      <c r="AL112" s="117"/>
      <c r="AM112" s="126"/>
      <c r="AN112" s="126"/>
      <c r="AO112" s="126"/>
      <c r="AP112" s="117"/>
      <c r="AQ112" s="126"/>
      <c r="AR112" s="126"/>
      <c r="AS112" s="127"/>
    </row>
    <row r="113" spans="1:45" ht="115.5">
      <c r="A113" s="114" t="s">
        <v>3</v>
      </c>
      <c r="B113" s="115" t="s">
        <v>637</v>
      </c>
      <c r="C113" s="116" t="s">
        <v>617</v>
      </c>
      <c r="D113" s="116" t="s">
        <v>475</v>
      </c>
      <c r="E113" s="116"/>
      <c r="F113" s="122">
        <v>28112160</v>
      </c>
      <c r="G113" s="122">
        <v>14960591</v>
      </c>
      <c r="H113" s="122">
        <v>10514363.197163999</v>
      </c>
      <c r="I113" s="122"/>
      <c r="J113" s="122">
        <v>10514363.197163999</v>
      </c>
      <c r="K113" s="172" t="s">
        <v>638</v>
      </c>
      <c r="L113" s="122">
        <v>0</v>
      </c>
      <c r="M113" s="122"/>
      <c r="N113" s="118">
        <f t="shared" si="33"/>
        <v>10514363.197163999</v>
      </c>
      <c r="O113" s="176">
        <v>5499921.1300000008</v>
      </c>
      <c r="P113" s="135">
        <v>10514363</v>
      </c>
      <c r="Q113" s="130">
        <f t="shared" si="38"/>
        <v>0.99999998124812739</v>
      </c>
      <c r="R113" s="131">
        <v>0.99999998124812739</v>
      </c>
      <c r="S113" s="130">
        <f t="shared" si="24"/>
        <v>0</v>
      </c>
      <c r="T113" s="130">
        <f t="shared" si="35"/>
        <v>0.99999998124812739</v>
      </c>
      <c r="U113" s="134">
        <v>10514363</v>
      </c>
      <c r="V113" s="130">
        <f t="shared" si="39"/>
        <v>0.99999998124812739</v>
      </c>
      <c r="W113" s="131">
        <v>0.99999998124812739</v>
      </c>
      <c r="X113" s="130">
        <f t="shared" si="25"/>
        <v>0</v>
      </c>
      <c r="Y113" s="130">
        <f t="shared" si="36"/>
        <v>0.99999998124812739</v>
      </c>
      <c r="Z113" s="134">
        <v>2169074.91</v>
      </c>
      <c r="AA113" s="134">
        <v>0</v>
      </c>
      <c r="AB113" s="134">
        <v>0</v>
      </c>
      <c r="AC113" s="134">
        <v>0</v>
      </c>
      <c r="AD113" s="134">
        <v>0</v>
      </c>
      <c r="AE113" s="134">
        <f t="shared" si="26"/>
        <v>2169074.91</v>
      </c>
      <c r="AF113" s="174">
        <f t="shared" si="27"/>
        <v>2169074.91</v>
      </c>
      <c r="AG113" s="282">
        <f>SUM(Z113:AB113)</f>
        <v>2169074.91</v>
      </c>
      <c r="AH113" s="120">
        <f t="shared" si="40"/>
        <v>0.20629636520308303</v>
      </c>
      <c r="AI113" s="120">
        <v>0.20629636520308303</v>
      </c>
      <c r="AJ113" s="120">
        <f t="shared" si="29"/>
        <v>0</v>
      </c>
      <c r="AK113" s="175">
        <f t="shared" si="37"/>
        <v>0.20629636520308303</v>
      </c>
      <c r="AL113" s="117"/>
      <c r="AM113" s="126"/>
      <c r="AN113" s="126"/>
      <c r="AO113" s="126"/>
      <c r="AP113" s="117"/>
      <c r="AQ113" s="126"/>
      <c r="AR113" s="126"/>
      <c r="AS113" s="127"/>
    </row>
    <row r="114" spans="1:45" s="63" customFormat="1" ht="220.5">
      <c r="A114" s="104" t="s">
        <v>639</v>
      </c>
      <c r="B114" s="105" t="s">
        <v>640</v>
      </c>
      <c r="C114" s="106" t="s">
        <v>617</v>
      </c>
      <c r="D114" s="106" t="s">
        <v>535</v>
      </c>
      <c r="E114" s="106"/>
      <c r="F114" s="107">
        <f>F115+F119+F124+F126</f>
        <v>160218227.47256398</v>
      </c>
      <c r="G114" s="107">
        <v>233396587</v>
      </c>
      <c r="H114" s="107">
        <f>G114*G5</f>
        <v>164032054.929948</v>
      </c>
      <c r="I114" s="107"/>
      <c r="J114" s="107">
        <f>J115+J119+J124+J126</f>
        <v>164032054.75430399</v>
      </c>
      <c r="K114" s="172" t="s">
        <v>641</v>
      </c>
      <c r="L114" s="109">
        <f>L115+L119+L124+L126</f>
        <v>20070677.789999999</v>
      </c>
      <c r="M114" s="109">
        <f>M115+M119+M124+M126</f>
        <v>20070677.789999999</v>
      </c>
      <c r="N114" s="86">
        <f t="shared" si="33"/>
        <v>184102732.54430398</v>
      </c>
      <c r="O114" s="108">
        <f>O115+O119+O124+O126</f>
        <v>82307962.370000005</v>
      </c>
      <c r="P114" s="137">
        <f>P115+P119+P124+P126</f>
        <v>161897970.00999999</v>
      </c>
      <c r="Q114" s="138">
        <f t="shared" si="38"/>
        <v>0.98698983105771276</v>
      </c>
      <c r="R114" s="138">
        <v>0.99249485528350212</v>
      </c>
      <c r="S114" s="138">
        <f t="shared" si="24"/>
        <v>-5.5050242257893567E-3</v>
      </c>
      <c r="T114" s="138">
        <f t="shared" si="35"/>
        <v>0.87938928321468313</v>
      </c>
      <c r="U114" s="137">
        <f>U115+U119+U124+U126</f>
        <v>160563134.38999999</v>
      </c>
      <c r="V114" s="138">
        <f t="shared" si="39"/>
        <v>0.97885218002359387</v>
      </c>
      <c r="W114" s="138">
        <v>0.96677436237533754</v>
      </c>
      <c r="X114" s="138">
        <f t="shared" si="25"/>
        <v>1.2077817648256328E-2</v>
      </c>
      <c r="Y114" s="138">
        <f t="shared" si="36"/>
        <v>0.87213878996261374</v>
      </c>
      <c r="Z114" s="137">
        <f>Z115+Z119+Z124+Z126</f>
        <v>46612873.659999996</v>
      </c>
      <c r="AA114" s="137">
        <f>AA115+AA119+AA124+AA126</f>
        <v>26968766.829999998</v>
      </c>
      <c r="AB114" s="137">
        <f>AB115+AB119+AB124+AB126</f>
        <v>261951.73</v>
      </c>
      <c r="AC114" s="137">
        <f>AC115+AC119+AC124+AC126</f>
        <v>10182148.620000001</v>
      </c>
      <c r="AD114" s="137">
        <f>AD115+AD119+AD124+AD126</f>
        <v>6219870.3600000003</v>
      </c>
      <c r="AE114" s="137">
        <f t="shared" si="26"/>
        <v>67623721.859999999</v>
      </c>
      <c r="AF114" s="137">
        <f t="shared" si="27"/>
        <v>83763789.109999999</v>
      </c>
      <c r="AG114" s="279">
        <f>AG115+AG119+AG124+AG126</f>
        <v>73843592.219999999</v>
      </c>
      <c r="AH114" s="110">
        <f t="shared" si="40"/>
        <v>0.45017781634575565</v>
      </c>
      <c r="AI114" s="110">
        <v>0.44390083553639142</v>
      </c>
      <c r="AJ114" s="110">
        <f t="shared" si="29"/>
        <v>6.2769808093642299E-3</v>
      </c>
      <c r="AK114" s="75">
        <f t="shared" si="37"/>
        <v>0.40109992502272979</v>
      </c>
      <c r="AL114" s="107"/>
      <c r="AM114" s="112"/>
      <c r="AN114" s="112"/>
      <c r="AO114" s="112"/>
      <c r="AP114" s="107"/>
      <c r="AQ114" s="112"/>
      <c r="AR114" s="112"/>
      <c r="AS114" s="113"/>
    </row>
    <row r="115" spans="1:45" s="63" customFormat="1" ht="82.5">
      <c r="A115" s="139" t="s">
        <v>642</v>
      </c>
      <c r="B115" s="140" t="s">
        <v>643</v>
      </c>
      <c r="C115" s="141" t="s">
        <v>617</v>
      </c>
      <c r="D115" s="141" t="s">
        <v>535</v>
      </c>
      <c r="E115" s="141"/>
      <c r="F115" s="117">
        <f>F116+F117+F118</f>
        <v>38443378.799999997</v>
      </c>
      <c r="G115" s="117">
        <v>55890644</v>
      </c>
      <c r="H115" s="117">
        <f>H116+H117+H118</f>
        <v>39280168.165775999</v>
      </c>
      <c r="I115" s="117"/>
      <c r="J115" s="117">
        <v>39280168</v>
      </c>
      <c r="K115" s="180" t="s">
        <v>644</v>
      </c>
      <c r="L115" s="145">
        <f>L116+L117+L118</f>
        <v>0</v>
      </c>
      <c r="M115" s="145">
        <f>M116+M117+M118</f>
        <v>0</v>
      </c>
      <c r="N115" s="118">
        <f t="shared" si="33"/>
        <v>39280168</v>
      </c>
      <c r="O115" s="177">
        <f>O116+O117+O118</f>
        <v>22374378.260000002</v>
      </c>
      <c r="P115" s="144">
        <f>P116+P117+P118</f>
        <v>39272491.490000002</v>
      </c>
      <c r="Q115" s="148">
        <f t="shared" si="38"/>
        <v>0.99980457033686831</v>
      </c>
      <c r="R115" s="130">
        <v>0.99980457033686831</v>
      </c>
      <c r="S115" s="130">
        <f t="shared" si="24"/>
        <v>0</v>
      </c>
      <c r="T115" s="130">
        <f t="shared" si="35"/>
        <v>0.99980457033686831</v>
      </c>
      <c r="U115" s="144">
        <f>U116+U117+U118</f>
        <v>39272491.490000002</v>
      </c>
      <c r="V115" s="130">
        <f t="shared" si="39"/>
        <v>0.99980457033686831</v>
      </c>
      <c r="W115" s="130">
        <v>0.99980457033686831</v>
      </c>
      <c r="X115" s="130">
        <f t="shared" si="25"/>
        <v>0</v>
      </c>
      <c r="Y115" s="130">
        <f t="shared" si="36"/>
        <v>0.99980457033686831</v>
      </c>
      <c r="Z115" s="144">
        <f>Z116+Z117+Z118</f>
        <v>1385245.24</v>
      </c>
      <c r="AA115" s="144">
        <f>AA116+AA117+AA118</f>
        <v>10893268.09</v>
      </c>
      <c r="AB115" s="144">
        <f>AB116+AB117+AB118</f>
        <v>261951.73</v>
      </c>
      <c r="AC115" s="144">
        <f>AC116+AC117+AC118</f>
        <v>1765782.3700000003</v>
      </c>
      <c r="AD115" s="144">
        <f>AD116+AD117+AD118</f>
        <v>0</v>
      </c>
      <c r="AE115" s="144">
        <f t="shared" si="26"/>
        <v>12540465.059999999</v>
      </c>
      <c r="AF115" s="178">
        <f t="shared" si="27"/>
        <v>14044295.700000001</v>
      </c>
      <c r="AG115" s="283">
        <f>AG116+AG117+AG118</f>
        <v>12540465.059999999</v>
      </c>
      <c r="AH115" s="152">
        <f t="shared" si="40"/>
        <v>0.31925691000099587</v>
      </c>
      <c r="AI115" s="152">
        <v>0.31820711993899825</v>
      </c>
      <c r="AJ115" s="152">
        <f t="shared" si="29"/>
        <v>1.0497900619976241E-3</v>
      </c>
      <c r="AK115" s="175">
        <f t="shared" si="37"/>
        <v>0.31925691000099587</v>
      </c>
      <c r="AL115" s="117"/>
      <c r="AM115" s="126"/>
      <c r="AN115" s="126"/>
      <c r="AO115" s="126"/>
      <c r="AP115" s="117"/>
      <c r="AQ115" s="126"/>
      <c r="AR115" s="126"/>
      <c r="AS115" s="127"/>
    </row>
    <row r="116" spans="1:45" ht="99">
      <c r="A116" s="114" t="s">
        <v>4</v>
      </c>
      <c r="B116" s="115" t="s">
        <v>645</v>
      </c>
      <c r="C116" s="116" t="s">
        <v>617</v>
      </c>
      <c r="D116" s="116" t="s">
        <v>535</v>
      </c>
      <c r="E116" s="116"/>
      <c r="F116" s="122">
        <v>36320910.719999999</v>
      </c>
      <c r="G116" s="122">
        <v>53178191</v>
      </c>
      <c r="H116" s="122">
        <f>G116*G5</f>
        <v>37373845.347563997</v>
      </c>
      <c r="I116" s="122"/>
      <c r="J116" s="122">
        <v>37373845</v>
      </c>
      <c r="K116" s="180" t="s">
        <v>646</v>
      </c>
      <c r="L116" s="122">
        <v>0</v>
      </c>
      <c r="M116" s="122"/>
      <c r="N116" s="118">
        <f t="shared" si="33"/>
        <v>37373845</v>
      </c>
      <c r="O116" s="176">
        <v>21102382.640000001</v>
      </c>
      <c r="P116" s="135">
        <v>37373552.460000001</v>
      </c>
      <c r="Q116" s="130">
        <f t="shared" si="38"/>
        <v>0.99999217260091922</v>
      </c>
      <c r="R116" s="131">
        <v>0.99999217260091922</v>
      </c>
      <c r="S116" s="130">
        <f t="shared" si="24"/>
        <v>0</v>
      </c>
      <c r="T116" s="130">
        <f t="shared" si="35"/>
        <v>0.99999217260091922</v>
      </c>
      <c r="U116" s="135">
        <v>37373552.460000001</v>
      </c>
      <c r="V116" s="130">
        <f t="shared" si="39"/>
        <v>0.99999217260091922</v>
      </c>
      <c r="W116" s="131">
        <v>0.99999217260091922</v>
      </c>
      <c r="X116" s="130">
        <f t="shared" si="25"/>
        <v>0</v>
      </c>
      <c r="Y116" s="130">
        <f t="shared" si="36"/>
        <v>0.99999217260091922</v>
      </c>
      <c r="Z116" s="134">
        <v>666625.04</v>
      </c>
      <c r="AA116" s="134">
        <v>10893268.09</v>
      </c>
      <c r="AB116" s="134">
        <v>0</v>
      </c>
      <c r="AC116" s="134">
        <v>1567302.5200000003</v>
      </c>
      <c r="AD116" s="134">
        <v>0</v>
      </c>
      <c r="AE116" s="134">
        <f t="shared" si="26"/>
        <v>11559893.129999999</v>
      </c>
      <c r="AF116" s="174">
        <f t="shared" si="27"/>
        <v>13127195.649999999</v>
      </c>
      <c r="AG116" s="284">
        <f>SUM(Z116:AB116)</f>
        <v>11559893.129999999</v>
      </c>
      <c r="AH116" s="120">
        <f t="shared" si="40"/>
        <v>0.30930435790055849</v>
      </c>
      <c r="AI116" s="120">
        <v>0.30912458003718912</v>
      </c>
      <c r="AJ116" s="120">
        <f t="shared" si="29"/>
        <v>1.7977786336936807E-4</v>
      </c>
      <c r="AK116" s="175">
        <f t="shared" si="37"/>
        <v>0.30930435790055849</v>
      </c>
      <c r="AL116" s="117"/>
      <c r="AM116" s="126"/>
      <c r="AN116" s="126"/>
      <c r="AO116" s="126"/>
      <c r="AP116" s="117"/>
      <c r="AQ116" s="126"/>
      <c r="AR116" s="126"/>
      <c r="AS116" s="127"/>
    </row>
    <row r="117" spans="1:45" ht="66">
      <c r="A117" s="114" t="s">
        <v>5</v>
      </c>
      <c r="B117" s="115" t="s">
        <v>647</v>
      </c>
      <c r="C117" s="116" t="s">
        <v>617</v>
      </c>
      <c r="D117" s="116" t="s">
        <v>535</v>
      </c>
      <c r="E117" s="116"/>
      <c r="F117" s="117">
        <v>2122468.08</v>
      </c>
      <c r="G117" s="117">
        <v>2712453</v>
      </c>
      <c r="H117" s="122">
        <f>G117*G5</f>
        <v>1906322.818212</v>
      </c>
      <c r="I117" s="122"/>
      <c r="J117" s="122">
        <v>1906323</v>
      </c>
      <c r="K117" s="180" t="s">
        <v>648</v>
      </c>
      <c r="L117" s="122">
        <v>0</v>
      </c>
      <c r="M117" s="122"/>
      <c r="N117" s="118">
        <f t="shared" si="33"/>
        <v>1906323</v>
      </c>
      <c r="O117" s="176">
        <v>1271995.6200000001</v>
      </c>
      <c r="P117" s="135">
        <v>1898939.03</v>
      </c>
      <c r="Q117" s="130">
        <f t="shared" si="38"/>
        <v>0.99612659029975514</v>
      </c>
      <c r="R117" s="131">
        <v>0.99612659029975514</v>
      </c>
      <c r="S117" s="130">
        <f t="shared" si="24"/>
        <v>0</v>
      </c>
      <c r="T117" s="130">
        <f t="shared" si="35"/>
        <v>0.99612659029975514</v>
      </c>
      <c r="U117" s="134">
        <v>1898939.03</v>
      </c>
      <c r="V117" s="130">
        <f t="shared" si="39"/>
        <v>0.99612659029975514</v>
      </c>
      <c r="W117" s="131">
        <v>0.99612659029975514</v>
      </c>
      <c r="X117" s="130">
        <f t="shared" si="25"/>
        <v>0</v>
      </c>
      <c r="Y117" s="130">
        <f t="shared" si="36"/>
        <v>0.99612659029975514</v>
      </c>
      <c r="Z117" s="134">
        <v>718620.2</v>
      </c>
      <c r="AA117" s="134">
        <v>0</v>
      </c>
      <c r="AB117" s="134">
        <v>261951.73</v>
      </c>
      <c r="AC117" s="134">
        <v>198479.85</v>
      </c>
      <c r="AD117" s="134">
        <v>0</v>
      </c>
      <c r="AE117" s="134">
        <f t="shared" si="26"/>
        <v>980571.92999999993</v>
      </c>
      <c r="AF117" s="174">
        <f t="shared" si="27"/>
        <v>917100.04999999993</v>
      </c>
      <c r="AG117" s="284">
        <f>SUM(Z117:AB117)</f>
        <v>980571.92999999993</v>
      </c>
      <c r="AH117" s="120">
        <f t="shared" si="40"/>
        <v>0.5143786913340499</v>
      </c>
      <c r="AI117" s="120">
        <v>0.49627213751289784</v>
      </c>
      <c r="AJ117" s="120">
        <f t="shared" si="29"/>
        <v>1.810655382115206E-2</v>
      </c>
      <c r="AK117" s="175">
        <f t="shared" si="37"/>
        <v>0.5143786913340499</v>
      </c>
      <c r="AL117" s="117"/>
      <c r="AM117" s="126"/>
      <c r="AN117" s="126"/>
      <c r="AO117" s="126"/>
      <c r="AP117" s="117"/>
      <c r="AQ117" s="126"/>
      <c r="AR117" s="126"/>
      <c r="AS117" s="127"/>
    </row>
    <row r="118" spans="1:45" ht="66">
      <c r="A118" s="114" t="s">
        <v>6</v>
      </c>
      <c r="B118" s="115" t="s">
        <v>649</v>
      </c>
      <c r="C118" s="116" t="s">
        <v>617</v>
      </c>
      <c r="D118" s="116" t="s">
        <v>535</v>
      </c>
      <c r="E118" s="116"/>
      <c r="F118" s="117">
        <v>0</v>
      </c>
      <c r="G118" s="117">
        <v>0</v>
      </c>
      <c r="H118" s="122">
        <v>0</v>
      </c>
      <c r="I118" s="122"/>
      <c r="J118" s="122">
        <v>0</v>
      </c>
      <c r="K118" s="181" t="s">
        <v>469</v>
      </c>
      <c r="L118" s="122">
        <v>0</v>
      </c>
      <c r="M118" s="122"/>
      <c r="N118" s="118">
        <f t="shared" si="33"/>
        <v>0</v>
      </c>
      <c r="O118" s="176">
        <v>0</v>
      </c>
      <c r="P118" s="135">
        <v>0</v>
      </c>
      <c r="Q118" s="130">
        <v>0</v>
      </c>
      <c r="R118" s="131">
        <v>0</v>
      </c>
      <c r="S118" s="130">
        <f t="shared" si="24"/>
        <v>0</v>
      </c>
      <c r="T118" s="130" t="e">
        <f t="shared" si="35"/>
        <v>#DIV/0!</v>
      </c>
      <c r="U118" s="134">
        <v>0</v>
      </c>
      <c r="V118" s="130"/>
      <c r="W118" s="131"/>
      <c r="X118" s="130">
        <f t="shared" si="25"/>
        <v>0</v>
      </c>
      <c r="Y118" s="130" t="e">
        <f t="shared" si="36"/>
        <v>#DIV/0!</v>
      </c>
      <c r="Z118" s="134">
        <v>0</v>
      </c>
      <c r="AA118" s="134">
        <v>0</v>
      </c>
      <c r="AB118" s="134">
        <v>0</v>
      </c>
      <c r="AC118" s="134">
        <v>0</v>
      </c>
      <c r="AD118" s="134">
        <v>0</v>
      </c>
      <c r="AE118" s="134">
        <f t="shared" si="26"/>
        <v>0</v>
      </c>
      <c r="AF118" s="174">
        <f t="shared" si="27"/>
        <v>0</v>
      </c>
      <c r="AG118" s="284">
        <f>SUM(Z118:AB118)</f>
        <v>0</v>
      </c>
      <c r="AH118" s="120">
        <v>0</v>
      </c>
      <c r="AI118" s="120">
        <v>0</v>
      </c>
      <c r="AJ118" s="120">
        <f t="shared" si="29"/>
        <v>0</v>
      </c>
      <c r="AK118" s="175" t="e">
        <f t="shared" si="37"/>
        <v>#DIV/0!</v>
      </c>
      <c r="AL118" s="117"/>
      <c r="AM118" s="126"/>
      <c r="AN118" s="126"/>
      <c r="AO118" s="126"/>
      <c r="AP118" s="117"/>
      <c r="AQ118" s="126"/>
      <c r="AR118" s="126"/>
      <c r="AS118" s="127"/>
    </row>
    <row r="119" spans="1:45" s="63" customFormat="1" ht="141.75">
      <c r="A119" s="139" t="s">
        <v>650</v>
      </c>
      <c r="B119" s="140" t="s">
        <v>651</v>
      </c>
      <c r="C119" s="141" t="s">
        <v>617</v>
      </c>
      <c r="D119" s="141" t="s">
        <v>535</v>
      </c>
      <c r="E119" s="141"/>
      <c r="F119" s="117">
        <f>F120+F121+F122</f>
        <v>87984032.672563985</v>
      </c>
      <c r="G119" s="117">
        <v>69392850</v>
      </c>
      <c r="H119" s="117">
        <f>H120+H121+H122+H123</f>
        <v>48769572.551399991</v>
      </c>
      <c r="I119" s="117"/>
      <c r="J119" s="117">
        <f>J120+J121+J122+J123</f>
        <v>48769572.541531995</v>
      </c>
      <c r="K119" s="182" t="s">
        <v>652</v>
      </c>
      <c r="L119" s="145">
        <f>L120+L121+L122</f>
        <v>0</v>
      </c>
      <c r="M119" s="145">
        <f>M120+M121+M122</f>
        <v>0</v>
      </c>
      <c r="N119" s="118">
        <f t="shared" si="33"/>
        <v>48769572.541531995</v>
      </c>
      <c r="O119" s="177">
        <f>O120+O121+O122</f>
        <v>18722222.459999997</v>
      </c>
      <c r="P119" s="144">
        <v>38140646.700000003</v>
      </c>
      <c r="Q119" s="130">
        <f>P119/J119</f>
        <v>0.7820582529715544</v>
      </c>
      <c r="R119" s="130">
        <v>0.80057390311862286</v>
      </c>
      <c r="S119" s="130">
        <f t="shared" si="24"/>
        <v>-1.8515650147068463E-2</v>
      </c>
      <c r="T119" s="130">
        <f t="shared" si="35"/>
        <v>0.7820582529715544</v>
      </c>
      <c r="U119" s="144">
        <v>38140646.700000003</v>
      </c>
      <c r="V119" s="130">
        <f>U119/J119</f>
        <v>0.7820582529715544</v>
      </c>
      <c r="W119" s="130">
        <v>0.80057390311862286</v>
      </c>
      <c r="X119" s="130">
        <f t="shared" si="25"/>
        <v>-1.8515650147068463E-2</v>
      </c>
      <c r="Y119" s="130">
        <f t="shared" si="36"/>
        <v>0.7820582529715544</v>
      </c>
      <c r="Z119" s="144">
        <f>Z120+Z121+Z122</f>
        <v>20229515.959999997</v>
      </c>
      <c r="AA119" s="144">
        <f>AA120+AA121+AA122</f>
        <v>1388006.4400000002</v>
      </c>
      <c r="AB119" s="144">
        <f>AB120+AB121+AB122</f>
        <v>0</v>
      </c>
      <c r="AC119" s="144">
        <f>AC120+AC121+AC122</f>
        <v>578239.23000000091</v>
      </c>
      <c r="AD119" s="144">
        <f>AD120+AD121+AD122</f>
        <v>118125</v>
      </c>
      <c r="AE119" s="144">
        <f t="shared" si="26"/>
        <v>21499397.399999995</v>
      </c>
      <c r="AF119" s="178">
        <f t="shared" si="27"/>
        <v>22195761.629999999</v>
      </c>
      <c r="AG119" s="283">
        <f>AG120+AG121+AG122</f>
        <v>21617522.399999995</v>
      </c>
      <c r="AH119" s="120">
        <f>AG119/J119</f>
        <v>0.44325839398306371</v>
      </c>
      <c r="AI119" s="120">
        <v>0.42554700278845464</v>
      </c>
      <c r="AJ119" s="120">
        <f t="shared" si="29"/>
        <v>1.7711391194609072E-2</v>
      </c>
      <c r="AK119" s="175">
        <f t="shared" si="37"/>
        <v>0.44325839398306371</v>
      </c>
      <c r="AL119" s="117"/>
      <c r="AM119" s="126"/>
      <c r="AN119" s="126"/>
      <c r="AO119" s="126"/>
      <c r="AP119" s="117"/>
      <c r="AQ119" s="126"/>
      <c r="AR119" s="126"/>
      <c r="AS119" s="127"/>
    </row>
    <row r="120" spans="1:45" ht="141.75">
      <c r="A120" s="114" t="s">
        <v>653</v>
      </c>
      <c r="B120" s="115" t="s">
        <v>654</v>
      </c>
      <c r="C120" s="116" t="s">
        <v>617</v>
      </c>
      <c r="D120" s="116" t="s">
        <v>535</v>
      </c>
      <c r="E120" s="116"/>
      <c r="F120" s="122">
        <v>43386001.799999997</v>
      </c>
      <c r="G120" s="122">
        <v>10380567</v>
      </c>
      <c r="H120" s="122">
        <f>G120*G5</f>
        <v>7295504.0098679997</v>
      </c>
      <c r="I120" s="122"/>
      <c r="J120" s="122">
        <v>7295504</v>
      </c>
      <c r="K120" s="183" t="s">
        <v>655</v>
      </c>
      <c r="L120" s="122">
        <v>0</v>
      </c>
      <c r="M120" s="122"/>
      <c r="N120" s="118">
        <f t="shared" si="33"/>
        <v>7295504</v>
      </c>
      <c r="O120" s="176">
        <v>5345657.0199999996</v>
      </c>
      <c r="P120" s="135">
        <v>5892305.8399999999</v>
      </c>
      <c r="Q120" s="130">
        <f>P120/J120</f>
        <v>0.80766261522164884</v>
      </c>
      <c r="R120" s="131">
        <v>0.80766261522164884</v>
      </c>
      <c r="S120" s="130">
        <f t="shared" si="24"/>
        <v>0</v>
      </c>
      <c r="T120" s="130">
        <f t="shared" si="35"/>
        <v>0.80766261522164884</v>
      </c>
      <c r="U120" s="134">
        <v>5892305.8399999999</v>
      </c>
      <c r="V120" s="130">
        <f>U120/J120</f>
        <v>0.80766261522164884</v>
      </c>
      <c r="W120" s="131">
        <v>0.80766261522164884</v>
      </c>
      <c r="X120" s="130">
        <f t="shared" si="25"/>
        <v>0</v>
      </c>
      <c r="Y120" s="130">
        <f t="shared" si="36"/>
        <v>0.80766261522164884</v>
      </c>
      <c r="Z120" s="134">
        <v>4836408.68</v>
      </c>
      <c r="AA120" s="134">
        <v>152923.82999999999</v>
      </c>
      <c r="AB120" s="134">
        <v>0</v>
      </c>
      <c r="AC120" s="134">
        <v>138923.83000000092</v>
      </c>
      <c r="AD120" s="134">
        <v>14000</v>
      </c>
      <c r="AE120" s="134">
        <f t="shared" si="26"/>
        <v>4975332.51</v>
      </c>
      <c r="AF120" s="174">
        <f t="shared" si="27"/>
        <v>5128256.3400000008</v>
      </c>
      <c r="AG120" s="284">
        <f>SUM(Z120:AB120)</f>
        <v>4989332.51</v>
      </c>
      <c r="AH120" s="120">
        <f>AG120/J120</f>
        <v>0.68389140901026169</v>
      </c>
      <c r="AI120" s="120">
        <v>0.68389140901026169</v>
      </c>
      <c r="AJ120" s="120">
        <f t="shared" si="29"/>
        <v>0</v>
      </c>
      <c r="AK120" s="175">
        <f t="shared" si="37"/>
        <v>0.68389140901026169</v>
      </c>
      <c r="AL120" s="117"/>
      <c r="AM120" s="126"/>
      <c r="AN120" s="126"/>
      <c r="AO120" s="126"/>
      <c r="AP120" s="117"/>
      <c r="AQ120" s="126"/>
      <c r="AR120" s="126"/>
      <c r="AS120" s="127"/>
    </row>
    <row r="121" spans="1:45" ht="141.75">
      <c r="A121" s="114" t="s">
        <v>656</v>
      </c>
      <c r="B121" s="115" t="s">
        <v>657</v>
      </c>
      <c r="C121" s="116" t="s">
        <v>617</v>
      </c>
      <c r="D121" s="116" t="s">
        <v>535</v>
      </c>
      <c r="E121" s="116"/>
      <c r="F121" s="122">
        <v>43748030.899999999</v>
      </c>
      <c r="G121" s="122">
        <v>55917872</v>
      </c>
      <c r="H121" s="122">
        <f>G121*G5</f>
        <v>39299304.113087997</v>
      </c>
      <c r="I121" s="122"/>
      <c r="J121" s="122">
        <v>39299304.113087997</v>
      </c>
      <c r="K121" s="183" t="s">
        <v>655</v>
      </c>
      <c r="L121" s="122">
        <v>0</v>
      </c>
      <c r="M121" s="122"/>
      <c r="N121" s="118">
        <f t="shared" si="33"/>
        <v>39299304.113087997</v>
      </c>
      <c r="O121" s="176">
        <v>13331726.74</v>
      </c>
      <c r="P121" s="135">
        <v>32176503.359999999</v>
      </c>
      <c r="Q121" s="130">
        <f>P121/J121</f>
        <v>0.81875504124471599</v>
      </c>
      <c r="R121" s="131">
        <v>0.84173254734511715</v>
      </c>
      <c r="S121" s="130">
        <f t="shared" si="24"/>
        <v>-2.2977506100401168E-2</v>
      </c>
      <c r="T121" s="130">
        <f t="shared" si="35"/>
        <v>0.81875504124471599</v>
      </c>
      <c r="U121" s="134">
        <v>32176503.359999999</v>
      </c>
      <c r="V121" s="130">
        <f>U121/J121</f>
        <v>0.81875504124471599</v>
      </c>
      <c r="W121" s="131">
        <v>0.84173254734511715</v>
      </c>
      <c r="X121" s="130">
        <f t="shared" si="25"/>
        <v>-2.2977506100401168E-2</v>
      </c>
      <c r="Y121" s="130">
        <f t="shared" si="36"/>
        <v>0.81875504124471599</v>
      </c>
      <c r="Z121" s="134">
        <v>15382469.579999998</v>
      </c>
      <c r="AA121" s="134">
        <v>1235082.6100000001</v>
      </c>
      <c r="AB121" s="134">
        <v>0</v>
      </c>
      <c r="AC121" s="134">
        <v>439315.4</v>
      </c>
      <c r="AD121" s="134">
        <v>104125</v>
      </c>
      <c r="AE121" s="134">
        <f t="shared" si="26"/>
        <v>16513427.189999998</v>
      </c>
      <c r="AF121" s="174">
        <f t="shared" si="27"/>
        <v>17056867.589999996</v>
      </c>
      <c r="AG121" s="284">
        <f>SUM(Z121:AB121)</f>
        <v>16617552.189999998</v>
      </c>
      <c r="AH121" s="120">
        <f>AG121/J121</f>
        <v>0.42284596547005499</v>
      </c>
      <c r="AI121" s="120">
        <v>0.40086651368346898</v>
      </c>
      <c r="AJ121" s="120">
        <f t="shared" si="29"/>
        <v>2.1979451786586002E-2</v>
      </c>
      <c r="AK121" s="175">
        <f t="shared" si="37"/>
        <v>0.42284596547005499</v>
      </c>
      <c r="AL121" s="117"/>
      <c r="AM121" s="126"/>
      <c r="AN121" s="126"/>
      <c r="AO121" s="126"/>
      <c r="AP121" s="117"/>
      <c r="AQ121" s="126"/>
      <c r="AR121" s="126"/>
      <c r="AS121" s="127"/>
    </row>
    <row r="122" spans="1:45" ht="141.75">
      <c r="A122" s="114" t="s">
        <v>9</v>
      </c>
      <c r="B122" s="115" t="s">
        <v>658</v>
      </c>
      <c r="C122" s="116" t="s">
        <v>617</v>
      </c>
      <c r="D122" s="116" t="s">
        <v>535</v>
      </c>
      <c r="E122" s="116"/>
      <c r="F122" s="117">
        <v>849999.97256399994</v>
      </c>
      <c r="G122" s="117">
        <v>248667</v>
      </c>
      <c r="H122" s="122">
        <f>G122*G5</f>
        <v>174764.16226799999</v>
      </c>
      <c r="I122" s="122"/>
      <c r="J122" s="122">
        <v>174764.16226799999</v>
      </c>
      <c r="K122" s="183" t="s">
        <v>655</v>
      </c>
      <c r="L122" s="122">
        <v>0</v>
      </c>
      <c r="M122" s="122"/>
      <c r="N122" s="118">
        <f t="shared" si="33"/>
        <v>174764.16226799999</v>
      </c>
      <c r="O122" s="176">
        <v>44838.7</v>
      </c>
      <c r="P122" s="135">
        <v>71837.5</v>
      </c>
      <c r="Q122" s="130">
        <f>P122/J122</f>
        <v>0.41105395447058274</v>
      </c>
      <c r="R122" s="131">
        <v>0.41105433613329978</v>
      </c>
      <c r="S122" s="130">
        <f t="shared" si="24"/>
        <v>-3.8166271704165311E-7</v>
      </c>
      <c r="T122" s="130">
        <f t="shared" si="35"/>
        <v>0.41105395447058274</v>
      </c>
      <c r="U122" s="134">
        <v>71837.5</v>
      </c>
      <c r="V122" s="130">
        <f>U122/J122</f>
        <v>0.41105395447058274</v>
      </c>
      <c r="W122" s="131">
        <v>0.41105433613329978</v>
      </c>
      <c r="X122" s="130">
        <f t="shared" si="25"/>
        <v>-3.8166271704165311E-7</v>
      </c>
      <c r="Y122" s="130">
        <f t="shared" si="36"/>
        <v>0.41105395447058274</v>
      </c>
      <c r="Z122" s="134">
        <v>10637.7</v>
      </c>
      <c r="AA122" s="134">
        <v>0</v>
      </c>
      <c r="AB122" s="134">
        <v>0</v>
      </c>
      <c r="AC122" s="134">
        <v>0</v>
      </c>
      <c r="AD122" s="134">
        <v>0</v>
      </c>
      <c r="AE122" s="134">
        <f t="shared" si="26"/>
        <v>10637.7</v>
      </c>
      <c r="AF122" s="174">
        <f t="shared" si="27"/>
        <v>10637.7</v>
      </c>
      <c r="AG122" s="284">
        <f>SUM(Z122:AB122)</f>
        <v>10637.7</v>
      </c>
      <c r="AH122" s="120">
        <f>AG122/J122</f>
        <v>6.0868886743994689E-2</v>
      </c>
      <c r="AI122" s="120">
        <v>6.0868943260625766E-2</v>
      </c>
      <c r="AJ122" s="120">
        <f t="shared" si="29"/>
        <v>-5.651663107647531E-8</v>
      </c>
      <c r="AK122" s="175">
        <f t="shared" si="37"/>
        <v>6.0868886743994689E-2</v>
      </c>
      <c r="AL122" s="117"/>
      <c r="AM122" s="126"/>
      <c r="AN122" s="126"/>
      <c r="AO122" s="126"/>
      <c r="AP122" s="117"/>
      <c r="AQ122" s="126"/>
      <c r="AR122" s="126"/>
      <c r="AS122" s="127"/>
    </row>
    <row r="123" spans="1:45" ht="82.5">
      <c r="A123" s="114" t="s">
        <v>144</v>
      </c>
      <c r="B123" s="115" t="s">
        <v>659</v>
      </c>
      <c r="C123" s="116" t="s">
        <v>617</v>
      </c>
      <c r="D123" s="116" t="s">
        <v>535</v>
      </c>
      <c r="E123" s="116"/>
      <c r="F123" s="117"/>
      <c r="G123" s="117">
        <v>2845744</v>
      </c>
      <c r="H123" s="122">
        <f>G123*G5</f>
        <v>2000000.266176</v>
      </c>
      <c r="I123" s="122"/>
      <c r="J123" s="122">
        <v>2000000.266176</v>
      </c>
      <c r="K123" s="172" t="s">
        <v>660</v>
      </c>
      <c r="L123" s="122">
        <v>0</v>
      </c>
      <c r="M123" s="122"/>
      <c r="N123" s="118">
        <f t="shared" si="33"/>
        <v>2000000.266176</v>
      </c>
      <c r="O123" s="176">
        <v>0</v>
      </c>
      <c r="P123" s="135">
        <v>0</v>
      </c>
      <c r="Q123" s="130">
        <f>P123/J123</f>
        <v>0</v>
      </c>
      <c r="R123" s="131">
        <v>0</v>
      </c>
      <c r="S123" s="130">
        <f t="shared" si="24"/>
        <v>0</v>
      </c>
      <c r="T123" s="130">
        <f t="shared" si="35"/>
        <v>0</v>
      </c>
      <c r="U123" s="134">
        <v>0</v>
      </c>
      <c r="V123" s="130">
        <f>U123/J123</f>
        <v>0</v>
      </c>
      <c r="W123" s="131">
        <v>0</v>
      </c>
      <c r="X123" s="130">
        <f t="shared" si="25"/>
        <v>0</v>
      </c>
      <c r="Y123" s="130">
        <f t="shared" si="36"/>
        <v>0</v>
      </c>
      <c r="Z123" s="134">
        <v>0</v>
      </c>
      <c r="AA123" s="134">
        <v>0</v>
      </c>
      <c r="AB123" s="134">
        <v>0</v>
      </c>
      <c r="AC123" s="134">
        <v>0</v>
      </c>
      <c r="AD123" s="134">
        <v>0</v>
      </c>
      <c r="AE123" s="134">
        <v>0</v>
      </c>
      <c r="AF123" s="174">
        <v>0</v>
      </c>
      <c r="AG123" s="284">
        <v>0</v>
      </c>
      <c r="AH123" s="120">
        <f>AG123/J123</f>
        <v>0</v>
      </c>
      <c r="AI123" s="120">
        <v>0</v>
      </c>
      <c r="AJ123" s="120">
        <f t="shared" si="29"/>
        <v>0</v>
      </c>
      <c r="AK123" s="175">
        <f t="shared" si="37"/>
        <v>0</v>
      </c>
      <c r="AL123" s="117"/>
      <c r="AM123" s="126"/>
      <c r="AN123" s="126"/>
      <c r="AO123" s="126"/>
      <c r="AP123" s="117"/>
      <c r="AQ123" s="126"/>
      <c r="AR123" s="126"/>
      <c r="AS123" s="127"/>
    </row>
    <row r="124" spans="1:45" s="63" customFormat="1" ht="94.5">
      <c r="A124" s="139" t="s">
        <v>661</v>
      </c>
      <c r="B124" s="140" t="s">
        <v>662</v>
      </c>
      <c r="C124" s="141" t="s">
        <v>635</v>
      </c>
      <c r="D124" s="141" t="s">
        <v>535</v>
      </c>
      <c r="E124" s="141"/>
      <c r="F124" s="117">
        <v>14056080</v>
      </c>
      <c r="G124" s="117">
        <v>0</v>
      </c>
      <c r="H124" s="117">
        <f>I125</f>
        <v>0</v>
      </c>
      <c r="I124" s="117"/>
      <c r="J124" s="117">
        <f>J125</f>
        <v>0</v>
      </c>
      <c r="K124" s="172" t="s">
        <v>663</v>
      </c>
      <c r="L124" s="117">
        <f>L125</f>
        <v>0</v>
      </c>
      <c r="M124" s="117"/>
      <c r="N124" s="118">
        <f t="shared" si="33"/>
        <v>0</v>
      </c>
      <c r="O124" s="119">
        <v>0</v>
      </c>
      <c r="P124" s="144">
        <f>P125</f>
        <v>0</v>
      </c>
      <c r="Q124" s="130">
        <v>0</v>
      </c>
      <c r="R124" s="130">
        <v>0</v>
      </c>
      <c r="S124" s="130">
        <f t="shared" si="24"/>
        <v>0</v>
      </c>
      <c r="T124" s="130" t="e">
        <f t="shared" si="35"/>
        <v>#DIV/0!</v>
      </c>
      <c r="U124" s="144">
        <f>U125</f>
        <v>0</v>
      </c>
      <c r="V124" s="130">
        <v>0</v>
      </c>
      <c r="W124" s="130">
        <v>0</v>
      </c>
      <c r="X124" s="130">
        <f t="shared" si="25"/>
        <v>0</v>
      </c>
      <c r="Y124" s="130" t="e">
        <f t="shared" si="36"/>
        <v>#DIV/0!</v>
      </c>
      <c r="Z124" s="144">
        <f>Z125</f>
        <v>0</v>
      </c>
      <c r="AA124" s="144">
        <f>AA125</f>
        <v>0</v>
      </c>
      <c r="AB124" s="144">
        <f>AB125</f>
        <v>0</v>
      </c>
      <c r="AC124" s="144">
        <f>AC125</f>
        <v>0</v>
      </c>
      <c r="AD124" s="144">
        <f>AD125</f>
        <v>0</v>
      </c>
      <c r="AE124" s="144">
        <f t="shared" ref="AE124:AE132" si="42">AG124-AD124</f>
        <v>0</v>
      </c>
      <c r="AF124" s="178">
        <f t="shared" ref="AF124:AF133" si="43">Z124+AA124+AC124</f>
        <v>0</v>
      </c>
      <c r="AG124" s="283">
        <f>AG125</f>
        <v>0</v>
      </c>
      <c r="AH124" s="120">
        <v>0</v>
      </c>
      <c r="AI124" s="120">
        <v>0</v>
      </c>
      <c r="AJ124" s="120">
        <f t="shared" si="29"/>
        <v>0</v>
      </c>
      <c r="AK124" s="175" t="e">
        <f t="shared" si="37"/>
        <v>#DIV/0!</v>
      </c>
      <c r="AL124" s="117"/>
      <c r="AM124" s="126"/>
      <c r="AN124" s="126"/>
      <c r="AO124" s="126"/>
      <c r="AP124" s="117"/>
      <c r="AQ124" s="126"/>
      <c r="AR124" s="126"/>
      <c r="AS124" s="127"/>
    </row>
    <row r="125" spans="1:45" ht="94.5">
      <c r="A125" s="114" t="s">
        <v>146</v>
      </c>
      <c r="B125" s="115" t="s">
        <v>664</v>
      </c>
      <c r="C125" s="116" t="s">
        <v>617</v>
      </c>
      <c r="D125" s="116" t="s">
        <v>535</v>
      </c>
      <c r="E125" s="116"/>
      <c r="F125" s="117">
        <v>14056080</v>
      </c>
      <c r="G125" s="117"/>
      <c r="H125" s="122">
        <v>0</v>
      </c>
      <c r="I125" s="122"/>
      <c r="J125" s="122">
        <v>0</v>
      </c>
      <c r="K125" s="172" t="s">
        <v>663</v>
      </c>
      <c r="L125" s="122">
        <v>0</v>
      </c>
      <c r="M125" s="122"/>
      <c r="N125" s="118">
        <f t="shared" si="33"/>
        <v>0</v>
      </c>
      <c r="O125" s="119">
        <v>0</v>
      </c>
      <c r="P125" s="135">
        <v>0</v>
      </c>
      <c r="Q125" s="130">
        <v>0</v>
      </c>
      <c r="R125" s="131">
        <v>0</v>
      </c>
      <c r="S125" s="130">
        <f t="shared" si="24"/>
        <v>0</v>
      </c>
      <c r="T125" s="130" t="e">
        <f t="shared" si="35"/>
        <v>#DIV/0!</v>
      </c>
      <c r="U125" s="134">
        <v>0</v>
      </c>
      <c r="V125" s="130">
        <v>0</v>
      </c>
      <c r="W125" s="131">
        <v>0</v>
      </c>
      <c r="X125" s="130">
        <f t="shared" si="25"/>
        <v>0</v>
      </c>
      <c r="Y125" s="130" t="e">
        <f t="shared" si="36"/>
        <v>#DIV/0!</v>
      </c>
      <c r="Z125" s="134">
        <v>0</v>
      </c>
      <c r="AA125" s="134">
        <v>0</v>
      </c>
      <c r="AB125" s="134">
        <v>0</v>
      </c>
      <c r="AC125" s="134">
        <v>0</v>
      </c>
      <c r="AD125" s="134">
        <v>0</v>
      </c>
      <c r="AE125" s="134">
        <f t="shared" si="42"/>
        <v>0</v>
      </c>
      <c r="AF125" s="174">
        <f t="shared" si="43"/>
        <v>0</v>
      </c>
      <c r="AG125" s="284">
        <f>SUM(Z125:AB125)</f>
        <v>0</v>
      </c>
      <c r="AH125" s="120">
        <v>0</v>
      </c>
      <c r="AI125" s="120">
        <v>0</v>
      </c>
      <c r="AJ125" s="120">
        <f t="shared" si="29"/>
        <v>0</v>
      </c>
      <c r="AK125" s="175" t="e">
        <f t="shared" si="37"/>
        <v>#DIV/0!</v>
      </c>
      <c r="AL125" s="117"/>
      <c r="AM125" s="126"/>
      <c r="AN125" s="126"/>
      <c r="AO125" s="126"/>
      <c r="AP125" s="117"/>
      <c r="AQ125" s="126"/>
      <c r="AR125" s="126"/>
      <c r="AS125" s="127"/>
    </row>
    <row r="126" spans="1:45" ht="148.5">
      <c r="A126" s="114" t="s">
        <v>665</v>
      </c>
      <c r="B126" s="115" t="s">
        <v>666</v>
      </c>
      <c r="C126" s="116" t="s">
        <v>617</v>
      </c>
      <c r="D126" s="116" t="s">
        <v>535</v>
      </c>
      <c r="E126" s="116"/>
      <c r="F126" s="122">
        <v>19734736</v>
      </c>
      <c r="G126" s="122">
        <v>108113093</v>
      </c>
      <c r="H126" s="122">
        <f>G126*G5</f>
        <v>75982314.212771997</v>
      </c>
      <c r="I126" s="122"/>
      <c r="J126" s="122">
        <f>H126</f>
        <v>75982314.212771997</v>
      </c>
      <c r="K126" s="179" t="s">
        <v>667</v>
      </c>
      <c r="L126" s="122">
        <v>20070677.789999999</v>
      </c>
      <c r="M126" s="122">
        <v>20070677.789999999</v>
      </c>
      <c r="N126" s="118">
        <f t="shared" si="33"/>
        <v>96052992.002772003</v>
      </c>
      <c r="O126" s="119">
        <v>41211361.649999999</v>
      </c>
      <c r="P126" s="135">
        <v>84484831.819999993</v>
      </c>
      <c r="Q126" s="130">
        <f>P126/J126</f>
        <v>1.1119012719646646</v>
      </c>
      <c r="R126" s="131">
        <v>1.1119012720962742</v>
      </c>
      <c r="S126" s="130">
        <f t="shared" ref="S126:S145" si="44">Q126-R126</f>
        <v>-1.3160961209734978E-10</v>
      </c>
      <c r="T126" s="130">
        <f t="shared" si="35"/>
        <v>0.87956481165690115</v>
      </c>
      <c r="U126" s="135">
        <v>83149996.200000003</v>
      </c>
      <c r="V126" s="130">
        <f>U126/J126</f>
        <v>1.0943335572427613</v>
      </c>
      <c r="W126" s="131">
        <v>1.0563753864515486</v>
      </c>
      <c r="X126" s="130">
        <f t="shared" ref="X126:X145" si="45">V126-W126</f>
        <v>3.7958170791212664E-2</v>
      </c>
      <c r="Y126" s="130">
        <f t="shared" si="36"/>
        <v>0.86566794501935318</v>
      </c>
      <c r="Z126" s="135">
        <v>24998112.460000001</v>
      </c>
      <c r="AA126" s="135">
        <v>14687492.300000001</v>
      </c>
      <c r="AB126" s="134">
        <v>0</v>
      </c>
      <c r="AC126" s="134">
        <v>7838127.0200000005</v>
      </c>
      <c r="AD126" s="134">
        <v>6101745.3600000003</v>
      </c>
      <c r="AE126" s="134">
        <f t="shared" si="42"/>
        <v>33583859.400000006</v>
      </c>
      <c r="AF126" s="174">
        <f t="shared" si="43"/>
        <v>47523731.780000009</v>
      </c>
      <c r="AG126" s="284">
        <f>SUM(Z126:AB126)</f>
        <v>39685604.760000005</v>
      </c>
      <c r="AH126" s="120">
        <f>AG126/J126</f>
        <v>0.52230055337442172</v>
      </c>
      <c r="AI126" s="120">
        <v>0.52066052488501502</v>
      </c>
      <c r="AJ126" s="120">
        <f t="shared" ref="AJ126:AJ128" si="46">AH126-AI126</f>
        <v>1.6400284894066974E-3</v>
      </c>
      <c r="AK126" s="175">
        <f t="shared" si="37"/>
        <v>0.41316364990332333</v>
      </c>
      <c r="AL126" s="117"/>
      <c r="AM126" s="126"/>
      <c r="AN126" s="126"/>
      <c r="AO126" s="126"/>
      <c r="AP126" s="117"/>
      <c r="AQ126" s="126"/>
      <c r="AR126" s="126"/>
      <c r="AS126" s="127"/>
    </row>
    <row r="127" spans="1:45" s="63" customFormat="1" ht="214.5">
      <c r="A127" s="104" t="s">
        <v>668</v>
      </c>
      <c r="B127" s="105" t="s">
        <v>669</v>
      </c>
      <c r="C127" s="106" t="s">
        <v>617</v>
      </c>
      <c r="D127" s="106" t="s">
        <v>535</v>
      </c>
      <c r="E127" s="106"/>
      <c r="F127" s="107">
        <v>118190549</v>
      </c>
      <c r="G127" s="107">
        <v>184285138</v>
      </c>
      <c r="H127" s="107">
        <f>G127*G5</f>
        <v>129516332.12695199</v>
      </c>
      <c r="I127" s="107"/>
      <c r="J127" s="107">
        <f>J128</f>
        <v>129516332.052816</v>
      </c>
      <c r="K127" s="184" t="s">
        <v>670</v>
      </c>
      <c r="L127" s="109">
        <f>L128</f>
        <v>0</v>
      </c>
      <c r="M127" s="109">
        <f>M128</f>
        <v>0</v>
      </c>
      <c r="N127" s="86">
        <f t="shared" si="33"/>
        <v>129516332.052816</v>
      </c>
      <c r="O127" s="108">
        <f>O128</f>
        <v>170300356</v>
      </c>
      <c r="P127" s="137">
        <f>P128</f>
        <v>129516330.67</v>
      </c>
      <c r="Q127" s="138">
        <f>P127/J127</f>
        <v>0.99999998932323064</v>
      </c>
      <c r="R127" s="138">
        <v>0.99999998932323064</v>
      </c>
      <c r="S127" s="138">
        <f t="shared" si="44"/>
        <v>0</v>
      </c>
      <c r="T127" s="138">
        <f t="shared" si="35"/>
        <v>0.99999998932323064</v>
      </c>
      <c r="U127" s="137">
        <f>U128</f>
        <v>129516330.67</v>
      </c>
      <c r="V127" s="138">
        <f>U127/J127</f>
        <v>0.99999998932323064</v>
      </c>
      <c r="W127" s="138">
        <v>0.99999998932323064</v>
      </c>
      <c r="X127" s="138">
        <f t="shared" si="45"/>
        <v>0</v>
      </c>
      <c r="Y127" s="138">
        <f t="shared" si="36"/>
        <v>0.99999998932323064</v>
      </c>
      <c r="Z127" s="137">
        <f>Z128</f>
        <v>129516330.67</v>
      </c>
      <c r="AA127" s="137">
        <f>AA128</f>
        <v>0</v>
      </c>
      <c r="AB127" s="137">
        <f>AB128</f>
        <v>0</v>
      </c>
      <c r="AC127" s="137">
        <f>AC128</f>
        <v>0</v>
      </c>
      <c r="AD127" s="137">
        <f>AD128</f>
        <v>33477881</v>
      </c>
      <c r="AE127" s="144">
        <f t="shared" si="42"/>
        <v>96038449.670000002</v>
      </c>
      <c r="AF127" s="178">
        <f t="shared" si="43"/>
        <v>129516330.67</v>
      </c>
      <c r="AG127" s="279">
        <f>AG128</f>
        <v>129516330.67</v>
      </c>
      <c r="AH127" s="110">
        <f>AG127/J127</f>
        <v>0.99999998932323064</v>
      </c>
      <c r="AI127" s="110">
        <v>0.99999998932323064</v>
      </c>
      <c r="AJ127" s="110">
        <f t="shared" si="46"/>
        <v>0</v>
      </c>
      <c r="AK127" s="75">
        <f t="shared" si="37"/>
        <v>0.99999998932323064</v>
      </c>
      <c r="AL127" s="107"/>
      <c r="AM127" s="112"/>
      <c r="AN127" s="112"/>
      <c r="AO127" s="112"/>
      <c r="AP127" s="107"/>
      <c r="AQ127" s="112"/>
      <c r="AR127" s="112"/>
      <c r="AS127" s="113"/>
    </row>
    <row r="128" spans="1:45" s="63" customFormat="1" ht="82.5">
      <c r="A128" s="104" t="s">
        <v>671</v>
      </c>
      <c r="B128" s="105" t="s">
        <v>672</v>
      </c>
      <c r="C128" s="106" t="s">
        <v>617</v>
      </c>
      <c r="D128" s="106" t="s">
        <v>535</v>
      </c>
      <c r="E128" s="106"/>
      <c r="F128" s="107">
        <f>F129+F130+F133+F134</f>
        <v>118190548.72945601</v>
      </c>
      <c r="G128" s="107">
        <f>G129+G130+G133+G134</f>
        <v>184285138</v>
      </c>
      <c r="H128" s="107">
        <f>H129+H130+H133+H134</f>
        <v>129516332.12695199</v>
      </c>
      <c r="I128" s="107"/>
      <c r="J128" s="107">
        <f>J129+J130+J133+J134</f>
        <v>129516332.052816</v>
      </c>
      <c r="K128" s="185" t="s">
        <v>673</v>
      </c>
      <c r="L128" s="109">
        <f>L129+L130+L133+L134</f>
        <v>0</v>
      </c>
      <c r="M128" s="109">
        <f>M129+M130+M133+M134</f>
        <v>0</v>
      </c>
      <c r="N128" s="86">
        <f t="shared" si="33"/>
        <v>129516332.052816</v>
      </c>
      <c r="O128" s="108">
        <f>O129+O130+O133+O134</f>
        <v>170300356</v>
      </c>
      <c r="P128" s="137">
        <f>P129+P130+P133+P134</f>
        <v>129516330.67</v>
      </c>
      <c r="Q128" s="138">
        <f>P128/J128</f>
        <v>0.99999998932323064</v>
      </c>
      <c r="R128" s="138">
        <v>0.99999998932323064</v>
      </c>
      <c r="S128" s="138">
        <f t="shared" si="44"/>
        <v>0</v>
      </c>
      <c r="T128" s="138">
        <f t="shared" si="35"/>
        <v>0.99999998932323064</v>
      </c>
      <c r="U128" s="137">
        <f>U129+U130+U133+U134</f>
        <v>129516330.67</v>
      </c>
      <c r="V128" s="138">
        <f>U128/J128</f>
        <v>0.99999998932323064</v>
      </c>
      <c r="W128" s="138">
        <v>0.99999998932323064</v>
      </c>
      <c r="X128" s="138">
        <f t="shared" si="45"/>
        <v>0</v>
      </c>
      <c r="Y128" s="138">
        <f t="shared" si="36"/>
        <v>0.99999998932323064</v>
      </c>
      <c r="Z128" s="137">
        <f>Z129+Z130+Z133+Z134</f>
        <v>129516330.67</v>
      </c>
      <c r="AA128" s="137">
        <f>AA129+AA130+AA133+AA134</f>
        <v>0</v>
      </c>
      <c r="AB128" s="137">
        <f>AB129+AB130+AB133+AB134</f>
        <v>0</v>
      </c>
      <c r="AC128" s="137">
        <f>AC129+AC130+AC133+AC134</f>
        <v>0</v>
      </c>
      <c r="AD128" s="137">
        <f>AD129+AD130+AD133+AD134</f>
        <v>33477881</v>
      </c>
      <c r="AE128" s="144">
        <f t="shared" si="42"/>
        <v>96038449.670000002</v>
      </c>
      <c r="AF128" s="178">
        <f t="shared" si="43"/>
        <v>129516330.67</v>
      </c>
      <c r="AG128" s="279">
        <f>AG129+AG130+AG133+AG134</f>
        <v>129516330.67</v>
      </c>
      <c r="AH128" s="110">
        <f>AG128/J128</f>
        <v>0.99999998932323064</v>
      </c>
      <c r="AI128" s="110">
        <v>0.99999998932323064</v>
      </c>
      <c r="AJ128" s="110">
        <f t="shared" si="46"/>
        <v>0</v>
      </c>
      <c r="AK128" s="75">
        <f t="shared" si="37"/>
        <v>0.99999998932323064</v>
      </c>
      <c r="AL128" s="107"/>
      <c r="AM128" s="112"/>
      <c r="AN128" s="112"/>
      <c r="AO128" s="112"/>
      <c r="AP128" s="107"/>
      <c r="AQ128" s="112"/>
      <c r="AR128" s="112"/>
      <c r="AS128" s="113"/>
    </row>
    <row r="129" spans="1:45" ht="148.5">
      <c r="A129" s="114" t="s">
        <v>11</v>
      </c>
      <c r="B129" s="115" t="s">
        <v>674</v>
      </c>
      <c r="C129" s="116" t="s">
        <v>617</v>
      </c>
      <c r="D129" s="116" t="s">
        <v>535</v>
      </c>
      <c r="E129" s="116"/>
      <c r="F129" s="122">
        <v>57875909.399999999</v>
      </c>
      <c r="G129" s="122">
        <v>83280404</v>
      </c>
      <c r="H129" s="122">
        <f>G129*G5</f>
        <v>58529801.052815996</v>
      </c>
      <c r="I129" s="122"/>
      <c r="J129" s="122">
        <v>58529801.052815996</v>
      </c>
      <c r="K129" s="179" t="s">
        <v>675</v>
      </c>
      <c r="L129" s="122">
        <v>0</v>
      </c>
      <c r="M129" s="122"/>
      <c r="N129" s="118">
        <f t="shared" si="33"/>
        <v>58529801.052815996</v>
      </c>
      <c r="O129" s="176">
        <v>64306566</v>
      </c>
      <c r="P129" s="135">
        <v>58529800.700000003</v>
      </c>
      <c r="Q129" s="130">
        <f>P129/J129</f>
        <v>0.9999999939720281</v>
      </c>
      <c r="R129" s="131">
        <v>0.9999999939720281</v>
      </c>
      <c r="S129" s="130">
        <f t="shared" si="44"/>
        <v>0</v>
      </c>
      <c r="T129" s="130">
        <f t="shared" si="35"/>
        <v>0.9999999939720281</v>
      </c>
      <c r="U129" s="134">
        <v>58529800.700000003</v>
      </c>
      <c r="V129" s="130">
        <f>U129/J129</f>
        <v>0.9999999939720281</v>
      </c>
      <c r="W129" s="131">
        <v>0.9999999939720281</v>
      </c>
      <c r="X129" s="130">
        <f t="shared" si="45"/>
        <v>0</v>
      </c>
      <c r="Y129" s="130">
        <f t="shared" si="36"/>
        <v>0.9999999939720281</v>
      </c>
      <c r="Z129" s="134">
        <v>58529800.700000003</v>
      </c>
      <c r="AA129" s="134">
        <v>0</v>
      </c>
      <c r="AB129" s="134">
        <v>0</v>
      </c>
      <c r="AC129" s="134">
        <v>0</v>
      </c>
      <c r="AD129" s="134">
        <v>0</v>
      </c>
      <c r="AE129" s="144">
        <f t="shared" si="42"/>
        <v>58529800.700000003</v>
      </c>
      <c r="AF129" s="178">
        <f t="shared" si="43"/>
        <v>58529800.700000003</v>
      </c>
      <c r="AG129" s="284">
        <f>Z129+AA129+AB129</f>
        <v>58529800.700000003</v>
      </c>
      <c r="AH129" s="120">
        <v>1</v>
      </c>
      <c r="AI129" s="120">
        <v>1</v>
      </c>
      <c r="AJ129" s="120">
        <v>0</v>
      </c>
      <c r="AK129" s="175">
        <f t="shared" si="37"/>
        <v>0.9999999939720281</v>
      </c>
      <c r="AL129" s="117"/>
      <c r="AM129" s="126"/>
      <c r="AN129" s="126"/>
      <c r="AO129" s="126"/>
      <c r="AP129" s="117"/>
      <c r="AQ129" s="126"/>
      <c r="AR129" s="126"/>
      <c r="AS129" s="127"/>
    </row>
    <row r="130" spans="1:45" s="63" customFormat="1" ht="49.5">
      <c r="A130" s="139" t="s">
        <v>676</v>
      </c>
      <c r="B130" s="140" t="s">
        <v>677</v>
      </c>
      <c r="C130" s="141" t="s">
        <v>617</v>
      </c>
      <c r="D130" s="141" t="s">
        <v>535</v>
      </c>
      <c r="E130" s="141"/>
      <c r="F130" s="117">
        <f>SUM(F131,F132)</f>
        <v>0</v>
      </c>
      <c r="G130" s="117"/>
      <c r="H130" s="117">
        <f>SUM(H131,H132)</f>
        <v>0</v>
      </c>
      <c r="I130" s="117"/>
      <c r="J130" s="117">
        <f>SUM(J131,J132)</f>
        <v>0</v>
      </c>
      <c r="K130" s="107" t="s">
        <v>469</v>
      </c>
      <c r="L130" s="117">
        <f>SUM(L131,L132)</f>
        <v>0</v>
      </c>
      <c r="M130" s="117">
        <f>SUM(M131,M132)</f>
        <v>0</v>
      </c>
      <c r="N130" s="118">
        <f t="shared" si="33"/>
        <v>0</v>
      </c>
      <c r="O130" s="177">
        <f>SUM(O131,O132)</f>
        <v>0</v>
      </c>
      <c r="P130" s="144">
        <f>SUM(P131,P132)</f>
        <v>0</v>
      </c>
      <c r="Q130" s="130">
        <v>0</v>
      </c>
      <c r="R130" s="130">
        <v>0</v>
      </c>
      <c r="S130" s="130">
        <f t="shared" si="44"/>
        <v>0</v>
      </c>
      <c r="T130" s="130" t="e">
        <f t="shared" si="35"/>
        <v>#DIV/0!</v>
      </c>
      <c r="U130" s="144">
        <f>SUM(U131,U132)</f>
        <v>0</v>
      </c>
      <c r="V130" s="130">
        <v>0</v>
      </c>
      <c r="W130" s="130">
        <v>0</v>
      </c>
      <c r="X130" s="130">
        <f t="shared" si="45"/>
        <v>0</v>
      </c>
      <c r="Y130" s="130" t="e">
        <f t="shared" si="36"/>
        <v>#DIV/0!</v>
      </c>
      <c r="Z130" s="144">
        <f>SUM(Z131,Z132)</f>
        <v>0</v>
      </c>
      <c r="AA130" s="144">
        <f>SUM(AA131,AA132)</f>
        <v>0</v>
      </c>
      <c r="AB130" s="144">
        <f>SUM(AB131,AB132)</f>
        <v>0</v>
      </c>
      <c r="AC130" s="144">
        <f>SUM(AC131,AC132)</f>
        <v>0</v>
      </c>
      <c r="AD130" s="144">
        <f>SUM(AD131,AD132)</f>
        <v>0</v>
      </c>
      <c r="AE130" s="144">
        <f t="shared" si="42"/>
        <v>0</v>
      </c>
      <c r="AF130" s="178">
        <f t="shared" si="43"/>
        <v>0</v>
      </c>
      <c r="AG130" s="283">
        <f>SUM(AG131,AG132)</f>
        <v>0</v>
      </c>
      <c r="AH130" s="120">
        <v>0</v>
      </c>
      <c r="AI130" s="120">
        <v>0</v>
      </c>
      <c r="AJ130" s="120">
        <f t="shared" ref="AJ130:AJ145" si="47">AH130-AI130</f>
        <v>0</v>
      </c>
      <c r="AK130" s="175" t="e">
        <f t="shared" si="37"/>
        <v>#DIV/0!</v>
      </c>
      <c r="AL130" s="117"/>
      <c r="AM130" s="126"/>
      <c r="AN130" s="126"/>
      <c r="AO130" s="126"/>
      <c r="AP130" s="117"/>
      <c r="AQ130" s="126"/>
      <c r="AR130" s="126"/>
      <c r="AS130" s="127"/>
    </row>
    <row r="131" spans="1:45" ht="49.5">
      <c r="A131" s="114" t="s">
        <v>12</v>
      </c>
      <c r="B131" s="115" t="s">
        <v>678</v>
      </c>
      <c r="C131" s="116" t="s">
        <v>617</v>
      </c>
      <c r="D131" s="116" t="s">
        <v>535</v>
      </c>
      <c r="E131" s="116"/>
      <c r="F131" s="122">
        <v>0</v>
      </c>
      <c r="G131" s="122"/>
      <c r="H131" s="122">
        <v>0</v>
      </c>
      <c r="I131" s="122"/>
      <c r="J131" s="122">
        <v>0</v>
      </c>
      <c r="K131" s="107" t="s">
        <v>469</v>
      </c>
      <c r="L131" s="122">
        <v>0</v>
      </c>
      <c r="M131" s="122"/>
      <c r="N131" s="118">
        <f t="shared" si="33"/>
        <v>0</v>
      </c>
      <c r="O131" s="176">
        <v>0</v>
      </c>
      <c r="P131" s="135">
        <v>0</v>
      </c>
      <c r="Q131" s="130">
        <v>0</v>
      </c>
      <c r="R131" s="131">
        <v>0</v>
      </c>
      <c r="S131" s="130">
        <f t="shared" si="44"/>
        <v>0</v>
      </c>
      <c r="T131" s="130" t="e">
        <f t="shared" si="35"/>
        <v>#DIV/0!</v>
      </c>
      <c r="U131" s="134">
        <v>0</v>
      </c>
      <c r="V131" s="130">
        <v>0</v>
      </c>
      <c r="W131" s="131">
        <v>0</v>
      </c>
      <c r="X131" s="130">
        <f t="shared" si="45"/>
        <v>0</v>
      </c>
      <c r="Y131" s="130" t="e">
        <f t="shared" si="36"/>
        <v>#DIV/0!</v>
      </c>
      <c r="Z131" s="134">
        <v>0</v>
      </c>
      <c r="AA131" s="134">
        <v>0</v>
      </c>
      <c r="AB131" s="134">
        <v>0</v>
      </c>
      <c r="AC131" s="134">
        <v>0</v>
      </c>
      <c r="AD131" s="134">
        <v>0</v>
      </c>
      <c r="AE131" s="134">
        <f t="shared" si="42"/>
        <v>0</v>
      </c>
      <c r="AF131" s="174">
        <f t="shared" si="43"/>
        <v>0</v>
      </c>
      <c r="AG131" s="284">
        <f>SUM(Z131:AB131)</f>
        <v>0</v>
      </c>
      <c r="AH131" s="120">
        <v>0</v>
      </c>
      <c r="AI131" s="120">
        <v>0</v>
      </c>
      <c r="AJ131" s="120">
        <f t="shared" si="47"/>
        <v>0</v>
      </c>
      <c r="AK131" s="175" t="e">
        <f t="shared" si="37"/>
        <v>#DIV/0!</v>
      </c>
      <c r="AL131" s="117"/>
      <c r="AM131" s="126"/>
      <c r="AN131" s="126"/>
      <c r="AO131" s="126"/>
      <c r="AP131" s="117"/>
      <c r="AQ131" s="126"/>
      <c r="AR131" s="126"/>
      <c r="AS131" s="127"/>
    </row>
    <row r="132" spans="1:45" ht="49.5">
      <c r="A132" s="114" t="s">
        <v>13</v>
      </c>
      <c r="B132" s="115" t="s">
        <v>679</v>
      </c>
      <c r="C132" s="116" t="s">
        <v>617</v>
      </c>
      <c r="D132" s="116" t="s">
        <v>535</v>
      </c>
      <c r="E132" s="116"/>
      <c r="F132" s="122">
        <v>0</v>
      </c>
      <c r="G132" s="122"/>
      <c r="H132" s="122">
        <v>0</v>
      </c>
      <c r="I132" s="122"/>
      <c r="J132" s="122">
        <v>0</v>
      </c>
      <c r="K132" s="107" t="s">
        <v>469</v>
      </c>
      <c r="L132" s="122">
        <v>0</v>
      </c>
      <c r="M132" s="122"/>
      <c r="N132" s="118">
        <f t="shared" si="33"/>
        <v>0</v>
      </c>
      <c r="O132" s="176">
        <v>0</v>
      </c>
      <c r="P132" s="135">
        <v>0</v>
      </c>
      <c r="Q132" s="130">
        <v>0</v>
      </c>
      <c r="R132" s="131">
        <v>0</v>
      </c>
      <c r="S132" s="130">
        <f t="shared" si="44"/>
        <v>0</v>
      </c>
      <c r="T132" s="130" t="e">
        <f t="shared" si="35"/>
        <v>#DIV/0!</v>
      </c>
      <c r="U132" s="134">
        <v>0</v>
      </c>
      <c r="V132" s="130">
        <v>0</v>
      </c>
      <c r="W132" s="131">
        <v>0</v>
      </c>
      <c r="X132" s="130">
        <f t="shared" si="45"/>
        <v>0</v>
      </c>
      <c r="Y132" s="130" t="e">
        <f t="shared" si="36"/>
        <v>#DIV/0!</v>
      </c>
      <c r="Z132" s="134">
        <v>0</v>
      </c>
      <c r="AA132" s="134">
        <v>0</v>
      </c>
      <c r="AB132" s="134">
        <v>0</v>
      </c>
      <c r="AC132" s="134">
        <v>0</v>
      </c>
      <c r="AD132" s="134">
        <v>0</v>
      </c>
      <c r="AE132" s="134">
        <f t="shared" si="42"/>
        <v>0</v>
      </c>
      <c r="AF132" s="174">
        <f t="shared" si="43"/>
        <v>0</v>
      </c>
      <c r="AG132" s="284">
        <f>SUM(Z132:AB132)</f>
        <v>0</v>
      </c>
      <c r="AH132" s="120">
        <v>0</v>
      </c>
      <c r="AI132" s="120">
        <v>0</v>
      </c>
      <c r="AJ132" s="120">
        <f t="shared" si="47"/>
        <v>0</v>
      </c>
      <c r="AK132" s="175" t="e">
        <f t="shared" si="37"/>
        <v>#DIV/0!</v>
      </c>
      <c r="AL132" s="117"/>
      <c r="AM132" s="126"/>
      <c r="AN132" s="126"/>
      <c r="AO132" s="126"/>
      <c r="AP132" s="117"/>
      <c r="AQ132" s="126"/>
      <c r="AR132" s="126"/>
      <c r="AS132" s="127"/>
    </row>
    <row r="133" spans="1:45" ht="82.5">
      <c r="A133" s="114" t="s">
        <v>680</v>
      </c>
      <c r="B133" s="115" t="s">
        <v>681</v>
      </c>
      <c r="C133" s="116" t="s">
        <v>617</v>
      </c>
      <c r="D133" s="116" t="s">
        <v>535</v>
      </c>
      <c r="E133" s="116"/>
      <c r="F133" s="122">
        <v>19999999.899999999</v>
      </c>
      <c r="G133" s="122">
        <v>28457436</v>
      </c>
      <c r="H133" s="122">
        <f>G133*G5</f>
        <v>19999999.850543998</v>
      </c>
      <c r="I133" s="122"/>
      <c r="J133" s="122">
        <v>20000000</v>
      </c>
      <c r="K133" s="107" t="s">
        <v>469</v>
      </c>
      <c r="L133" s="122">
        <v>0</v>
      </c>
      <c r="M133" s="122"/>
      <c r="N133" s="118">
        <f t="shared" si="33"/>
        <v>20000000</v>
      </c>
      <c r="O133" s="176">
        <v>60544547</v>
      </c>
      <c r="P133" s="134">
        <v>20000000</v>
      </c>
      <c r="Q133" s="130">
        <f t="shared" ref="Q133:Q145" si="48">P133/J133</f>
        <v>1</v>
      </c>
      <c r="R133" s="131">
        <v>1</v>
      </c>
      <c r="S133" s="130">
        <f t="shared" si="44"/>
        <v>0</v>
      </c>
      <c r="T133" s="130">
        <f t="shared" si="35"/>
        <v>1</v>
      </c>
      <c r="U133" s="134">
        <v>20000000</v>
      </c>
      <c r="V133" s="130">
        <f t="shared" ref="V133:V145" si="49">U133/J133</f>
        <v>1</v>
      </c>
      <c r="W133" s="131">
        <v>1</v>
      </c>
      <c r="X133" s="130">
        <f t="shared" si="45"/>
        <v>0</v>
      </c>
      <c r="Y133" s="130">
        <f t="shared" si="36"/>
        <v>1</v>
      </c>
      <c r="Z133" s="134">
        <v>20000000</v>
      </c>
      <c r="AA133" s="134">
        <v>0</v>
      </c>
      <c r="AB133" s="134">
        <v>0</v>
      </c>
      <c r="AC133" s="134">
        <v>0</v>
      </c>
      <c r="AD133" s="134">
        <v>33477881</v>
      </c>
      <c r="AE133" s="174">
        <f>X133+Z133+AB133</f>
        <v>20000000</v>
      </c>
      <c r="AF133" s="174">
        <f t="shared" si="43"/>
        <v>20000000</v>
      </c>
      <c r="AG133" s="284">
        <f>SUM(Z133:AB133)</f>
        <v>20000000</v>
      </c>
      <c r="AH133" s="120">
        <f t="shared" ref="AH133:AH145" si="50">AG133/J133</f>
        <v>1</v>
      </c>
      <c r="AI133" s="120">
        <v>1</v>
      </c>
      <c r="AJ133" s="120">
        <f t="shared" si="47"/>
        <v>0</v>
      </c>
      <c r="AK133" s="175">
        <f t="shared" si="37"/>
        <v>1</v>
      </c>
      <c r="AL133" s="117"/>
      <c r="AM133" s="126"/>
      <c r="AN133" s="126"/>
      <c r="AO133" s="126"/>
      <c r="AP133" s="117"/>
      <c r="AQ133" s="126"/>
      <c r="AR133" s="126"/>
      <c r="AS133" s="127"/>
    </row>
    <row r="134" spans="1:45" ht="115.5">
      <c r="A134" s="114" t="s">
        <v>682</v>
      </c>
      <c r="B134" s="115" t="s">
        <v>683</v>
      </c>
      <c r="C134" s="116" t="s">
        <v>617</v>
      </c>
      <c r="D134" s="116" t="s">
        <v>535</v>
      </c>
      <c r="E134" s="116"/>
      <c r="F134" s="122">
        <v>40314639.429456003</v>
      </c>
      <c r="G134" s="122">
        <v>72547298</v>
      </c>
      <c r="H134" s="122">
        <f>H135+H136</f>
        <v>50986531.223591998</v>
      </c>
      <c r="I134" s="122"/>
      <c r="J134" s="122">
        <v>50986531</v>
      </c>
      <c r="K134" s="179" t="s">
        <v>684</v>
      </c>
      <c r="L134" s="122">
        <v>0</v>
      </c>
      <c r="M134" s="122">
        <v>0</v>
      </c>
      <c r="N134" s="118">
        <f t="shared" si="33"/>
        <v>50986531</v>
      </c>
      <c r="O134" s="176">
        <f>O135+O136</f>
        <v>45449243</v>
      </c>
      <c r="P134" s="134">
        <v>50986529.969999999</v>
      </c>
      <c r="Q134" s="130">
        <f t="shared" si="48"/>
        <v>0.99999997979858635</v>
      </c>
      <c r="R134" s="131">
        <v>0.99999997979858635</v>
      </c>
      <c r="S134" s="130">
        <f t="shared" si="44"/>
        <v>0</v>
      </c>
      <c r="T134" s="130">
        <f t="shared" si="35"/>
        <v>0.99999997979858635</v>
      </c>
      <c r="U134" s="134">
        <v>50986529.969999999</v>
      </c>
      <c r="V134" s="130">
        <f t="shared" si="49"/>
        <v>0.99999997979858635</v>
      </c>
      <c r="W134" s="131">
        <v>0.99999997979858635</v>
      </c>
      <c r="X134" s="130">
        <f t="shared" si="45"/>
        <v>0</v>
      </c>
      <c r="Y134" s="130">
        <f t="shared" si="36"/>
        <v>0.99999997979858635</v>
      </c>
      <c r="Z134" s="134">
        <v>50986529.969999999</v>
      </c>
      <c r="AA134" s="134">
        <f>AA135+AA136</f>
        <v>0</v>
      </c>
      <c r="AB134" s="134">
        <f>AB135+AB136</f>
        <v>0</v>
      </c>
      <c r="AC134" s="134">
        <f>AC135+AC136</f>
        <v>0</v>
      </c>
      <c r="AD134" s="134">
        <f>AD135+AD136</f>
        <v>0</v>
      </c>
      <c r="AE134" s="144">
        <f t="shared" ref="AE134:AE145" si="51">AG134-AD134</f>
        <v>50986529.969999999</v>
      </c>
      <c r="AF134" s="174">
        <f>AF135+AF136</f>
        <v>50986529.969999999</v>
      </c>
      <c r="AG134" s="286">
        <f>AG135+AG136</f>
        <v>50986529.969999999</v>
      </c>
      <c r="AH134" s="120">
        <f t="shared" si="50"/>
        <v>0.99999997979858635</v>
      </c>
      <c r="AI134" s="120">
        <v>0.99999997979858635</v>
      </c>
      <c r="AJ134" s="120">
        <f t="shared" si="47"/>
        <v>0</v>
      </c>
      <c r="AK134" s="175">
        <f t="shared" si="37"/>
        <v>0.99999997979858635</v>
      </c>
      <c r="AL134" s="117"/>
      <c r="AM134" s="126"/>
      <c r="AN134" s="126"/>
      <c r="AO134" s="126"/>
      <c r="AP134" s="117"/>
      <c r="AQ134" s="126"/>
      <c r="AR134" s="126"/>
      <c r="AS134" s="127"/>
    </row>
    <row r="135" spans="1:45" ht="115.5">
      <c r="A135" s="114" t="s">
        <v>147</v>
      </c>
      <c r="B135" s="115" t="s">
        <v>685</v>
      </c>
      <c r="C135" s="116" t="s">
        <v>617</v>
      </c>
      <c r="D135" s="116" t="s">
        <v>535</v>
      </c>
      <c r="E135" s="116"/>
      <c r="F135" s="122"/>
      <c r="G135" s="122">
        <v>57362564</v>
      </c>
      <c r="H135" s="122">
        <f>G135*G5</f>
        <v>40314639.429455996</v>
      </c>
      <c r="I135" s="122"/>
      <c r="J135" s="122">
        <v>40314639.429455996</v>
      </c>
      <c r="K135" s="179" t="s">
        <v>684</v>
      </c>
      <c r="L135" s="122">
        <v>0</v>
      </c>
      <c r="M135" s="122"/>
      <c r="N135" s="118">
        <f t="shared" si="33"/>
        <v>40314639.429455996</v>
      </c>
      <c r="O135" s="176">
        <v>45449243</v>
      </c>
      <c r="P135" s="135">
        <v>40314638.969999999</v>
      </c>
      <c r="Q135" s="130">
        <f t="shared" si="48"/>
        <v>0.99999998860324679</v>
      </c>
      <c r="R135" s="131">
        <v>0.99999998860324679</v>
      </c>
      <c r="S135" s="130">
        <f t="shared" si="44"/>
        <v>0</v>
      </c>
      <c r="T135" s="130">
        <f t="shared" si="35"/>
        <v>0.99999998860324679</v>
      </c>
      <c r="U135" s="134">
        <v>40314638.969999999</v>
      </c>
      <c r="V135" s="130">
        <f t="shared" si="49"/>
        <v>0.99999998860324679</v>
      </c>
      <c r="W135" s="131">
        <v>0.99999998860324679</v>
      </c>
      <c r="X135" s="130">
        <f t="shared" si="45"/>
        <v>0</v>
      </c>
      <c r="Y135" s="130">
        <f t="shared" si="36"/>
        <v>0.99999998860324679</v>
      </c>
      <c r="Z135" s="134">
        <v>40314638.969999999</v>
      </c>
      <c r="AA135" s="134">
        <v>0</v>
      </c>
      <c r="AB135" s="134">
        <v>0</v>
      </c>
      <c r="AC135" s="134">
        <v>0</v>
      </c>
      <c r="AD135" s="134">
        <v>0</v>
      </c>
      <c r="AE135" s="134">
        <f t="shared" si="51"/>
        <v>40314638.969999999</v>
      </c>
      <c r="AF135" s="174">
        <f t="shared" ref="AF135:AF145" si="52">Z135+AA135+AC135</f>
        <v>40314638.969999999</v>
      </c>
      <c r="AG135" s="284">
        <f>SUM(Z135:AB135)</f>
        <v>40314638.969999999</v>
      </c>
      <c r="AH135" s="120">
        <f t="shared" si="50"/>
        <v>0.99999998860324679</v>
      </c>
      <c r="AI135" s="120">
        <v>0.99999998860324679</v>
      </c>
      <c r="AJ135" s="120">
        <f t="shared" si="47"/>
        <v>0</v>
      </c>
      <c r="AK135" s="175">
        <f t="shared" si="37"/>
        <v>0.99999998860324679</v>
      </c>
      <c r="AL135" s="117"/>
      <c r="AM135" s="126"/>
      <c r="AN135" s="126"/>
      <c r="AO135" s="126"/>
      <c r="AP135" s="117"/>
      <c r="AQ135" s="126"/>
      <c r="AR135" s="126"/>
      <c r="AS135" s="127"/>
    </row>
    <row r="136" spans="1:45" ht="141.75">
      <c r="A136" s="114" t="s">
        <v>148</v>
      </c>
      <c r="B136" s="115" t="s">
        <v>686</v>
      </c>
      <c r="C136" s="116" t="s">
        <v>617</v>
      </c>
      <c r="D136" s="116" t="s">
        <v>535</v>
      </c>
      <c r="E136" s="116"/>
      <c r="F136" s="122"/>
      <c r="G136" s="122">
        <v>15184734</v>
      </c>
      <c r="H136" s="122">
        <f>G136*G5</f>
        <v>10671891.794135999</v>
      </c>
      <c r="I136" s="122"/>
      <c r="J136" s="122">
        <v>10671891.794136001</v>
      </c>
      <c r="K136" s="182" t="s">
        <v>687</v>
      </c>
      <c r="L136" s="122">
        <v>0</v>
      </c>
      <c r="M136" s="122"/>
      <c r="N136" s="118">
        <f t="shared" si="33"/>
        <v>10671891.794136001</v>
      </c>
      <c r="O136" s="176">
        <v>0</v>
      </c>
      <c r="P136" s="135">
        <v>10671891</v>
      </c>
      <c r="Q136" s="130">
        <f t="shared" si="48"/>
        <v>0.99999992558620199</v>
      </c>
      <c r="R136" s="131">
        <v>1</v>
      </c>
      <c r="S136" s="130">
        <f t="shared" si="44"/>
        <v>-7.4413798012429311E-8</v>
      </c>
      <c r="T136" s="130">
        <f t="shared" si="35"/>
        <v>0.99999992558620199</v>
      </c>
      <c r="U136" s="135">
        <v>10671891</v>
      </c>
      <c r="V136" s="130">
        <f t="shared" si="49"/>
        <v>0.99999992558620199</v>
      </c>
      <c r="W136" s="131">
        <v>1</v>
      </c>
      <c r="X136" s="130">
        <f t="shared" si="45"/>
        <v>-7.4413798012429311E-8</v>
      </c>
      <c r="Y136" s="130">
        <f t="shared" si="36"/>
        <v>0.99999992558620199</v>
      </c>
      <c r="Z136" s="135">
        <v>10671891</v>
      </c>
      <c r="AA136" s="134">
        <v>0</v>
      </c>
      <c r="AB136" s="134">
        <v>0</v>
      </c>
      <c r="AC136" s="134">
        <v>0</v>
      </c>
      <c r="AD136" s="134">
        <v>0</v>
      </c>
      <c r="AE136" s="134">
        <f t="shared" si="51"/>
        <v>10671891</v>
      </c>
      <c r="AF136" s="174">
        <f t="shared" si="52"/>
        <v>10671891</v>
      </c>
      <c r="AG136" s="284">
        <f>SUM(Z136:AB136)</f>
        <v>10671891</v>
      </c>
      <c r="AH136" s="120">
        <f t="shared" si="50"/>
        <v>0.99999992558620199</v>
      </c>
      <c r="AI136" s="120">
        <v>1</v>
      </c>
      <c r="AJ136" s="120">
        <f t="shared" si="47"/>
        <v>-7.4413798012429311E-8</v>
      </c>
      <c r="AK136" s="175">
        <f t="shared" si="37"/>
        <v>0.99999992558620199</v>
      </c>
      <c r="AL136" s="117"/>
      <c r="AM136" s="126"/>
      <c r="AN136" s="126"/>
      <c r="AO136" s="126"/>
      <c r="AP136" s="117"/>
      <c r="AQ136" s="126"/>
      <c r="AR136" s="126"/>
      <c r="AS136" s="127"/>
    </row>
    <row r="137" spans="1:45" s="63" customFormat="1" ht="66">
      <c r="A137" s="104" t="s">
        <v>688</v>
      </c>
      <c r="B137" s="105" t="s">
        <v>689</v>
      </c>
      <c r="C137" s="106" t="s">
        <v>617</v>
      </c>
      <c r="D137" s="106" t="s">
        <v>535</v>
      </c>
      <c r="E137" s="106"/>
      <c r="F137" s="107">
        <f>F138+F143</f>
        <v>54101851.919999994</v>
      </c>
      <c r="G137" s="107">
        <v>76980000</v>
      </c>
      <c r="H137" s="107">
        <f>H138+H143</f>
        <v>54101852.223663993</v>
      </c>
      <c r="I137" s="107"/>
      <c r="J137" s="107">
        <f>J138+J143</f>
        <v>54101852.303579994</v>
      </c>
      <c r="K137" s="107" t="s">
        <v>469</v>
      </c>
      <c r="L137" s="109">
        <f>SUM(L138,L143)</f>
        <v>6000000</v>
      </c>
      <c r="M137" s="109">
        <f>SUM(M138,M143)</f>
        <v>3000000</v>
      </c>
      <c r="N137" s="86">
        <f t="shared" si="33"/>
        <v>57101852.303579994</v>
      </c>
      <c r="O137" s="108">
        <f>O138+O143</f>
        <v>23389806.759999998</v>
      </c>
      <c r="P137" s="137">
        <f>P138+P143</f>
        <v>36500620.189999998</v>
      </c>
      <c r="Q137" s="138">
        <f t="shared" si="48"/>
        <v>0.67466488920167156</v>
      </c>
      <c r="R137" s="138">
        <v>0.67240850907809901</v>
      </c>
      <c r="S137" s="138">
        <f t="shared" si="44"/>
        <v>2.2563801235725434E-3</v>
      </c>
      <c r="T137" s="138">
        <f t="shared" si="35"/>
        <v>0.63921954748412946</v>
      </c>
      <c r="U137" s="137">
        <f>U138+U143</f>
        <v>36048453.799999997</v>
      </c>
      <c r="V137" s="138">
        <f t="shared" si="49"/>
        <v>0.66630720141932409</v>
      </c>
      <c r="W137" s="186">
        <v>0.66811161315315482</v>
      </c>
      <c r="X137" s="138">
        <f t="shared" si="45"/>
        <v>-1.8044117338307242E-3</v>
      </c>
      <c r="Y137" s="138">
        <f t="shared" si="36"/>
        <v>0.63130095339726733</v>
      </c>
      <c r="Z137" s="137">
        <f>Z138+Z143</f>
        <v>17921874.969999999</v>
      </c>
      <c r="AA137" s="137">
        <f>AA138+AA143</f>
        <v>247647.46</v>
      </c>
      <c r="AB137" s="137">
        <f>AB138+AB143</f>
        <v>178105.74</v>
      </c>
      <c r="AC137" s="137">
        <f>AC138+AC143</f>
        <v>179879.50000000093</v>
      </c>
      <c r="AD137" s="137">
        <f>AD138+AD143</f>
        <v>52011.81</v>
      </c>
      <c r="AE137" s="144">
        <f t="shared" si="51"/>
        <v>18295616.360000003</v>
      </c>
      <c r="AF137" s="137">
        <f t="shared" si="52"/>
        <v>18349401.93</v>
      </c>
      <c r="AG137" s="279">
        <f>AG138+AG143</f>
        <v>18347628.170000002</v>
      </c>
      <c r="AH137" s="110">
        <f t="shared" si="50"/>
        <v>0.33913123837325465</v>
      </c>
      <c r="AI137" s="110">
        <v>0.33393938172795484</v>
      </c>
      <c r="AJ137" s="110">
        <f t="shared" si="47"/>
        <v>5.1918566452998083E-3</v>
      </c>
      <c r="AK137" s="75">
        <f t="shared" si="37"/>
        <v>0.32131406302645804</v>
      </c>
      <c r="AL137" s="107"/>
      <c r="AM137" s="112"/>
      <c r="AN137" s="112"/>
      <c r="AO137" s="112"/>
      <c r="AP137" s="107"/>
      <c r="AQ137" s="112"/>
      <c r="AR137" s="112"/>
      <c r="AS137" s="113"/>
    </row>
    <row r="138" spans="1:45" s="63" customFormat="1" ht="49.5">
      <c r="A138" s="104" t="s">
        <v>690</v>
      </c>
      <c r="B138" s="105" t="s">
        <v>691</v>
      </c>
      <c r="C138" s="106" t="s">
        <v>617</v>
      </c>
      <c r="D138" s="106" t="s">
        <v>535</v>
      </c>
      <c r="E138" s="106"/>
      <c r="F138" s="107">
        <f>F140+F141+F142</f>
        <v>6985871.7599999998</v>
      </c>
      <c r="G138" s="107">
        <v>27619658</v>
      </c>
      <c r="H138" s="122">
        <f>H139+H142</f>
        <v>19411206.424695998</v>
      </c>
      <c r="I138" s="107"/>
      <c r="J138" s="107">
        <f>J139+J142</f>
        <v>19411206.316335998</v>
      </c>
      <c r="K138" s="185" t="s">
        <v>692</v>
      </c>
      <c r="L138" s="109">
        <f>L139+L142</f>
        <v>0</v>
      </c>
      <c r="M138" s="109">
        <f>M139+M142</f>
        <v>0</v>
      </c>
      <c r="N138" s="86">
        <f t="shared" si="33"/>
        <v>19411206.316335998</v>
      </c>
      <c r="O138" s="108">
        <f>O139+O142</f>
        <v>6851728.6099999994</v>
      </c>
      <c r="P138" s="137">
        <f>P139+P142</f>
        <v>10184439.629999999</v>
      </c>
      <c r="Q138" s="138">
        <f t="shared" si="48"/>
        <v>0.52466804298654135</v>
      </c>
      <c r="R138" s="138">
        <v>0.5122476765434586</v>
      </c>
      <c r="S138" s="138">
        <f t="shared" si="44"/>
        <v>1.2420366443082753E-2</v>
      </c>
      <c r="T138" s="138">
        <f t="shared" si="35"/>
        <v>0.52466804298654135</v>
      </c>
      <c r="U138" s="137">
        <f>U139+U142</f>
        <v>9732273.2400000002</v>
      </c>
      <c r="V138" s="138">
        <f t="shared" si="49"/>
        <v>0.50137395282896746</v>
      </c>
      <c r="W138" s="186">
        <v>0.50027160341462584</v>
      </c>
      <c r="X138" s="138">
        <f t="shared" si="45"/>
        <v>1.102349414341619E-3</v>
      </c>
      <c r="Y138" s="138">
        <f t="shared" si="36"/>
        <v>0.50137395282896746</v>
      </c>
      <c r="Z138" s="137">
        <f>Z139+Z142</f>
        <v>5504813.9500000002</v>
      </c>
      <c r="AA138" s="137">
        <f>AA139+AA142</f>
        <v>0</v>
      </c>
      <c r="AB138" s="137">
        <f>AB139+AB142</f>
        <v>0</v>
      </c>
      <c r="AC138" s="137">
        <f>AC139+AC142</f>
        <v>0</v>
      </c>
      <c r="AD138" s="137">
        <f>AD139+AD142</f>
        <v>0</v>
      </c>
      <c r="AE138" s="144">
        <f t="shared" si="51"/>
        <v>5504813.9500000002</v>
      </c>
      <c r="AF138" s="178">
        <f t="shared" si="52"/>
        <v>5504813.9500000002</v>
      </c>
      <c r="AG138" s="279">
        <f>AG139+AG142</f>
        <v>5504813.9500000002</v>
      </c>
      <c r="AH138" s="110">
        <f t="shared" si="50"/>
        <v>0.28358948229648578</v>
      </c>
      <c r="AI138" s="110">
        <v>0.26911902450297037</v>
      </c>
      <c r="AJ138" s="110">
        <f t="shared" si="47"/>
        <v>1.4470457793515412E-2</v>
      </c>
      <c r="AK138" s="75">
        <f t="shared" si="37"/>
        <v>0.28358948229648578</v>
      </c>
      <c r="AL138" s="107"/>
      <c r="AM138" s="112"/>
      <c r="AN138" s="112"/>
      <c r="AO138" s="112"/>
      <c r="AP138" s="107"/>
      <c r="AQ138" s="112"/>
      <c r="AR138" s="112"/>
      <c r="AS138" s="113"/>
    </row>
    <row r="139" spans="1:45" s="63" customFormat="1" ht="49.5">
      <c r="A139" s="139" t="s">
        <v>693</v>
      </c>
      <c r="B139" s="140" t="s">
        <v>694</v>
      </c>
      <c r="C139" s="141" t="s">
        <v>617</v>
      </c>
      <c r="D139" s="141" t="s">
        <v>535</v>
      </c>
      <c r="E139" s="141"/>
      <c r="F139" s="117">
        <f>F140+F141</f>
        <v>5271030</v>
      </c>
      <c r="G139" s="117">
        <v>25180284</v>
      </c>
      <c r="H139" s="117">
        <f>H140+H141</f>
        <v>17696804.619999997</v>
      </c>
      <c r="I139" s="117"/>
      <c r="J139" s="117">
        <f>J140+J141</f>
        <v>17696804.316335998</v>
      </c>
      <c r="K139" s="185" t="s">
        <v>692</v>
      </c>
      <c r="L139" s="145">
        <f>L140+L141</f>
        <v>0</v>
      </c>
      <c r="M139" s="145">
        <f>M140+M141</f>
        <v>0</v>
      </c>
      <c r="N139" s="118">
        <f t="shared" si="33"/>
        <v>17696804.316335998</v>
      </c>
      <c r="O139" s="177">
        <f>O140+O141</f>
        <v>5762981.1799999997</v>
      </c>
      <c r="P139" s="144">
        <f>P140+P141</f>
        <v>8470038.1199999992</v>
      </c>
      <c r="Q139" s="130">
        <f t="shared" si="48"/>
        <v>0.47861964050657835</v>
      </c>
      <c r="R139" s="130">
        <v>0.46499603497345959</v>
      </c>
      <c r="S139" s="130">
        <f t="shared" si="44"/>
        <v>1.3623605533118754E-2</v>
      </c>
      <c r="T139" s="130">
        <f t="shared" si="35"/>
        <v>0.47861964050657835</v>
      </c>
      <c r="U139" s="144">
        <f>U140+U141</f>
        <v>8017871.7300000004</v>
      </c>
      <c r="V139" s="130">
        <f t="shared" si="49"/>
        <v>0.45306890366633412</v>
      </c>
      <c r="W139" s="130">
        <v>0.45185976348310958</v>
      </c>
      <c r="X139" s="130">
        <f t="shared" si="45"/>
        <v>1.2091401832245441E-3</v>
      </c>
      <c r="Y139" s="130">
        <f t="shared" si="36"/>
        <v>0.45306890366633412</v>
      </c>
      <c r="Z139" s="144">
        <f>Z140+Z141</f>
        <v>4867998.53</v>
      </c>
      <c r="AA139" s="144">
        <f>AA140+AA141</f>
        <v>0</v>
      </c>
      <c r="AB139" s="144">
        <f>AB140+AB141</f>
        <v>0</v>
      </c>
      <c r="AC139" s="144">
        <f>AC140+AC141</f>
        <v>0</v>
      </c>
      <c r="AD139" s="144">
        <f>AD140+AD141</f>
        <v>0</v>
      </c>
      <c r="AE139" s="144">
        <f t="shared" si="51"/>
        <v>4867998.53</v>
      </c>
      <c r="AF139" s="178">
        <f t="shared" si="52"/>
        <v>4867998.53</v>
      </c>
      <c r="AG139" s="283">
        <f>AG140+AG141</f>
        <v>4867998.53</v>
      </c>
      <c r="AH139" s="120">
        <f t="shared" si="50"/>
        <v>0.27507783004111819</v>
      </c>
      <c r="AI139" s="120">
        <v>0.25920552712752959</v>
      </c>
      <c r="AJ139" s="120">
        <f t="shared" si="47"/>
        <v>1.5872302913588598E-2</v>
      </c>
      <c r="AK139" s="175">
        <f t="shared" si="37"/>
        <v>0.27507783004111819</v>
      </c>
      <c r="AL139" s="117"/>
      <c r="AM139" s="126"/>
      <c r="AN139" s="126"/>
      <c r="AO139" s="126"/>
      <c r="AP139" s="117"/>
      <c r="AQ139" s="126"/>
      <c r="AR139" s="126"/>
      <c r="AS139" s="127"/>
    </row>
    <row r="140" spans="1:45" ht="141.75">
      <c r="A140" s="114" t="s">
        <v>695</v>
      </c>
      <c r="B140" s="115" t="s">
        <v>696</v>
      </c>
      <c r="C140" s="116" t="s">
        <v>617</v>
      </c>
      <c r="D140" s="116" t="s">
        <v>535</v>
      </c>
      <c r="E140" s="116"/>
      <c r="F140" s="122">
        <v>5271030</v>
      </c>
      <c r="G140" s="122">
        <v>20911669</v>
      </c>
      <c r="H140" s="122">
        <v>14696804.619999999</v>
      </c>
      <c r="I140" s="122"/>
      <c r="J140" s="122">
        <v>12196804.287156001</v>
      </c>
      <c r="K140" s="172" t="s">
        <v>697</v>
      </c>
      <c r="L140" s="122">
        <v>0</v>
      </c>
      <c r="M140" s="122"/>
      <c r="N140" s="118">
        <f t="shared" ref="N140:N203" si="53">J140+M140</f>
        <v>12196804.287156001</v>
      </c>
      <c r="O140" s="176">
        <v>3345820.24</v>
      </c>
      <c r="P140" s="135">
        <v>5470038.4299999997</v>
      </c>
      <c r="Q140" s="130">
        <f t="shared" si="48"/>
        <v>0.44848128257336167</v>
      </c>
      <c r="R140" s="131">
        <v>0.35578783451228874</v>
      </c>
      <c r="S140" s="130">
        <f t="shared" si="44"/>
        <v>9.2693448061072936E-2</v>
      </c>
      <c r="T140" s="130">
        <f t="shared" ref="T140:T189" si="54">P140/N140</f>
        <v>0.44848128257336167</v>
      </c>
      <c r="U140" s="134">
        <v>5017872.04</v>
      </c>
      <c r="V140" s="130">
        <f t="shared" si="49"/>
        <v>0.41140875280618661</v>
      </c>
      <c r="W140" s="130">
        <v>0.3399701084139472</v>
      </c>
      <c r="X140" s="130">
        <f t="shared" si="45"/>
        <v>7.1438644392239403E-2</v>
      </c>
      <c r="Y140" s="130">
        <f t="shared" ref="Y140:Y203" si="55">U140/N140</f>
        <v>0.41140875280618661</v>
      </c>
      <c r="Z140" s="134">
        <v>3731052.37</v>
      </c>
      <c r="AA140" s="134">
        <v>0</v>
      </c>
      <c r="AB140" s="134">
        <v>0</v>
      </c>
      <c r="AC140" s="134">
        <v>0</v>
      </c>
      <c r="AD140" s="134">
        <v>0</v>
      </c>
      <c r="AE140" s="134">
        <f t="shared" si="51"/>
        <v>3731052.37</v>
      </c>
      <c r="AF140" s="174">
        <f t="shared" si="52"/>
        <v>3731052.37</v>
      </c>
      <c r="AG140" s="284">
        <f>SUM(Z140:AB140)</f>
        <v>3731052.37</v>
      </c>
      <c r="AH140" s="120">
        <f t="shared" si="50"/>
        <v>0.30590409439700794</v>
      </c>
      <c r="AI140" s="120">
        <v>0.24031069414869857</v>
      </c>
      <c r="AJ140" s="120">
        <f t="shared" si="47"/>
        <v>6.5593400248309369E-2</v>
      </c>
      <c r="AK140" s="175">
        <f t="shared" ref="AK140:AK203" si="56">AG140/N140</f>
        <v>0.30590409439700794</v>
      </c>
      <c r="AL140" s="117"/>
      <c r="AM140" s="126"/>
      <c r="AN140" s="126"/>
      <c r="AO140" s="126"/>
      <c r="AP140" s="117"/>
      <c r="AQ140" s="126"/>
      <c r="AR140" s="126"/>
      <c r="AS140" s="127"/>
    </row>
    <row r="141" spans="1:45" ht="141.75">
      <c r="A141" s="114" t="s">
        <v>16</v>
      </c>
      <c r="B141" s="115" t="s">
        <v>698</v>
      </c>
      <c r="C141" s="116" t="s">
        <v>617</v>
      </c>
      <c r="D141" s="116" t="s">
        <v>535</v>
      </c>
      <c r="E141" s="116"/>
      <c r="F141" s="122">
        <v>0</v>
      </c>
      <c r="G141" s="122">
        <v>4268615</v>
      </c>
      <c r="H141" s="122">
        <v>3000000</v>
      </c>
      <c r="I141" s="122"/>
      <c r="J141" s="122">
        <v>5500000.0291799996</v>
      </c>
      <c r="K141" s="172" t="s">
        <v>697</v>
      </c>
      <c r="L141" s="122">
        <v>0</v>
      </c>
      <c r="M141" s="122"/>
      <c r="N141" s="118">
        <f t="shared" si="53"/>
        <v>5500000.0291799996</v>
      </c>
      <c r="O141" s="176">
        <v>2417160.94</v>
      </c>
      <c r="P141" s="135">
        <v>2999999.69</v>
      </c>
      <c r="Q141" s="130">
        <f t="shared" si="48"/>
        <v>0.54545448619702519</v>
      </c>
      <c r="R141" s="131">
        <v>0.99999989666666667</v>
      </c>
      <c r="S141" s="130">
        <f t="shared" si="44"/>
        <v>-0.45454541046964148</v>
      </c>
      <c r="T141" s="130">
        <f t="shared" si="54"/>
        <v>0.54545448619702519</v>
      </c>
      <c r="U141" s="134">
        <v>2999999.69</v>
      </c>
      <c r="V141" s="130">
        <f t="shared" si="49"/>
        <v>0.54545448619702519</v>
      </c>
      <c r="W141" s="130">
        <v>0.99999989666666667</v>
      </c>
      <c r="X141" s="130">
        <f t="shared" si="45"/>
        <v>-0.45454541046964148</v>
      </c>
      <c r="Y141" s="130">
        <f t="shared" si="55"/>
        <v>0.54545448619702519</v>
      </c>
      <c r="Z141" s="134">
        <v>1136946.1599999999</v>
      </c>
      <c r="AA141" s="134">
        <v>0</v>
      </c>
      <c r="AB141" s="134">
        <v>0</v>
      </c>
      <c r="AC141" s="134">
        <v>0</v>
      </c>
      <c r="AD141" s="134">
        <v>0</v>
      </c>
      <c r="AE141" s="134">
        <f t="shared" si="51"/>
        <v>1136946.1599999999</v>
      </c>
      <c r="AF141" s="174">
        <f t="shared" si="52"/>
        <v>1136946.1599999999</v>
      </c>
      <c r="AG141" s="284">
        <f>SUM(Z141:AB141)</f>
        <v>1136946.1599999999</v>
      </c>
      <c r="AH141" s="120">
        <f t="shared" si="50"/>
        <v>0.20671748253963343</v>
      </c>
      <c r="AI141" s="120">
        <v>0.35177008333333332</v>
      </c>
      <c r="AJ141" s="120">
        <f t="shared" si="47"/>
        <v>-0.14505260079369989</v>
      </c>
      <c r="AK141" s="175">
        <f t="shared" si="56"/>
        <v>0.20671748253963343</v>
      </c>
      <c r="AL141" s="117"/>
      <c r="AM141" s="126"/>
      <c r="AN141" s="126"/>
      <c r="AO141" s="126"/>
      <c r="AP141" s="117"/>
      <c r="AQ141" s="126"/>
      <c r="AR141" s="126"/>
      <c r="AS141" s="127"/>
    </row>
    <row r="142" spans="1:45" ht="99">
      <c r="A142" s="114" t="s">
        <v>17</v>
      </c>
      <c r="B142" s="115" t="s">
        <v>699</v>
      </c>
      <c r="C142" s="116" t="s">
        <v>617</v>
      </c>
      <c r="D142" s="116" t="s">
        <v>535</v>
      </c>
      <c r="E142" s="116"/>
      <c r="F142" s="122">
        <v>1714841.76</v>
      </c>
      <c r="G142" s="122">
        <v>2439374</v>
      </c>
      <c r="H142" s="122">
        <f>G142*G5</f>
        <v>1714401.8046959999</v>
      </c>
      <c r="I142" s="122"/>
      <c r="J142" s="122">
        <v>1714402</v>
      </c>
      <c r="K142" s="107" t="s">
        <v>469</v>
      </c>
      <c r="L142" s="122">
        <v>0</v>
      </c>
      <c r="M142" s="122"/>
      <c r="N142" s="118">
        <f t="shared" si="53"/>
        <v>1714402</v>
      </c>
      <c r="O142" s="176">
        <v>1088747.43</v>
      </c>
      <c r="P142" s="135">
        <v>1714401.51</v>
      </c>
      <c r="Q142" s="130">
        <f t="shared" si="48"/>
        <v>0.99999971418605438</v>
      </c>
      <c r="R142" s="131">
        <v>0.99999971418605438</v>
      </c>
      <c r="S142" s="130">
        <f t="shared" si="44"/>
        <v>0</v>
      </c>
      <c r="T142" s="130">
        <f t="shared" si="54"/>
        <v>0.99999971418605438</v>
      </c>
      <c r="U142" s="134">
        <v>1714401.51</v>
      </c>
      <c r="V142" s="130">
        <f t="shared" si="49"/>
        <v>0.99999971418605438</v>
      </c>
      <c r="W142" s="130">
        <v>0.99999971418605438</v>
      </c>
      <c r="X142" s="130">
        <f t="shared" si="45"/>
        <v>0</v>
      </c>
      <c r="Y142" s="130">
        <f t="shared" si="55"/>
        <v>0.99999971418605438</v>
      </c>
      <c r="Z142" s="134">
        <v>636815.42000000004</v>
      </c>
      <c r="AA142" s="134">
        <v>0</v>
      </c>
      <c r="AB142" s="134">
        <v>0</v>
      </c>
      <c r="AC142" s="134">
        <v>0</v>
      </c>
      <c r="AD142" s="134">
        <v>0</v>
      </c>
      <c r="AE142" s="134">
        <f t="shared" si="51"/>
        <v>636815.42000000004</v>
      </c>
      <c r="AF142" s="174">
        <f t="shared" si="52"/>
        <v>636815.42000000004</v>
      </c>
      <c r="AG142" s="284">
        <f>SUM(Z142:AB142)</f>
        <v>636815.42000000004</v>
      </c>
      <c r="AH142" s="120">
        <f t="shared" si="50"/>
        <v>0.37145046494346134</v>
      </c>
      <c r="AI142" s="120">
        <v>0.37145046494346134</v>
      </c>
      <c r="AJ142" s="120">
        <f t="shared" si="47"/>
        <v>0</v>
      </c>
      <c r="AK142" s="175">
        <f t="shared" si="56"/>
        <v>0.37145046494346134</v>
      </c>
      <c r="AL142" s="117"/>
      <c r="AM142" s="126"/>
      <c r="AN142" s="126"/>
      <c r="AO142" s="126"/>
      <c r="AP142" s="117"/>
      <c r="AQ142" s="126"/>
      <c r="AR142" s="126"/>
      <c r="AS142" s="127"/>
    </row>
    <row r="143" spans="1:45" s="63" customFormat="1" ht="82.5">
      <c r="A143" s="104" t="s">
        <v>700</v>
      </c>
      <c r="B143" s="105" t="s">
        <v>701</v>
      </c>
      <c r="C143" s="106" t="s">
        <v>617</v>
      </c>
      <c r="D143" s="106" t="s">
        <v>535</v>
      </c>
      <c r="E143" s="106"/>
      <c r="F143" s="107">
        <f>F144+F145+F147</f>
        <v>47115980.159999996</v>
      </c>
      <c r="G143" s="107">
        <v>49360342</v>
      </c>
      <c r="H143" s="107">
        <f>H144+H145+H147</f>
        <v>34690645.798967995</v>
      </c>
      <c r="I143" s="107"/>
      <c r="J143" s="107">
        <f>J144+J145+J147</f>
        <v>34690645.987243995</v>
      </c>
      <c r="K143" s="185" t="s">
        <v>692</v>
      </c>
      <c r="L143" s="107">
        <f>SUM(L144,L145)</f>
        <v>6000000</v>
      </c>
      <c r="M143" s="107">
        <f>SUM(M144,M145)</f>
        <v>3000000</v>
      </c>
      <c r="N143" s="86">
        <f t="shared" si="53"/>
        <v>37690645.987243995</v>
      </c>
      <c r="O143" s="108">
        <f>O144+O145+O147</f>
        <v>16538078.149999999</v>
      </c>
      <c r="P143" s="137">
        <f>P144+P145+P147</f>
        <v>26316180.559999999</v>
      </c>
      <c r="Q143" s="138">
        <f t="shared" si="48"/>
        <v>0.75859586384400712</v>
      </c>
      <c r="R143" s="138">
        <v>0.7620267598856596</v>
      </c>
      <c r="S143" s="138">
        <f t="shared" si="44"/>
        <v>-3.4308960416524759E-3</v>
      </c>
      <c r="T143" s="138">
        <f t="shared" si="54"/>
        <v>0.69821516375459403</v>
      </c>
      <c r="U143" s="137">
        <f>U144+U145+U147</f>
        <v>26316180.559999999</v>
      </c>
      <c r="V143" s="138">
        <f t="shared" si="49"/>
        <v>0.75859586384400712</v>
      </c>
      <c r="W143" s="186">
        <v>0.7620267598856596</v>
      </c>
      <c r="X143" s="138">
        <f t="shared" si="45"/>
        <v>-3.4308960416524759E-3</v>
      </c>
      <c r="Y143" s="138">
        <f t="shared" si="55"/>
        <v>0.69821516375459403</v>
      </c>
      <c r="Z143" s="137">
        <f>Z144+Z145+Z147</f>
        <v>12417061.02</v>
      </c>
      <c r="AA143" s="137">
        <f>AA144+AA145+AA147</f>
        <v>247647.46</v>
      </c>
      <c r="AB143" s="137">
        <f>AB144+AB145+AB147</f>
        <v>178105.74</v>
      </c>
      <c r="AC143" s="137">
        <f>AC144+AC145+AC147</f>
        <v>179879.50000000093</v>
      </c>
      <c r="AD143" s="137">
        <f>AD144+AD145+AD147</f>
        <v>52011.81</v>
      </c>
      <c r="AE143" s="144">
        <f t="shared" si="51"/>
        <v>12790802.41</v>
      </c>
      <c r="AF143" s="137">
        <f t="shared" si="52"/>
        <v>12844587.98</v>
      </c>
      <c r="AG143" s="279">
        <f>AG144+AG145+AG147</f>
        <v>12842814.220000001</v>
      </c>
      <c r="AH143" s="110">
        <f t="shared" si="50"/>
        <v>0.37020971661128471</v>
      </c>
      <c r="AI143" s="110">
        <v>0.37020971661128471</v>
      </c>
      <c r="AJ143" s="110">
        <f t="shared" si="47"/>
        <v>0</v>
      </c>
      <c r="AK143" s="75">
        <f t="shared" si="56"/>
        <v>0.3407427462067516</v>
      </c>
      <c r="AL143" s="107"/>
      <c r="AM143" s="112"/>
      <c r="AN143" s="112"/>
      <c r="AO143" s="112"/>
      <c r="AP143" s="107"/>
      <c r="AQ143" s="112"/>
      <c r="AR143" s="112"/>
      <c r="AS143" s="113"/>
    </row>
    <row r="144" spans="1:45" ht="49.5">
      <c r="A144" s="114" t="s">
        <v>18</v>
      </c>
      <c r="B144" s="115" t="s">
        <v>702</v>
      </c>
      <c r="C144" s="116" t="s">
        <v>617</v>
      </c>
      <c r="D144" s="116" t="s">
        <v>535</v>
      </c>
      <c r="E144" s="116"/>
      <c r="F144" s="122">
        <v>17179418.987243999</v>
      </c>
      <c r="G144" s="122">
        <v>24444111</v>
      </c>
      <c r="H144" s="122">
        <v>17179418.987243999</v>
      </c>
      <c r="I144" s="122"/>
      <c r="J144" s="122">
        <v>17179418.987243999</v>
      </c>
      <c r="K144" s="107" t="s">
        <v>469</v>
      </c>
      <c r="L144" s="122">
        <v>0</v>
      </c>
      <c r="M144" s="122"/>
      <c r="N144" s="118">
        <f t="shared" si="53"/>
        <v>17179418.987243999</v>
      </c>
      <c r="O144" s="176">
        <v>10799791.41</v>
      </c>
      <c r="P144" s="135">
        <v>17179418</v>
      </c>
      <c r="Q144" s="120">
        <f t="shared" si="48"/>
        <v>0.99999994253333013</v>
      </c>
      <c r="R144" s="121">
        <v>0.99999994253333013</v>
      </c>
      <c r="S144" s="120">
        <f t="shared" si="44"/>
        <v>0</v>
      </c>
      <c r="T144" s="120">
        <f t="shared" si="54"/>
        <v>0.99999994253333013</v>
      </c>
      <c r="U144" s="134">
        <v>17179418</v>
      </c>
      <c r="V144" s="120">
        <f t="shared" si="49"/>
        <v>0.99999994253333013</v>
      </c>
      <c r="W144" s="121">
        <v>0.99999994253333013</v>
      </c>
      <c r="X144" s="120">
        <f t="shared" si="45"/>
        <v>0</v>
      </c>
      <c r="Y144" s="120">
        <f t="shared" si="55"/>
        <v>0.99999994253333013</v>
      </c>
      <c r="Z144" s="122">
        <v>7349834.4400000004</v>
      </c>
      <c r="AA144" s="122">
        <v>0</v>
      </c>
      <c r="AB144" s="122">
        <v>0</v>
      </c>
      <c r="AC144" s="122">
        <v>0</v>
      </c>
      <c r="AD144" s="122">
        <v>0</v>
      </c>
      <c r="AE144" s="122">
        <f t="shared" si="51"/>
        <v>7349834.4400000004</v>
      </c>
      <c r="AF144" s="124">
        <f t="shared" si="52"/>
        <v>7349834.4400000004</v>
      </c>
      <c r="AG144" s="284">
        <f>SUM(Z144:AB144)</f>
        <v>7349834.4400000004</v>
      </c>
      <c r="AH144" s="120">
        <f t="shared" si="50"/>
        <v>0.42782788204056105</v>
      </c>
      <c r="AI144" s="120">
        <v>0.42782788204056105</v>
      </c>
      <c r="AJ144" s="120">
        <f t="shared" si="47"/>
        <v>0</v>
      </c>
      <c r="AK144" s="175">
        <f t="shared" si="56"/>
        <v>0.42782788204056105</v>
      </c>
      <c r="AL144" s="117"/>
      <c r="AM144" s="126"/>
      <c r="AN144" s="126"/>
      <c r="AO144" s="126"/>
      <c r="AP144" s="117"/>
      <c r="AQ144" s="126"/>
      <c r="AR144" s="126"/>
      <c r="AS144" s="127"/>
    </row>
    <row r="145" spans="1:45" ht="157.5">
      <c r="A145" s="114" t="s">
        <v>703</v>
      </c>
      <c r="B145" s="115" t="s">
        <v>704</v>
      </c>
      <c r="C145" s="116" t="s">
        <v>617</v>
      </c>
      <c r="D145" s="116" t="s">
        <v>535</v>
      </c>
      <c r="E145" s="116"/>
      <c r="F145" s="122">
        <v>25638289.919999998</v>
      </c>
      <c r="G145" s="122">
        <v>20068096</v>
      </c>
      <c r="H145" s="122">
        <f>G145*G5</f>
        <v>14103938.141184</v>
      </c>
      <c r="I145" s="122"/>
      <c r="J145" s="122">
        <v>14103938</v>
      </c>
      <c r="K145" s="172" t="s">
        <v>705</v>
      </c>
      <c r="L145" s="122">
        <f>L146</f>
        <v>6000000</v>
      </c>
      <c r="M145" s="122">
        <f>M146</f>
        <v>3000000</v>
      </c>
      <c r="N145" s="118">
        <f t="shared" si="53"/>
        <v>17103938</v>
      </c>
      <c r="O145" s="176">
        <v>5738286.7399999993</v>
      </c>
      <c r="P145" s="135">
        <v>5898929.25</v>
      </c>
      <c r="Q145" s="120">
        <f t="shared" si="48"/>
        <v>0.41824696407485623</v>
      </c>
      <c r="R145" s="120">
        <v>0.42668574195377207</v>
      </c>
      <c r="S145" s="120">
        <f t="shared" si="44"/>
        <v>-8.4387778789158374E-3</v>
      </c>
      <c r="T145" s="120">
        <f t="shared" si="54"/>
        <v>0.34488719790728894</v>
      </c>
      <c r="U145" s="134">
        <v>5898929.25</v>
      </c>
      <c r="V145" s="120">
        <f t="shared" si="49"/>
        <v>0.41824696407485623</v>
      </c>
      <c r="W145" s="120">
        <v>0.42668574195377207</v>
      </c>
      <c r="X145" s="120">
        <f t="shared" si="45"/>
        <v>-8.4387778789158374E-3</v>
      </c>
      <c r="Y145" s="120">
        <f t="shared" si="55"/>
        <v>0.34488719790728894</v>
      </c>
      <c r="Z145" s="122">
        <v>5067226.58</v>
      </c>
      <c r="AA145" s="122">
        <v>247647.46</v>
      </c>
      <c r="AB145" s="122">
        <v>0</v>
      </c>
      <c r="AC145" s="122">
        <v>179879.50000000093</v>
      </c>
      <c r="AD145" s="122">
        <v>52011.81</v>
      </c>
      <c r="AE145" s="122">
        <f t="shared" si="51"/>
        <v>5262862.2300000004</v>
      </c>
      <c r="AF145" s="124">
        <f t="shared" si="52"/>
        <v>5494753.540000001</v>
      </c>
      <c r="AG145" s="284">
        <f>SUM(Z145:AB145)</f>
        <v>5314874.04</v>
      </c>
      <c r="AH145" s="120">
        <f t="shared" si="50"/>
        <v>0.37683617440745981</v>
      </c>
      <c r="AI145" s="120">
        <v>0.37683617440745981</v>
      </c>
      <c r="AJ145" s="120">
        <f t="shared" si="47"/>
        <v>0</v>
      </c>
      <c r="AK145" s="175">
        <f t="shared" si="56"/>
        <v>0.31073978635797206</v>
      </c>
      <c r="AL145" s="117"/>
      <c r="AM145" s="126"/>
      <c r="AN145" s="126"/>
      <c r="AO145" s="126"/>
      <c r="AP145" s="117"/>
      <c r="AQ145" s="126"/>
      <c r="AR145" s="126"/>
      <c r="AS145" s="127"/>
    </row>
    <row r="146" spans="1:45" ht="99">
      <c r="A146" s="114" t="s">
        <v>706</v>
      </c>
      <c r="B146" s="115" t="s">
        <v>707</v>
      </c>
      <c r="C146" s="116" t="s">
        <v>617</v>
      </c>
      <c r="D146" s="116" t="s">
        <v>535</v>
      </c>
      <c r="E146" s="116"/>
      <c r="F146" s="122"/>
      <c r="G146" s="122"/>
      <c r="H146" s="122"/>
      <c r="I146" s="122"/>
      <c r="J146" s="122"/>
      <c r="K146" s="172" t="s">
        <v>708</v>
      </c>
      <c r="L146" s="122">
        <v>6000000</v>
      </c>
      <c r="M146" s="122">
        <f>L146*0.5</f>
        <v>3000000</v>
      </c>
      <c r="N146" s="118">
        <f t="shared" si="53"/>
        <v>3000000</v>
      </c>
      <c r="O146" s="176"/>
      <c r="P146" s="135">
        <v>0</v>
      </c>
      <c r="Q146" s="120"/>
      <c r="R146" s="121"/>
      <c r="S146" s="120"/>
      <c r="T146" s="120">
        <f t="shared" si="54"/>
        <v>0</v>
      </c>
      <c r="U146" s="134">
        <v>0</v>
      </c>
      <c r="V146" s="120"/>
      <c r="W146" s="121"/>
      <c r="X146" s="120"/>
      <c r="Y146" s="120">
        <f t="shared" si="55"/>
        <v>0</v>
      </c>
      <c r="Z146" s="122"/>
      <c r="AA146" s="122"/>
      <c r="AB146" s="122"/>
      <c r="AC146" s="122"/>
      <c r="AD146" s="122"/>
      <c r="AE146" s="122"/>
      <c r="AF146" s="124"/>
      <c r="AG146" s="284"/>
      <c r="AH146" s="120"/>
      <c r="AI146" s="120"/>
      <c r="AJ146" s="120"/>
      <c r="AK146" s="175">
        <f t="shared" si="56"/>
        <v>0</v>
      </c>
      <c r="AL146" s="117"/>
      <c r="AM146" s="126"/>
      <c r="AN146" s="126"/>
      <c r="AO146" s="126"/>
      <c r="AP146" s="117"/>
      <c r="AQ146" s="126"/>
      <c r="AR146" s="126"/>
      <c r="AS146" s="127"/>
    </row>
    <row r="147" spans="1:45" ht="173.25">
      <c r="A147" s="114" t="s">
        <v>142</v>
      </c>
      <c r="B147" s="115" t="s">
        <v>709</v>
      </c>
      <c r="C147" s="116" t="s">
        <v>617</v>
      </c>
      <c r="D147" s="116" t="s">
        <v>535</v>
      </c>
      <c r="E147" s="116"/>
      <c r="F147" s="122">
        <v>4298271.2527559996</v>
      </c>
      <c r="G147" s="122">
        <v>4848135</v>
      </c>
      <c r="H147" s="122">
        <f>G147*G5</f>
        <v>3407288.6705399998</v>
      </c>
      <c r="I147" s="122"/>
      <c r="J147" s="122">
        <v>3407289</v>
      </c>
      <c r="K147" s="172" t="s">
        <v>710</v>
      </c>
      <c r="L147" s="122">
        <v>0</v>
      </c>
      <c r="M147" s="122"/>
      <c r="N147" s="118">
        <f t="shared" si="53"/>
        <v>3407289</v>
      </c>
      <c r="O147" s="176">
        <v>0</v>
      </c>
      <c r="P147" s="135">
        <v>3237833.31</v>
      </c>
      <c r="Q147" s="130">
        <v>0</v>
      </c>
      <c r="R147" s="131">
        <v>0</v>
      </c>
      <c r="S147" s="130">
        <f t="shared" ref="S147:S171" si="57">Q147-R147</f>
        <v>0</v>
      </c>
      <c r="T147" s="130">
        <f t="shared" si="54"/>
        <v>0.9502667105725402</v>
      </c>
      <c r="U147" s="134">
        <v>3237833.31</v>
      </c>
      <c r="V147" s="130">
        <v>0</v>
      </c>
      <c r="W147" s="131">
        <v>0</v>
      </c>
      <c r="X147" s="130">
        <f t="shared" ref="X147:X171" si="58">V147-W147</f>
        <v>0</v>
      </c>
      <c r="Y147" s="130">
        <f t="shared" si="55"/>
        <v>0.9502667105725402</v>
      </c>
      <c r="Z147" s="134">
        <v>0</v>
      </c>
      <c r="AA147" s="134">
        <v>0</v>
      </c>
      <c r="AB147" s="134">
        <v>178105.74</v>
      </c>
      <c r="AC147" s="134">
        <v>0</v>
      </c>
      <c r="AD147" s="134">
        <v>0</v>
      </c>
      <c r="AE147" s="134">
        <f t="shared" ref="AE147:AE210" si="59">AG147-AD147</f>
        <v>178105.74</v>
      </c>
      <c r="AF147" s="187">
        <f t="shared" ref="AF147:AF210" si="60">Z147+AA147+AC147</f>
        <v>0</v>
      </c>
      <c r="AG147" s="284">
        <f>SUM(Z147:AB147)</f>
        <v>178105.74</v>
      </c>
      <c r="AH147" s="130">
        <v>0</v>
      </c>
      <c r="AI147" s="130">
        <v>0</v>
      </c>
      <c r="AJ147" s="130">
        <f>AH147-AI147</f>
        <v>0</v>
      </c>
      <c r="AK147" s="175">
        <f t="shared" si="56"/>
        <v>5.2271979277366841E-2</v>
      </c>
      <c r="AL147" s="117"/>
      <c r="AM147" s="126"/>
      <c r="AN147" s="126"/>
      <c r="AO147" s="126"/>
      <c r="AP147" s="117"/>
      <c r="AQ147" s="126"/>
      <c r="AR147" s="126"/>
      <c r="AS147" s="127"/>
    </row>
    <row r="148" spans="1:45" s="63" customFormat="1" ht="110.25">
      <c r="A148" s="104" t="s">
        <v>711</v>
      </c>
      <c r="B148" s="105" t="s">
        <v>712</v>
      </c>
      <c r="C148" s="106" t="s">
        <v>617</v>
      </c>
      <c r="D148" s="106" t="s">
        <v>713</v>
      </c>
      <c r="E148" s="106"/>
      <c r="F148" s="107">
        <f>F149</f>
        <v>17948876.215799998</v>
      </c>
      <c r="G148" s="107">
        <v>22985056</v>
      </c>
      <c r="H148" s="107">
        <f>H149</f>
        <v>16153989.297024</v>
      </c>
      <c r="I148" s="107">
        <f>J148/I5</f>
        <v>22985056</v>
      </c>
      <c r="J148" s="107">
        <f>J149</f>
        <v>16153989.297024</v>
      </c>
      <c r="K148" s="172" t="s">
        <v>714</v>
      </c>
      <c r="L148" s="109">
        <f>L149</f>
        <v>0</v>
      </c>
      <c r="M148" s="109">
        <f>M149</f>
        <v>0</v>
      </c>
      <c r="N148" s="86">
        <f t="shared" si="53"/>
        <v>16153989.297024</v>
      </c>
      <c r="O148" s="108">
        <f>O149</f>
        <v>9407668.344899999</v>
      </c>
      <c r="P148" s="109">
        <f>P149</f>
        <v>14831275.73</v>
      </c>
      <c r="Q148" s="110">
        <f t="shared" ref="Q148:Q159" si="61">P148/J148</f>
        <v>0.91811845713753948</v>
      </c>
      <c r="R148" s="110">
        <v>0.91811845713753948</v>
      </c>
      <c r="S148" s="110">
        <f t="shared" si="57"/>
        <v>0</v>
      </c>
      <c r="T148" s="110">
        <f t="shared" si="54"/>
        <v>0.91811845713753948</v>
      </c>
      <c r="U148" s="109">
        <f>U149</f>
        <v>14831275.73</v>
      </c>
      <c r="V148" s="110">
        <f t="shared" ref="V148:V159" si="62">U148/J148</f>
        <v>0.91811845713753948</v>
      </c>
      <c r="W148" s="188">
        <v>0.91811845713753948</v>
      </c>
      <c r="X148" s="110">
        <f t="shared" si="58"/>
        <v>0</v>
      </c>
      <c r="Y148" s="110">
        <f t="shared" si="55"/>
        <v>0.91811845713753948</v>
      </c>
      <c r="Z148" s="109">
        <f t="shared" ref="Z148:AD149" si="63">Z149</f>
        <v>8098483.3300000001</v>
      </c>
      <c r="AA148" s="109">
        <f t="shared" si="63"/>
        <v>0</v>
      </c>
      <c r="AB148" s="109">
        <f t="shared" si="63"/>
        <v>0</v>
      </c>
      <c r="AC148" s="109">
        <f t="shared" si="63"/>
        <v>0</v>
      </c>
      <c r="AD148" s="109">
        <f t="shared" si="63"/>
        <v>0</v>
      </c>
      <c r="AE148" s="145">
        <f t="shared" si="59"/>
        <v>8098483.3300000001</v>
      </c>
      <c r="AF148" s="109">
        <f t="shared" si="60"/>
        <v>8098483.3300000001</v>
      </c>
      <c r="AG148" s="279">
        <f>AG149</f>
        <v>8098483.3300000001</v>
      </c>
      <c r="AH148" s="110">
        <f t="shared" ref="AH148:AH159" si="64">AG148/J148</f>
        <v>0.50133023992358094</v>
      </c>
      <c r="AI148" s="110">
        <v>0.47322133371775271</v>
      </c>
      <c r="AJ148" s="110">
        <f t="shared" ref="AJ148:AJ199" si="65">AH148-AI148</f>
        <v>2.8108906205828232E-2</v>
      </c>
      <c r="AK148" s="89">
        <f t="shared" si="56"/>
        <v>0.50133023992358094</v>
      </c>
      <c r="AL148" s="107">
        <f>AL149</f>
        <v>3379215.38</v>
      </c>
      <c r="AM148" s="112">
        <f t="shared" ref="AM148:AM153" si="66">AL148/J148</f>
        <v>0.20918766986075335</v>
      </c>
      <c r="AN148" s="112">
        <v>0.20918766986075335</v>
      </c>
      <c r="AO148" s="112">
        <f t="shared" ref="AO148:AO150" si="67">AM148-AN148</f>
        <v>0</v>
      </c>
      <c r="AP148" s="107">
        <f>AP149</f>
        <v>0</v>
      </c>
      <c r="AQ148" s="112">
        <f t="shared" ref="AQ148:AQ153" si="68">AP148/J148</f>
        <v>0</v>
      </c>
      <c r="AR148" s="112">
        <v>0</v>
      </c>
      <c r="AS148" s="113">
        <f t="shared" ref="AS148:AS153" si="69">AQ148-AR148</f>
        <v>0</v>
      </c>
    </row>
    <row r="149" spans="1:45" s="63" customFormat="1" ht="132">
      <c r="A149" s="104" t="s">
        <v>715</v>
      </c>
      <c r="B149" s="105" t="s">
        <v>716</v>
      </c>
      <c r="C149" s="106" t="s">
        <v>617</v>
      </c>
      <c r="D149" s="106" t="s">
        <v>713</v>
      </c>
      <c r="E149" s="106"/>
      <c r="F149" s="107">
        <f>F150</f>
        <v>17948876.215799998</v>
      </c>
      <c r="G149" s="107">
        <v>22985056</v>
      </c>
      <c r="H149" s="107">
        <f>H150</f>
        <v>16153989.297024</v>
      </c>
      <c r="I149" s="107"/>
      <c r="J149" s="107">
        <f>J150</f>
        <v>16153989.297024</v>
      </c>
      <c r="K149" s="172" t="s">
        <v>714</v>
      </c>
      <c r="L149" s="107">
        <f>L150</f>
        <v>0</v>
      </c>
      <c r="M149" s="107">
        <f>M150</f>
        <v>0</v>
      </c>
      <c r="N149" s="86">
        <f t="shared" si="53"/>
        <v>16153989.297024</v>
      </c>
      <c r="O149" s="108">
        <f>O150</f>
        <v>9407668.344899999</v>
      </c>
      <c r="P149" s="109">
        <f>P150</f>
        <v>14831275.73</v>
      </c>
      <c r="Q149" s="110">
        <f t="shared" si="61"/>
        <v>0.91811845713753948</v>
      </c>
      <c r="R149" s="110">
        <v>0.91811845713753948</v>
      </c>
      <c r="S149" s="110">
        <f t="shared" si="57"/>
        <v>0</v>
      </c>
      <c r="T149" s="110">
        <f t="shared" si="54"/>
        <v>0.91811845713753948</v>
      </c>
      <c r="U149" s="109">
        <f>U150</f>
        <v>14831275.73</v>
      </c>
      <c r="V149" s="110">
        <f t="shared" si="62"/>
        <v>0.91811845713753948</v>
      </c>
      <c r="W149" s="121">
        <v>0.91811845713753948</v>
      </c>
      <c r="X149" s="110">
        <f t="shared" si="58"/>
        <v>0</v>
      </c>
      <c r="Y149" s="110">
        <f t="shared" si="55"/>
        <v>0.91811845713753948</v>
      </c>
      <c r="Z149" s="109">
        <f t="shared" si="63"/>
        <v>8098483.3300000001</v>
      </c>
      <c r="AA149" s="109">
        <f t="shared" si="63"/>
        <v>0</v>
      </c>
      <c r="AB149" s="109">
        <f t="shared" si="63"/>
        <v>0</v>
      </c>
      <c r="AC149" s="109">
        <f t="shared" si="63"/>
        <v>0</v>
      </c>
      <c r="AD149" s="109">
        <f t="shared" si="63"/>
        <v>0</v>
      </c>
      <c r="AE149" s="145">
        <f t="shared" si="59"/>
        <v>8098483.3300000001</v>
      </c>
      <c r="AF149" s="146">
        <f t="shared" si="60"/>
        <v>8098483.3300000001</v>
      </c>
      <c r="AG149" s="279">
        <f>AG150</f>
        <v>8098483.3300000001</v>
      </c>
      <c r="AH149" s="110">
        <f t="shared" si="64"/>
        <v>0.50133023992358094</v>
      </c>
      <c r="AI149" s="110">
        <v>0.47322133371775271</v>
      </c>
      <c r="AJ149" s="110">
        <f t="shared" si="65"/>
        <v>2.8108906205828232E-2</v>
      </c>
      <c r="AK149" s="89">
        <f t="shared" si="56"/>
        <v>0.50133023992358094</v>
      </c>
      <c r="AL149" s="107">
        <f>AL150</f>
        <v>3379215.38</v>
      </c>
      <c r="AM149" s="112">
        <f t="shared" si="66"/>
        <v>0.20918766986075335</v>
      </c>
      <c r="AN149" s="112">
        <v>0.20918766986075335</v>
      </c>
      <c r="AO149" s="112">
        <f t="shared" si="67"/>
        <v>0</v>
      </c>
      <c r="AP149" s="107">
        <f>AP150</f>
        <v>0</v>
      </c>
      <c r="AQ149" s="112">
        <f t="shared" si="68"/>
        <v>0</v>
      </c>
      <c r="AR149" s="112">
        <v>0</v>
      </c>
      <c r="AS149" s="113">
        <f t="shared" si="69"/>
        <v>0</v>
      </c>
    </row>
    <row r="150" spans="1:45" ht="157.5">
      <c r="A150" s="114" t="s">
        <v>20</v>
      </c>
      <c r="B150" s="115" t="s">
        <v>717</v>
      </c>
      <c r="C150" s="116" t="s">
        <v>617</v>
      </c>
      <c r="D150" s="116" t="s">
        <v>713</v>
      </c>
      <c r="E150" s="116"/>
      <c r="F150" s="122">
        <v>17948876.215799998</v>
      </c>
      <c r="G150" s="107">
        <v>22985056</v>
      </c>
      <c r="H150" s="122">
        <v>16153989.297024</v>
      </c>
      <c r="I150" s="122"/>
      <c r="J150" s="122">
        <v>16153989.297024</v>
      </c>
      <c r="K150" s="172" t="s">
        <v>718</v>
      </c>
      <c r="L150" s="122">
        <v>0</v>
      </c>
      <c r="M150" s="122"/>
      <c r="N150" s="118">
        <f t="shared" si="53"/>
        <v>16153989.297024</v>
      </c>
      <c r="O150" s="119">
        <f>0.21*44798420.69</f>
        <v>9407668.344899999</v>
      </c>
      <c r="P150" s="117">
        <v>14831275.73</v>
      </c>
      <c r="Q150" s="120">
        <f t="shared" si="61"/>
        <v>0.91811845713753948</v>
      </c>
      <c r="R150" s="121">
        <v>0.91811845713753948</v>
      </c>
      <c r="S150" s="120">
        <f t="shared" si="57"/>
        <v>0</v>
      </c>
      <c r="T150" s="120">
        <f t="shared" si="54"/>
        <v>0.91811845713753948</v>
      </c>
      <c r="U150" s="122">
        <v>14831275.73</v>
      </c>
      <c r="V150" s="120">
        <f t="shared" si="62"/>
        <v>0.91811845713753948</v>
      </c>
      <c r="W150" s="120">
        <v>0.91811845713753948</v>
      </c>
      <c r="X150" s="120">
        <f t="shared" si="58"/>
        <v>0</v>
      </c>
      <c r="Y150" s="120">
        <f t="shared" si="55"/>
        <v>0.91811845713753948</v>
      </c>
      <c r="Z150" s="122">
        <v>8098483.3300000001</v>
      </c>
      <c r="AA150" s="122">
        <v>0</v>
      </c>
      <c r="AB150" s="122">
        <v>0</v>
      </c>
      <c r="AC150" s="122">
        <v>0</v>
      </c>
      <c r="AD150" s="122">
        <v>0</v>
      </c>
      <c r="AE150" s="124">
        <f t="shared" si="59"/>
        <v>8098483.3300000001</v>
      </c>
      <c r="AF150" s="124">
        <f t="shared" si="60"/>
        <v>8098483.3300000001</v>
      </c>
      <c r="AG150" s="284">
        <f>SUM(Z150:AB150)</f>
        <v>8098483.3300000001</v>
      </c>
      <c r="AH150" s="120">
        <f t="shared" si="64"/>
        <v>0.50133023992358094</v>
      </c>
      <c r="AI150" s="120">
        <v>0.47322133371775271</v>
      </c>
      <c r="AJ150" s="120">
        <f t="shared" si="65"/>
        <v>2.8108906205828232E-2</v>
      </c>
      <c r="AK150" s="125">
        <f t="shared" si="56"/>
        <v>0.50133023992358094</v>
      </c>
      <c r="AL150" s="165">
        <v>3379215.38</v>
      </c>
      <c r="AM150" s="126">
        <f t="shared" si="66"/>
        <v>0.20918766986075335</v>
      </c>
      <c r="AN150" s="126">
        <v>0.20918766986075335</v>
      </c>
      <c r="AO150" s="126">
        <f t="shared" si="67"/>
        <v>0</v>
      </c>
      <c r="AP150" s="117">
        <v>0</v>
      </c>
      <c r="AQ150" s="126">
        <f t="shared" si="68"/>
        <v>0</v>
      </c>
      <c r="AR150" s="126">
        <v>0</v>
      </c>
      <c r="AS150" s="127">
        <f t="shared" si="69"/>
        <v>0</v>
      </c>
    </row>
    <row r="151" spans="1:45" s="63" customFormat="1" ht="109.5">
      <c r="A151" s="91" t="s">
        <v>719</v>
      </c>
      <c r="B151" s="92" t="s">
        <v>720</v>
      </c>
      <c r="C151" s="93" t="s">
        <v>721</v>
      </c>
      <c r="D151" s="93" t="s">
        <v>468</v>
      </c>
      <c r="E151" s="96"/>
      <c r="F151" s="94">
        <f>F154+F185+F203+F213+F234+F250+F257+F260</f>
        <v>2256431635.6594682</v>
      </c>
      <c r="G151" s="94"/>
      <c r="H151" s="94">
        <f>H154+H185+H203+H213+H234+H250+H257+H260</f>
        <v>2256431635.6594682</v>
      </c>
      <c r="I151" s="94"/>
      <c r="J151" s="94">
        <f>J154+J185+J203+J213+J234+J250+J257+J260</f>
        <v>2256431635.6594682</v>
      </c>
      <c r="K151" s="189" t="s">
        <v>469</v>
      </c>
      <c r="L151" s="94">
        <f>L154+L185+L203+L213+L234+L250+L257+L260</f>
        <v>216634579</v>
      </c>
      <c r="M151" s="94">
        <f>M154+M185+M203+M213+M234+M250+M257+M260</f>
        <v>204129836.30000001</v>
      </c>
      <c r="N151" s="96">
        <f t="shared" si="53"/>
        <v>2460561471.9594684</v>
      </c>
      <c r="O151" s="190">
        <f>O154+O185+O203+O213+O234+O250+O257+O260</f>
        <v>1436969023.3446999</v>
      </c>
      <c r="P151" s="94">
        <f>P154+P185+P203+P213+P234+P250+P257+P260</f>
        <v>2133285794.79</v>
      </c>
      <c r="Q151" s="97">
        <f t="shared" si="61"/>
        <v>0.94542451943886285</v>
      </c>
      <c r="R151" s="98">
        <v>0.93590045247827924</v>
      </c>
      <c r="S151" s="97">
        <f t="shared" si="57"/>
        <v>9.5240669605836104E-3</v>
      </c>
      <c r="T151" s="97">
        <f t="shared" si="54"/>
        <v>0.86699146479407307</v>
      </c>
      <c r="U151" s="96">
        <f>U154+U185+U203+U213+U234+U250+U257+U260</f>
        <v>2090047538.6899998</v>
      </c>
      <c r="V151" s="97">
        <f t="shared" si="62"/>
        <v>0.92626229204553734</v>
      </c>
      <c r="W151" s="97">
        <v>0.92279500385193192</v>
      </c>
      <c r="X151" s="97">
        <f t="shared" si="58"/>
        <v>3.4672881936054223E-3</v>
      </c>
      <c r="Y151" s="97">
        <f t="shared" si="55"/>
        <v>0.84941894868637047</v>
      </c>
      <c r="Z151" s="96">
        <f>Z154+Z185+Z203+Z213+Z234+Z250+Z257+Z260</f>
        <v>747809235.43999994</v>
      </c>
      <c r="AA151" s="96">
        <f>AA154+AA185+AA203+AA213+AA234+AA250+AA257+AA260</f>
        <v>9979082.9000000004</v>
      </c>
      <c r="AB151" s="96">
        <f>AB154+AB185+AB203+AB213+AB234+AB250+AB257+AB260</f>
        <v>422382958.25</v>
      </c>
      <c r="AC151" s="96">
        <f>AC154+AC185+AC203+AC213+AC234+AC250+AC257+AC260</f>
        <v>180987583.9900001</v>
      </c>
      <c r="AD151" s="96">
        <f>AD154+AD185+AD203+AD213+AD234+AD250+AD257+AD260</f>
        <v>37667191.109999999</v>
      </c>
      <c r="AE151" s="96">
        <f t="shared" si="59"/>
        <v>1144815835.5400002</v>
      </c>
      <c r="AF151" s="96">
        <f t="shared" si="60"/>
        <v>938775902.33000004</v>
      </c>
      <c r="AG151" s="281">
        <f>AG154+AG185+AG203+AG213+AG234+AG250+AG257+AG260</f>
        <v>1182483026.6500001</v>
      </c>
      <c r="AH151" s="97">
        <f t="shared" si="64"/>
        <v>0.52405001240128679</v>
      </c>
      <c r="AI151" s="100">
        <v>0.48986725965528671</v>
      </c>
      <c r="AJ151" s="97">
        <f t="shared" si="65"/>
        <v>3.4182752746000078E-2</v>
      </c>
      <c r="AK151" s="97">
        <f t="shared" si="56"/>
        <v>0.48057447055298708</v>
      </c>
      <c r="AL151" s="101">
        <f>AL152+AL153</f>
        <v>524599829.89473534</v>
      </c>
      <c r="AM151" s="102">
        <f t="shared" si="66"/>
        <v>0.23249090360382887</v>
      </c>
      <c r="AN151" s="102">
        <v>0.23249090360382887</v>
      </c>
      <c r="AO151" s="102">
        <f>AM151-AN151</f>
        <v>0</v>
      </c>
      <c r="AP151" s="191">
        <f>AP152+AP153</f>
        <v>740346303.97342801</v>
      </c>
      <c r="AQ151" s="102">
        <f t="shared" si="68"/>
        <v>0.32810491231969158</v>
      </c>
      <c r="AR151" s="102">
        <v>0.31345833336316925</v>
      </c>
      <c r="AS151" s="103">
        <f t="shared" si="69"/>
        <v>1.4646578956522327E-2</v>
      </c>
    </row>
    <row r="152" spans="1:45" s="63" customFormat="1">
      <c r="A152" s="192" t="s">
        <v>719</v>
      </c>
      <c r="B152" s="193" t="s">
        <v>722</v>
      </c>
      <c r="C152" s="194" t="s">
        <v>617</v>
      </c>
      <c r="D152" s="194" t="s">
        <v>468</v>
      </c>
      <c r="E152" s="195"/>
      <c r="F152" s="196">
        <f>F154+F185+F213+F250+F257</f>
        <v>1174270515.104856</v>
      </c>
      <c r="G152" s="196"/>
      <c r="H152" s="196">
        <f>H154+H185+H213+H250+H257</f>
        <v>1174270515.104856</v>
      </c>
      <c r="I152" s="196"/>
      <c r="J152" s="196">
        <f>J154+J185+J213+J250+J257</f>
        <v>1174270515.104856</v>
      </c>
      <c r="K152" s="197" t="s">
        <v>469</v>
      </c>
      <c r="L152" s="196">
        <f>L154+L185+L213+L250+L257</f>
        <v>169677622</v>
      </c>
      <c r="M152" s="196">
        <f>M154+M185+M213+M250+M257</f>
        <v>162442532</v>
      </c>
      <c r="N152" s="195">
        <f t="shared" si="53"/>
        <v>1336713047.104856</v>
      </c>
      <c r="O152" s="198">
        <f>O154+O185+O213+O250+O257</f>
        <v>783910087.24880004</v>
      </c>
      <c r="P152" s="195">
        <f>P154+P185+P213+P250+P257</f>
        <v>1086595455.9000001</v>
      </c>
      <c r="Q152" s="199">
        <f t="shared" si="61"/>
        <v>0.92533657442891082</v>
      </c>
      <c r="R152" s="200">
        <v>0.90678504776637281</v>
      </c>
      <c r="S152" s="199">
        <f t="shared" si="57"/>
        <v>1.8551526662538009E-2</v>
      </c>
      <c r="T152" s="199">
        <f t="shared" si="54"/>
        <v>0.81288610016444618</v>
      </c>
      <c r="U152" s="195">
        <f>U154+U185+U213+U250+U257</f>
        <v>1063270098.3499998</v>
      </c>
      <c r="V152" s="199">
        <f t="shared" si="62"/>
        <v>0.90547287415715749</v>
      </c>
      <c r="W152" s="201">
        <v>0.89866847318887955</v>
      </c>
      <c r="X152" s="199">
        <f t="shared" si="58"/>
        <v>6.804400968277946E-3</v>
      </c>
      <c r="Y152" s="199">
        <f t="shared" si="55"/>
        <v>0.795436313465259</v>
      </c>
      <c r="Z152" s="195">
        <f>Z154+Z185+Z213+Z250+Z257</f>
        <v>410469468.49000007</v>
      </c>
      <c r="AA152" s="195">
        <f>AA154+AA185+AA213+AA250+AA257</f>
        <v>37443.14</v>
      </c>
      <c r="AB152" s="195">
        <f>AB154+AB185+AB213+AB250+AB257</f>
        <v>235524479.92000002</v>
      </c>
      <c r="AC152" s="195">
        <f>AC154+AC185+AC213+AC250+AC257</f>
        <v>116640735.01999998</v>
      </c>
      <c r="AD152" s="195">
        <f>AD154+AD185+AD213+AD250+AD257</f>
        <v>12041607.51</v>
      </c>
      <c r="AE152" s="195">
        <f t="shared" si="59"/>
        <v>633989784.04000008</v>
      </c>
      <c r="AF152" s="195">
        <f t="shared" si="60"/>
        <v>527147646.65000004</v>
      </c>
      <c r="AG152" s="281">
        <f>AG154+AG185+AG213+AG250+AG257</f>
        <v>646031391.55000007</v>
      </c>
      <c r="AH152" s="199">
        <f t="shared" si="64"/>
        <v>0.5501555078152609</v>
      </c>
      <c r="AI152" s="202">
        <v>0.51350669087195455</v>
      </c>
      <c r="AJ152" s="199">
        <f t="shared" si="65"/>
        <v>3.664881694330635E-2</v>
      </c>
      <c r="AK152" s="199">
        <f t="shared" si="56"/>
        <v>0.48329848575146234</v>
      </c>
      <c r="AL152" s="101">
        <v>290443367.82257068</v>
      </c>
      <c r="AM152" s="102">
        <f t="shared" si="66"/>
        <v>0.24733940270708038</v>
      </c>
      <c r="AN152" s="102">
        <v>0.24733940270708038</v>
      </c>
      <c r="AO152" s="102">
        <f t="shared" ref="AO152:AO153" si="70">AM152-AN152</f>
        <v>0</v>
      </c>
      <c r="AP152" s="191">
        <v>381212167.34819913</v>
      </c>
      <c r="AQ152" s="102">
        <f t="shared" si="68"/>
        <v>0.32463743442809595</v>
      </c>
      <c r="AR152" s="102">
        <v>0.30618076711368575</v>
      </c>
      <c r="AS152" s="103">
        <f t="shared" si="69"/>
        <v>1.8456667314410202E-2</v>
      </c>
    </row>
    <row r="153" spans="1:45" s="63" customFormat="1">
      <c r="A153" s="192" t="s">
        <v>719</v>
      </c>
      <c r="B153" s="193" t="s">
        <v>723</v>
      </c>
      <c r="C153" s="194" t="s">
        <v>724</v>
      </c>
      <c r="D153" s="194" t="s">
        <v>468</v>
      </c>
      <c r="E153" s="195"/>
      <c r="F153" s="196">
        <f>F203+F234+F260</f>
        <v>1082161120.5546119</v>
      </c>
      <c r="G153" s="196"/>
      <c r="H153" s="196">
        <f>H203+H234+H260</f>
        <v>1082161120.5546119</v>
      </c>
      <c r="I153" s="196"/>
      <c r="J153" s="196">
        <f>J203+J234+J260</f>
        <v>1082161120.5546119</v>
      </c>
      <c r="K153" s="197" t="s">
        <v>469</v>
      </c>
      <c r="L153" s="196">
        <f>L203+L234+L260</f>
        <v>46956957</v>
      </c>
      <c r="M153" s="196">
        <f>M203+M234+M260</f>
        <v>41687304.299999997</v>
      </c>
      <c r="N153" s="195">
        <f t="shared" si="53"/>
        <v>1123848424.8546119</v>
      </c>
      <c r="O153" s="198">
        <f>O203+O234+O260</f>
        <v>653058936.09589994</v>
      </c>
      <c r="P153" s="195">
        <f>P203+P234+P260</f>
        <v>1046690338.89</v>
      </c>
      <c r="Q153" s="199">
        <f t="shared" si="61"/>
        <v>0.96722227310621456</v>
      </c>
      <c r="R153" s="200">
        <v>0.96749404851415877</v>
      </c>
      <c r="S153" s="199">
        <f t="shared" si="57"/>
        <v>-2.7177540794420807E-4</v>
      </c>
      <c r="T153" s="199">
        <f t="shared" si="54"/>
        <v>0.93134475765751634</v>
      </c>
      <c r="U153" s="195">
        <f>U203+U234+U260</f>
        <v>1026777440.3399999</v>
      </c>
      <c r="V153" s="199">
        <f t="shared" si="62"/>
        <v>0.94882122526613444</v>
      </c>
      <c r="W153" s="203">
        <v>0.94897509205809127</v>
      </c>
      <c r="X153" s="199">
        <f t="shared" si="58"/>
        <v>-1.5386679195683595E-4</v>
      </c>
      <c r="Y153" s="199">
        <f t="shared" si="55"/>
        <v>0.91362626634711019</v>
      </c>
      <c r="Z153" s="195">
        <f>Z203+Z234+Z260</f>
        <v>337339766.94999999</v>
      </c>
      <c r="AA153" s="195">
        <f>AA203+AA234+AA260</f>
        <v>9941639.7599999998</v>
      </c>
      <c r="AB153" s="195">
        <f>AB203+AB234+AB260</f>
        <v>186858478.32999998</v>
      </c>
      <c r="AC153" s="195">
        <f>AC203+AC234+AC260</f>
        <v>64346848.970000103</v>
      </c>
      <c r="AD153" s="195">
        <f>AD203+AD234+AD260</f>
        <v>25625583.600000001</v>
      </c>
      <c r="AE153" s="195">
        <f t="shared" si="59"/>
        <v>510826051.50000006</v>
      </c>
      <c r="AF153" s="195">
        <f t="shared" si="60"/>
        <v>411628255.68000007</v>
      </c>
      <c r="AG153" s="281">
        <f>AG203+AG234+AG260</f>
        <v>536451635.10000008</v>
      </c>
      <c r="AH153" s="199">
        <f t="shared" si="64"/>
        <v>0.49572251757212132</v>
      </c>
      <c r="AI153" s="202">
        <v>0.46421573092788665</v>
      </c>
      <c r="AJ153" s="199">
        <f t="shared" si="65"/>
        <v>3.1506786644234674E-2</v>
      </c>
      <c r="AK153" s="199">
        <f t="shared" si="56"/>
        <v>0.47733450813831846</v>
      </c>
      <c r="AL153" s="101">
        <v>234156462.07216462</v>
      </c>
      <c r="AM153" s="102">
        <f t="shared" si="66"/>
        <v>0.21637855733733855</v>
      </c>
      <c r="AN153" s="102">
        <v>0.21637855733733855</v>
      </c>
      <c r="AO153" s="102">
        <f t="shared" si="70"/>
        <v>0</v>
      </c>
      <c r="AP153" s="191">
        <v>359134136.62522894</v>
      </c>
      <c r="AQ153" s="102">
        <f t="shared" si="68"/>
        <v>0.33186752859978119</v>
      </c>
      <c r="AR153" s="102">
        <v>0.32135533807547206</v>
      </c>
      <c r="AS153" s="103">
        <f t="shared" si="69"/>
        <v>1.0512190524309128E-2</v>
      </c>
    </row>
    <row r="154" spans="1:45" s="204" customFormat="1" ht="99">
      <c r="A154" s="104" t="s">
        <v>725</v>
      </c>
      <c r="B154" s="105" t="s">
        <v>726</v>
      </c>
      <c r="C154" s="106" t="s">
        <v>617</v>
      </c>
      <c r="D154" s="106" t="s">
        <v>468</v>
      </c>
      <c r="E154" s="109"/>
      <c r="F154" s="107">
        <f>F155+F158+F161+F167+F177</f>
        <v>354651228.75374401</v>
      </c>
      <c r="G154" s="107"/>
      <c r="H154" s="107">
        <f>H155+H158+H161+H167+H177</f>
        <v>354651228.75374401</v>
      </c>
      <c r="I154" s="107"/>
      <c r="J154" s="107">
        <f>J155+J158+J161+J167+J177</f>
        <v>354651228.75374401</v>
      </c>
      <c r="K154" s="107" t="s">
        <v>469</v>
      </c>
      <c r="L154" s="107">
        <f>L155+L158+L161+L167+L177</f>
        <v>65330624</v>
      </c>
      <c r="M154" s="107">
        <f>M155+M158+M161+M167+M177</f>
        <v>58095534</v>
      </c>
      <c r="N154" s="86">
        <f t="shared" si="53"/>
        <v>412746762.75374401</v>
      </c>
      <c r="O154" s="108">
        <f>O155+O158+O161+O167+O177</f>
        <v>262464006.66999999</v>
      </c>
      <c r="P154" s="109">
        <f>P155+P158+P161+P167+P177</f>
        <v>321250637.26999998</v>
      </c>
      <c r="Q154" s="110">
        <f t="shared" si="61"/>
        <v>0.90582130054613152</v>
      </c>
      <c r="R154" s="110">
        <v>0.90613841051469202</v>
      </c>
      <c r="S154" s="110">
        <f t="shared" si="57"/>
        <v>-3.1710996856049167E-4</v>
      </c>
      <c r="T154" s="110">
        <f t="shared" si="54"/>
        <v>0.77832382046244386</v>
      </c>
      <c r="U154" s="109">
        <f>U155+U158+U161+U167+U177</f>
        <v>321250637.26999998</v>
      </c>
      <c r="V154" s="110">
        <f t="shared" si="62"/>
        <v>0.90582130054613152</v>
      </c>
      <c r="W154" s="202">
        <v>0.90613841051469202</v>
      </c>
      <c r="X154" s="110">
        <f t="shared" si="58"/>
        <v>-3.1710996856049167E-4</v>
      </c>
      <c r="Y154" s="110">
        <f t="shared" si="55"/>
        <v>0.77832382046244386</v>
      </c>
      <c r="Z154" s="109">
        <f>Z155+Z158+Z161+Z167+Z177</f>
        <v>141256561.24000001</v>
      </c>
      <c r="AA154" s="109">
        <f>AA155+AA158+AA161+AA167+AA177</f>
        <v>0</v>
      </c>
      <c r="AB154" s="109">
        <f>AB155+AB158+AB161+AB167+AB177</f>
        <v>79915818.299999997</v>
      </c>
      <c r="AC154" s="109">
        <f>AC155+AC158+AC161+AC167+AC177</f>
        <v>37050462.699999981</v>
      </c>
      <c r="AD154" s="109">
        <f>AD155+AD158+AD161+AD167+AD177</f>
        <v>2381503.5499999998</v>
      </c>
      <c r="AE154" s="145">
        <f t="shared" si="59"/>
        <v>218790875.99000001</v>
      </c>
      <c r="AF154" s="109">
        <f t="shared" si="60"/>
        <v>178307023.94</v>
      </c>
      <c r="AG154" s="279">
        <f>AG155+AG158+AG161+AG167+AG177</f>
        <v>221172379.54000002</v>
      </c>
      <c r="AH154" s="110">
        <f t="shared" si="64"/>
        <v>0.62363347877633746</v>
      </c>
      <c r="AI154" s="110">
        <v>0.58590075616030535</v>
      </c>
      <c r="AJ154" s="110">
        <f t="shared" si="65"/>
        <v>3.7732722616032111E-2</v>
      </c>
      <c r="AK154" s="89">
        <f t="shared" si="56"/>
        <v>0.53585491031932697</v>
      </c>
      <c r="AL154" s="107"/>
      <c r="AM154" s="112"/>
      <c r="AN154" s="112"/>
      <c r="AO154" s="112"/>
      <c r="AP154" s="107"/>
      <c r="AQ154" s="112"/>
      <c r="AR154" s="112"/>
      <c r="AS154" s="113"/>
    </row>
    <row r="155" spans="1:45" s="204" customFormat="1" ht="82.5">
      <c r="A155" s="104" t="s">
        <v>727</v>
      </c>
      <c r="B155" s="105" t="s">
        <v>728</v>
      </c>
      <c r="C155" s="106" t="s">
        <v>617</v>
      </c>
      <c r="D155" s="106" t="s">
        <v>475</v>
      </c>
      <c r="E155" s="109"/>
      <c r="F155" s="107">
        <f>F156+F157</f>
        <v>61828309.017431997</v>
      </c>
      <c r="G155" s="107"/>
      <c r="H155" s="107">
        <f>H156+H157</f>
        <v>61828309.017431997</v>
      </c>
      <c r="I155" s="107"/>
      <c r="J155" s="107">
        <f>J156+J157</f>
        <v>61828309.017431997</v>
      </c>
      <c r="K155" s="107" t="s">
        <v>469</v>
      </c>
      <c r="L155" s="107">
        <f>L156+L157</f>
        <v>43509857</v>
      </c>
      <c r="M155" s="107">
        <f>M156+M157</f>
        <v>37418507</v>
      </c>
      <c r="N155" s="86">
        <f t="shared" si="53"/>
        <v>99246816.017432004</v>
      </c>
      <c r="O155" s="108">
        <f>O156+O157</f>
        <v>28059330.579999998</v>
      </c>
      <c r="P155" s="109">
        <f>P156+P157</f>
        <v>21000221.379999999</v>
      </c>
      <c r="Q155" s="110">
        <f t="shared" si="61"/>
        <v>0.33965382061604105</v>
      </c>
      <c r="R155" s="110">
        <v>0.34175174952653148</v>
      </c>
      <c r="S155" s="110">
        <f t="shared" si="57"/>
        <v>-2.097928910490432E-3</v>
      </c>
      <c r="T155" s="110">
        <f t="shared" si="54"/>
        <v>0.21159592038007</v>
      </c>
      <c r="U155" s="109">
        <f>U156+U157</f>
        <v>21000221.379999999</v>
      </c>
      <c r="V155" s="110">
        <f t="shared" si="62"/>
        <v>0.33965382061604105</v>
      </c>
      <c r="W155" s="202">
        <v>0.34175174952653148</v>
      </c>
      <c r="X155" s="110">
        <f t="shared" si="58"/>
        <v>-2.097928910490432E-3</v>
      </c>
      <c r="Y155" s="110">
        <f t="shared" si="55"/>
        <v>0.21159592038007</v>
      </c>
      <c r="Z155" s="109">
        <f>Z156+Z157</f>
        <v>14082266.43</v>
      </c>
      <c r="AA155" s="109">
        <f>AA156+AA157</f>
        <v>0</v>
      </c>
      <c r="AB155" s="109">
        <f>AB156+AB157</f>
        <v>2141042.41</v>
      </c>
      <c r="AC155" s="109">
        <f>AC156+AC157</f>
        <v>945377.10999999801</v>
      </c>
      <c r="AD155" s="109">
        <f>AD156+AD157</f>
        <v>1410556.67</v>
      </c>
      <c r="AE155" s="145">
        <f t="shared" si="59"/>
        <v>14812752.17</v>
      </c>
      <c r="AF155" s="109">
        <f t="shared" si="60"/>
        <v>15027643.539999997</v>
      </c>
      <c r="AG155" s="279">
        <f>AG156+AG157</f>
        <v>16223308.84</v>
      </c>
      <c r="AH155" s="110">
        <f t="shared" si="64"/>
        <v>0.26239289247625985</v>
      </c>
      <c r="AI155" s="110">
        <v>0.23867882860680353</v>
      </c>
      <c r="AJ155" s="110">
        <f t="shared" si="65"/>
        <v>2.371406386945632E-2</v>
      </c>
      <c r="AK155" s="89">
        <f t="shared" si="56"/>
        <v>0.16346427513755696</v>
      </c>
      <c r="AL155" s="107"/>
      <c r="AM155" s="112"/>
      <c r="AN155" s="112"/>
      <c r="AO155" s="112"/>
      <c r="AP155" s="107"/>
      <c r="AQ155" s="112"/>
      <c r="AR155" s="112"/>
      <c r="AS155" s="113"/>
    </row>
    <row r="156" spans="1:45" s="56" customFormat="1" ht="148.5">
      <c r="A156" s="114" t="s">
        <v>80</v>
      </c>
      <c r="B156" s="115" t="s">
        <v>729</v>
      </c>
      <c r="C156" s="116" t="s">
        <v>617</v>
      </c>
      <c r="D156" s="116" t="s">
        <v>475</v>
      </c>
      <c r="E156" s="122">
        <v>85173503</v>
      </c>
      <c r="F156" s="122">
        <f>E156*$E$5</f>
        <v>59860278.602412</v>
      </c>
      <c r="G156" s="122">
        <v>85173503</v>
      </c>
      <c r="H156" s="122">
        <f>G156*$G$5</f>
        <v>59860278.602412</v>
      </c>
      <c r="I156" s="122">
        <v>85173503</v>
      </c>
      <c r="J156" s="117">
        <f>I156*$I$5</f>
        <v>59860278.602412</v>
      </c>
      <c r="K156" s="107" t="s">
        <v>469</v>
      </c>
      <c r="L156" s="117">
        <v>43509857</v>
      </c>
      <c r="M156" s="117">
        <v>37418507</v>
      </c>
      <c r="N156" s="118">
        <f t="shared" si="53"/>
        <v>97278785.602412</v>
      </c>
      <c r="O156" s="205">
        <v>25744003.5</v>
      </c>
      <c r="P156" s="135">
        <v>19032192.379999999</v>
      </c>
      <c r="Q156" s="130">
        <f t="shared" si="61"/>
        <v>0.31794359839870706</v>
      </c>
      <c r="R156" s="131">
        <v>0.31997447192494244</v>
      </c>
      <c r="S156" s="130">
        <f t="shared" si="57"/>
        <v>-2.0308735262353772E-3</v>
      </c>
      <c r="T156" s="130">
        <f t="shared" si="54"/>
        <v>0.19564586730951236</v>
      </c>
      <c r="U156" s="135">
        <v>19032192.379999999</v>
      </c>
      <c r="V156" s="130">
        <f t="shared" si="62"/>
        <v>0.31794359839870706</v>
      </c>
      <c r="W156" s="130">
        <v>0.31997447192494244</v>
      </c>
      <c r="X156" s="130">
        <f t="shared" si="58"/>
        <v>-2.0308735262353772E-3</v>
      </c>
      <c r="Y156" s="130">
        <f t="shared" si="55"/>
        <v>0.19564586730951236</v>
      </c>
      <c r="Z156" s="134">
        <v>12340403.66</v>
      </c>
      <c r="AA156" s="134"/>
      <c r="AB156" s="134">
        <v>2141042.41</v>
      </c>
      <c r="AC156" s="134">
        <v>945377.10999999801</v>
      </c>
      <c r="AD156" s="134">
        <v>1410556.67</v>
      </c>
      <c r="AE156" s="134">
        <f t="shared" si="59"/>
        <v>13070889.4</v>
      </c>
      <c r="AF156" s="174">
        <f t="shared" si="60"/>
        <v>13285780.769999998</v>
      </c>
      <c r="AG156" s="284">
        <f>SUM(Z156:AB156)</f>
        <v>14481446.07</v>
      </c>
      <c r="AH156" s="120">
        <f t="shared" si="64"/>
        <v>0.24192079302177666</v>
      </c>
      <c r="AI156" s="120">
        <v>0.22654434228917397</v>
      </c>
      <c r="AJ156" s="120">
        <f t="shared" si="65"/>
        <v>1.5376450732602687E-2</v>
      </c>
      <c r="AK156" s="125">
        <f t="shared" si="56"/>
        <v>0.14886540760476905</v>
      </c>
      <c r="AL156" s="117"/>
      <c r="AM156" s="126"/>
      <c r="AN156" s="126"/>
      <c r="AO156" s="126"/>
      <c r="AP156" s="117"/>
      <c r="AQ156" s="126"/>
      <c r="AR156" s="126"/>
      <c r="AS156" s="127"/>
    </row>
    <row r="157" spans="1:45" s="56" customFormat="1" ht="148.5">
      <c r="A157" s="114" t="s">
        <v>81</v>
      </c>
      <c r="B157" s="115" t="s">
        <v>730</v>
      </c>
      <c r="C157" s="116" t="s">
        <v>617</v>
      </c>
      <c r="D157" s="116" t="s">
        <v>475</v>
      </c>
      <c r="E157" s="122">
        <v>2800255</v>
      </c>
      <c r="F157" s="122">
        <f>E157*$E$5</f>
        <v>1968030.41502</v>
      </c>
      <c r="G157" s="122">
        <v>2800255</v>
      </c>
      <c r="H157" s="122">
        <f>G157*$G$5</f>
        <v>1968030.41502</v>
      </c>
      <c r="I157" s="206">
        <v>2800255</v>
      </c>
      <c r="J157" s="117">
        <f>I157*$I$5</f>
        <v>1968030.41502</v>
      </c>
      <c r="K157" s="107" t="s">
        <v>469</v>
      </c>
      <c r="L157" s="117">
        <v>0</v>
      </c>
      <c r="M157" s="117"/>
      <c r="N157" s="118">
        <f t="shared" si="53"/>
        <v>1968030.41502</v>
      </c>
      <c r="O157" s="205">
        <v>2315327.08</v>
      </c>
      <c r="P157" s="135">
        <v>1968029</v>
      </c>
      <c r="Q157" s="130">
        <f t="shared" si="61"/>
        <v>0.9999992809968844</v>
      </c>
      <c r="R157" s="131">
        <v>0.9999992809968844</v>
      </c>
      <c r="S157" s="130">
        <f t="shared" si="57"/>
        <v>0</v>
      </c>
      <c r="T157" s="130">
        <f t="shared" si="54"/>
        <v>0.9999992809968844</v>
      </c>
      <c r="U157" s="135">
        <v>1968029</v>
      </c>
      <c r="V157" s="130">
        <f t="shared" si="62"/>
        <v>0.9999992809968844</v>
      </c>
      <c r="W157" s="130">
        <v>0.9999992809968844</v>
      </c>
      <c r="X157" s="130">
        <f t="shared" si="58"/>
        <v>0</v>
      </c>
      <c r="Y157" s="130">
        <f t="shared" si="55"/>
        <v>0.9999992809968844</v>
      </c>
      <c r="Z157" s="134">
        <v>1741862.77</v>
      </c>
      <c r="AA157" s="134"/>
      <c r="AB157" s="134"/>
      <c r="AC157" s="134">
        <v>0</v>
      </c>
      <c r="AD157" s="134">
        <v>0</v>
      </c>
      <c r="AE157" s="134">
        <f t="shared" si="59"/>
        <v>1741862.77</v>
      </c>
      <c r="AF157" s="174">
        <f t="shared" si="60"/>
        <v>1741862.77</v>
      </c>
      <c r="AG157" s="284">
        <f>SUM(Z157:AB157)</f>
        <v>1741862.77</v>
      </c>
      <c r="AH157" s="120">
        <f t="shared" si="64"/>
        <v>0.88507919222493237</v>
      </c>
      <c r="AI157" s="120">
        <v>0.60546001266341753</v>
      </c>
      <c r="AJ157" s="120">
        <f>AH157-AI157</f>
        <v>0.27961917956151483</v>
      </c>
      <c r="AK157" s="125">
        <f t="shared" si="56"/>
        <v>0.88507919222493237</v>
      </c>
      <c r="AL157" s="117"/>
      <c r="AM157" s="126"/>
      <c r="AN157" s="126"/>
      <c r="AO157" s="126"/>
      <c r="AP157" s="117"/>
      <c r="AQ157" s="126"/>
      <c r="AR157" s="126"/>
      <c r="AS157" s="127"/>
    </row>
    <row r="158" spans="1:45" s="204" customFormat="1" ht="82.5">
      <c r="A158" s="104" t="s">
        <v>731</v>
      </c>
      <c r="B158" s="105" t="s">
        <v>732</v>
      </c>
      <c r="C158" s="106" t="s">
        <v>635</v>
      </c>
      <c r="D158" s="106" t="s">
        <v>475</v>
      </c>
      <c r="E158" s="109"/>
      <c r="F158" s="107">
        <f>F159+F160</f>
        <v>85374366.188316002</v>
      </c>
      <c r="G158" s="107"/>
      <c r="H158" s="107">
        <f>H159+H160</f>
        <v>85374366.188316002</v>
      </c>
      <c r="I158" s="107"/>
      <c r="J158" s="107">
        <f>J159+J160</f>
        <v>85374366.188316002</v>
      </c>
      <c r="K158" s="107" t="s">
        <v>469</v>
      </c>
      <c r="L158" s="107">
        <v>0</v>
      </c>
      <c r="M158" s="107">
        <v>0</v>
      </c>
      <c r="N158" s="86">
        <f t="shared" si="53"/>
        <v>85374366.188316002</v>
      </c>
      <c r="O158" s="207">
        <f>O159+O160</f>
        <v>62332373.289999999</v>
      </c>
      <c r="P158" s="137">
        <f>P159+P160</f>
        <v>85290764.099999994</v>
      </c>
      <c r="Q158" s="138">
        <f t="shared" si="61"/>
        <v>0.99902075889932107</v>
      </c>
      <c r="R158" s="138">
        <v>0.99956740553441359</v>
      </c>
      <c r="S158" s="138">
        <f t="shared" si="57"/>
        <v>-5.466466350925181E-4</v>
      </c>
      <c r="T158" s="138">
        <f t="shared" si="54"/>
        <v>0.99902075889932107</v>
      </c>
      <c r="U158" s="137">
        <f>U159+U160</f>
        <v>85290764.099999994</v>
      </c>
      <c r="V158" s="138">
        <f t="shared" si="62"/>
        <v>0.99902075889932107</v>
      </c>
      <c r="W158" s="186">
        <v>0.99956740553441359</v>
      </c>
      <c r="X158" s="138">
        <f t="shared" si="58"/>
        <v>-5.466466350925181E-4</v>
      </c>
      <c r="Y158" s="138">
        <f t="shared" si="55"/>
        <v>0.99902075889932107</v>
      </c>
      <c r="Z158" s="137">
        <f>Z159+Z160</f>
        <v>24744753.440000001</v>
      </c>
      <c r="AA158" s="137">
        <f>AA159+AA160</f>
        <v>0</v>
      </c>
      <c r="AB158" s="137">
        <f>AB159+AB160</f>
        <v>30493514.629999999</v>
      </c>
      <c r="AC158" s="137">
        <f>AC159+AC160</f>
        <v>4418165.9400000004</v>
      </c>
      <c r="AD158" s="137">
        <f>AD159+AD160</f>
        <v>347334.56</v>
      </c>
      <c r="AE158" s="144">
        <f t="shared" si="59"/>
        <v>54890933.509999998</v>
      </c>
      <c r="AF158" s="137">
        <f t="shared" si="60"/>
        <v>29162919.380000003</v>
      </c>
      <c r="AG158" s="279">
        <f>AG159+AG160</f>
        <v>55238268.07</v>
      </c>
      <c r="AH158" s="110">
        <f t="shared" si="64"/>
        <v>0.64701233562492544</v>
      </c>
      <c r="AI158" s="110">
        <v>0.59160118528542904</v>
      </c>
      <c r="AJ158" s="110">
        <f t="shared" si="65"/>
        <v>5.5411150339496396E-2</v>
      </c>
      <c r="AK158" s="89">
        <f t="shared" si="56"/>
        <v>0.64701233562492544</v>
      </c>
      <c r="AL158" s="107"/>
      <c r="AM158" s="112"/>
      <c r="AN158" s="112"/>
      <c r="AO158" s="112"/>
      <c r="AP158" s="107"/>
      <c r="AQ158" s="112"/>
      <c r="AR158" s="112"/>
      <c r="AS158" s="113"/>
    </row>
    <row r="159" spans="1:45" s="56" customFormat="1" ht="264">
      <c r="A159" s="114" t="s">
        <v>733</v>
      </c>
      <c r="B159" s="115" t="s">
        <v>734</v>
      </c>
      <c r="C159" s="116" t="s">
        <v>617</v>
      </c>
      <c r="D159" s="116" t="s">
        <v>475</v>
      </c>
      <c r="E159" s="122">
        <v>121476779</v>
      </c>
      <c r="F159" s="122">
        <f>E159*$E$5</f>
        <v>85374366.188316002</v>
      </c>
      <c r="G159" s="122">
        <v>121476779</v>
      </c>
      <c r="H159" s="122">
        <f>G159*$G$5</f>
        <v>85374366.188316002</v>
      </c>
      <c r="I159" s="122">
        <v>121476779</v>
      </c>
      <c r="J159" s="117">
        <f>I159*$I$5</f>
        <v>85374366.188316002</v>
      </c>
      <c r="K159" s="107" t="s">
        <v>469</v>
      </c>
      <c r="L159" s="117">
        <v>0</v>
      </c>
      <c r="M159" s="117"/>
      <c r="N159" s="118">
        <f t="shared" si="53"/>
        <v>85374366.188316002</v>
      </c>
      <c r="O159" s="205">
        <v>62332373.289999999</v>
      </c>
      <c r="P159" s="135">
        <v>85290764.099999994</v>
      </c>
      <c r="Q159" s="130">
        <f t="shared" si="61"/>
        <v>0.99902075889932107</v>
      </c>
      <c r="R159" s="131">
        <v>0.99956740553441359</v>
      </c>
      <c r="S159" s="130">
        <f t="shared" si="57"/>
        <v>-5.466466350925181E-4</v>
      </c>
      <c r="T159" s="130">
        <f t="shared" si="54"/>
        <v>0.99902075889932107</v>
      </c>
      <c r="U159" s="135">
        <v>85290764.099999994</v>
      </c>
      <c r="V159" s="130">
        <f t="shared" si="62"/>
        <v>0.99902075889932107</v>
      </c>
      <c r="W159" s="131">
        <v>0.99956740553441359</v>
      </c>
      <c r="X159" s="130">
        <f t="shared" si="58"/>
        <v>-5.466466350925181E-4</v>
      </c>
      <c r="Y159" s="130">
        <f t="shared" si="55"/>
        <v>0.99902075889932107</v>
      </c>
      <c r="Z159" s="134">
        <v>24744753.440000001</v>
      </c>
      <c r="AA159" s="134"/>
      <c r="AB159" s="134">
        <v>30493514.629999999</v>
      </c>
      <c r="AC159" s="134">
        <v>4418165.9400000004</v>
      </c>
      <c r="AD159" s="134">
        <v>347334.56</v>
      </c>
      <c r="AE159" s="134">
        <f t="shared" si="59"/>
        <v>54890933.509999998</v>
      </c>
      <c r="AF159" s="174">
        <f t="shared" si="60"/>
        <v>29162919.380000003</v>
      </c>
      <c r="AG159" s="284">
        <f>SUM(Z159:AB159)</f>
        <v>55238268.07</v>
      </c>
      <c r="AH159" s="120">
        <f t="shared" si="64"/>
        <v>0.64701233562492544</v>
      </c>
      <c r="AI159" s="120">
        <v>0.59160118528542904</v>
      </c>
      <c r="AJ159" s="120">
        <f t="shared" si="65"/>
        <v>5.5411150339496396E-2</v>
      </c>
      <c r="AK159" s="125">
        <f t="shared" si="56"/>
        <v>0.64701233562492544</v>
      </c>
      <c r="AL159" s="117"/>
      <c r="AM159" s="126"/>
      <c r="AN159" s="126"/>
      <c r="AO159" s="126"/>
      <c r="AP159" s="117"/>
      <c r="AQ159" s="126"/>
      <c r="AR159" s="126"/>
      <c r="AS159" s="127"/>
    </row>
    <row r="160" spans="1:45" s="56" customFormat="1" ht="99">
      <c r="A160" s="114" t="s">
        <v>83</v>
      </c>
      <c r="B160" s="115" t="s">
        <v>735</v>
      </c>
      <c r="C160" s="116" t="s">
        <v>635</v>
      </c>
      <c r="D160" s="116" t="s">
        <v>475</v>
      </c>
      <c r="E160" s="206">
        <v>0</v>
      </c>
      <c r="F160" s="122">
        <f>E160*$E$5</f>
        <v>0</v>
      </c>
      <c r="G160" s="122">
        <v>0</v>
      </c>
      <c r="H160" s="122">
        <f>G160*$G$5</f>
        <v>0</v>
      </c>
      <c r="I160" s="122">
        <v>0</v>
      </c>
      <c r="J160" s="117">
        <f>I160*$I$5</f>
        <v>0</v>
      </c>
      <c r="K160" s="107" t="s">
        <v>469</v>
      </c>
      <c r="L160" s="117">
        <v>0</v>
      </c>
      <c r="M160" s="117"/>
      <c r="N160" s="118">
        <f t="shared" si="53"/>
        <v>0</v>
      </c>
      <c r="O160" s="205">
        <v>0</v>
      </c>
      <c r="P160" s="135">
        <v>0</v>
      </c>
      <c r="Q160" s="130">
        <v>0</v>
      </c>
      <c r="R160" s="131">
        <v>0</v>
      </c>
      <c r="S160" s="130">
        <f t="shared" si="57"/>
        <v>0</v>
      </c>
      <c r="T160" s="130" t="e">
        <f t="shared" si="54"/>
        <v>#DIV/0!</v>
      </c>
      <c r="U160" s="135">
        <v>0</v>
      </c>
      <c r="V160" s="130">
        <v>0</v>
      </c>
      <c r="W160" s="130">
        <v>0</v>
      </c>
      <c r="X160" s="130">
        <f t="shared" si="58"/>
        <v>0</v>
      </c>
      <c r="Y160" s="130" t="e">
        <f t="shared" si="55"/>
        <v>#DIV/0!</v>
      </c>
      <c r="Z160" s="134">
        <v>0</v>
      </c>
      <c r="AA160" s="134">
        <v>0</v>
      </c>
      <c r="AB160" s="134">
        <v>0</v>
      </c>
      <c r="AC160" s="134">
        <v>0</v>
      </c>
      <c r="AD160" s="134">
        <v>0</v>
      </c>
      <c r="AE160" s="134">
        <f t="shared" si="59"/>
        <v>0</v>
      </c>
      <c r="AF160" s="174">
        <f t="shared" si="60"/>
        <v>0</v>
      </c>
      <c r="AG160" s="284">
        <f>SUM(Z160:AB160)</f>
        <v>0</v>
      </c>
      <c r="AH160" s="120">
        <v>0</v>
      </c>
      <c r="AI160" s="120">
        <v>0</v>
      </c>
      <c r="AJ160" s="120">
        <f t="shared" si="65"/>
        <v>0</v>
      </c>
      <c r="AK160" s="125" t="e">
        <f t="shared" si="56"/>
        <v>#DIV/0!</v>
      </c>
      <c r="AL160" s="117"/>
      <c r="AM160" s="126"/>
      <c r="AN160" s="126"/>
      <c r="AO160" s="126"/>
      <c r="AP160" s="117"/>
      <c r="AQ160" s="126"/>
      <c r="AR160" s="126"/>
      <c r="AS160" s="127"/>
    </row>
    <row r="161" spans="1:45" s="204" customFormat="1" ht="115.5">
      <c r="A161" s="104" t="s">
        <v>736</v>
      </c>
      <c r="B161" s="105" t="s">
        <v>737</v>
      </c>
      <c r="C161" s="106" t="s">
        <v>635</v>
      </c>
      <c r="D161" s="106" t="s">
        <v>475</v>
      </c>
      <c r="E161" s="109"/>
      <c r="F161" s="107">
        <f>F162+F163+F164</f>
        <v>28815843.207804002</v>
      </c>
      <c r="G161" s="107"/>
      <c r="H161" s="107">
        <f>H162+H163+H164</f>
        <v>28815843.207804002</v>
      </c>
      <c r="I161" s="107"/>
      <c r="J161" s="107">
        <f>J162+J163+J164</f>
        <v>28815843.207804002</v>
      </c>
      <c r="K161" s="107" t="s">
        <v>469</v>
      </c>
      <c r="L161" s="107">
        <f>L162+L163+L164</f>
        <v>0</v>
      </c>
      <c r="M161" s="107">
        <f>M162+M163+M164</f>
        <v>0</v>
      </c>
      <c r="N161" s="86">
        <f t="shared" si="53"/>
        <v>28815843.207804002</v>
      </c>
      <c r="O161" s="207">
        <f>O162+O163+O164</f>
        <v>30923832.34</v>
      </c>
      <c r="P161" s="137">
        <f>P162+P163+P164</f>
        <v>28410951.199999996</v>
      </c>
      <c r="Q161" s="138">
        <f t="shared" ref="Q161:Q171" si="71">P161/J161</f>
        <v>0.98594897935541403</v>
      </c>
      <c r="R161" s="138">
        <v>0.97536536696399734</v>
      </c>
      <c r="S161" s="138">
        <f t="shared" si="57"/>
        <v>1.0583612391416697E-2</v>
      </c>
      <c r="T161" s="138">
        <f t="shared" si="54"/>
        <v>0.98594897935541403</v>
      </c>
      <c r="U161" s="137">
        <f>U162+U163+U164</f>
        <v>28410951.199999996</v>
      </c>
      <c r="V161" s="138">
        <f t="shared" ref="V161:V171" si="72">U161/J161</f>
        <v>0.98594897935541403</v>
      </c>
      <c r="W161" s="186">
        <v>0.97536536696399734</v>
      </c>
      <c r="X161" s="138">
        <f t="shared" si="58"/>
        <v>1.0583612391416697E-2</v>
      </c>
      <c r="Y161" s="130">
        <f t="shared" si="55"/>
        <v>0.98594897935541403</v>
      </c>
      <c r="Z161" s="137">
        <f>Z162+Z163+Z164</f>
        <v>19119121.949999999</v>
      </c>
      <c r="AA161" s="137">
        <f>AA162+AA163+AA164</f>
        <v>0</v>
      </c>
      <c r="AB161" s="137">
        <f>AB162+AB163+AB164</f>
        <v>8230000.0800000001</v>
      </c>
      <c r="AC161" s="137">
        <f>AC162+AC163+AC164</f>
        <v>7446597.8100000005</v>
      </c>
      <c r="AD161" s="137">
        <f>AD162+AD163+AD164</f>
        <v>95825.15</v>
      </c>
      <c r="AE161" s="144">
        <f t="shared" si="59"/>
        <v>27253296.880000003</v>
      </c>
      <c r="AF161" s="174">
        <f t="shared" si="60"/>
        <v>26565719.759999998</v>
      </c>
      <c r="AG161" s="286">
        <f>AG162+AG163+AG164</f>
        <v>27349122.030000001</v>
      </c>
      <c r="AH161" s="110">
        <f t="shared" ref="AH161:AH171" si="73">AG161/J161</f>
        <v>0.94910018189553524</v>
      </c>
      <c r="AI161" s="110">
        <v>0.92934318683815664</v>
      </c>
      <c r="AJ161" s="110">
        <f t="shared" si="65"/>
        <v>1.9756995057378601E-2</v>
      </c>
      <c r="AK161" s="89">
        <f t="shared" si="56"/>
        <v>0.94910018189553524</v>
      </c>
      <c r="AL161" s="107"/>
      <c r="AM161" s="112"/>
      <c r="AN161" s="112"/>
      <c r="AO161" s="112"/>
      <c r="AP161" s="107"/>
      <c r="AQ161" s="112"/>
      <c r="AR161" s="112"/>
      <c r="AS161" s="113"/>
    </row>
    <row r="162" spans="1:45" s="56" customFormat="1" ht="135">
      <c r="A162" s="114" t="s">
        <v>84</v>
      </c>
      <c r="B162" s="115" t="s">
        <v>738</v>
      </c>
      <c r="C162" s="116" t="s">
        <v>617</v>
      </c>
      <c r="D162" s="116" t="s">
        <v>475</v>
      </c>
      <c r="E162" s="206">
        <v>25857951</v>
      </c>
      <c r="F162" s="206">
        <f>E162*$E$5</f>
        <v>18173071.394604001</v>
      </c>
      <c r="G162" s="122">
        <v>25857951</v>
      </c>
      <c r="H162" s="122">
        <f>G162*$G$5</f>
        <v>18173071.394604001</v>
      </c>
      <c r="I162" s="206">
        <v>25857951</v>
      </c>
      <c r="J162" s="117">
        <f>I162*$I$5</f>
        <v>18173071.394604001</v>
      </c>
      <c r="K162" s="107" t="s">
        <v>469</v>
      </c>
      <c r="L162" s="117">
        <v>0</v>
      </c>
      <c r="M162" s="117"/>
      <c r="N162" s="118">
        <f t="shared" si="53"/>
        <v>18173071.394604001</v>
      </c>
      <c r="O162" s="205">
        <v>20774151.82</v>
      </c>
      <c r="P162" s="135">
        <v>18012572.539999999</v>
      </c>
      <c r="Q162" s="130">
        <f t="shared" si="71"/>
        <v>0.99116831430862817</v>
      </c>
      <c r="R162" s="131">
        <v>0.98075720299648639</v>
      </c>
      <c r="S162" s="130">
        <f t="shared" si="57"/>
        <v>1.0411111312141785E-2</v>
      </c>
      <c r="T162" s="130">
        <f t="shared" si="54"/>
        <v>0.99116831430862817</v>
      </c>
      <c r="U162" s="135">
        <v>18012572.539999999</v>
      </c>
      <c r="V162" s="130">
        <f t="shared" si="72"/>
        <v>0.99116831430862817</v>
      </c>
      <c r="W162" s="131">
        <v>0.98075720299648639</v>
      </c>
      <c r="X162" s="130">
        <f t="shared" si="58"/>
        <v>1.0411111312141785E-2</v>
      </c>
      <c r="Y162" s="130">
        <f t="shared" si="55"/>
        <v>0.99116831430862817</v>
      </c>
      <c r="Z162" s="134">
        <v>11203777.09</v>
      </c>
      <c r="AA162" s="134"/>
      <c r="AB162" s="134">
        <v>6213005.79</v>
      </c>
      <c r="AC162" s="134">
        <v>5828344.1900000004</v>
      </c>
      <c r="AD162" s="134">
        <v>34658.69</v>
      </c>
      <c r="AE162" s="134">
        <f t="shared" si="59"/>
        <v>17382124.189999998</v>
      </c>
      <c r="AF162" s="174">
        <f t="shared" si="60"/>
        <v>17032121.280000001</v>
      </c>
      <c r="AG162" s="284">
        <f>SUM(Z162:AB162)</f>
        <v>17416782.879999999</v>
      </c>
      <c r="AH162" s="120">
        <f t="shared" si="73"/>
        <v>0.95838411140405455</v>
      </c>
      <c r="AI162" s="120">
        <v>0.94831736136818845</v>
      </c>
      <c r="AJ162" s="120">
        <f>AH162-AI162</f>
        <v>1.0066750035866101E-2</v>
      </c>
      <c r="AK162" s="125">
        <f t="shared" si="56"/>
        <v>0.95838411140405455</v>
      </c>
      <c r="AL162" s="117"/>
      <c r="AM162" s="126"/>
      <c r="AN162" s="126"/>
      <c r="AO162" s="126"/>
      <c r="AP162" s="117"/>
      <c r="AQ162" s="126"/>
      <c r="AR162" s="126"/>
      <c r="AS162" s="127"/>
    </row>
    <row r="163" spans="1:45" s="56" customFormat="1" ht="82.5">
      <c r="A163" s="114" t="s">
        <v>85</v>
      </c>
      <c r="B163" s="115" t="s">
        <v>739</v>
      </c>
      <c r="C163" s="116" t="s">
        <v>617</v>
      </c>
      <c r="D163" s="116" t="s">
        <v>475</v>
      </c>
      <c r="E163" s="206">
        <v>3168083</v>
      </c>
      <c r="F163" s="206">
        <f>E163*$E$5</f>
        <v>2226541.4047320001</v>
      </c>
      <c r="G163" s="206">
        <v>3168083</v>
      </c>
      <c r="H163" s="122">
        <f>G163*$G$5</f>
        <v>2226541.4047320001</v>
      </c>
      <c r="I163" s="206">
        <v>3168083</v>
      </c>
      <c r="J163" s="117">
        <f>I163*$I$5</f>
        <v>2226541.4047320001</v>
      </c>
      <c r="K163" s="107" t="s">
        <v>469</v>
      </c>
      <c r="L163" s="117">
        <v>0</v>
      </c>
      <c r="M163" s="117"/>
      <c r="N163" s="118">
        <f t="shared" si="53"/>
        <v>2226541.4047320001</v>
      </c>
      <c r="O163" s="205">
        <v>1960262.6800000002</v>
      </c>
      <c r="P163" s="135">
        <v>2223701.5099999998</v>
      </c>
      <c r="Q163" s="130">
        <f t="shared" si="71"/>
        <v>0.99872452642202625</v>
      </c>
      <c r="R163" s="131">
        <v>0.99872452642202625</v>
      </c>
      <c r="S163" s="130">
        <f t="shared" si="57"/>
        <v>0</v>
      </c>
      <c r="T163" s="130">
        <f t="shared" si="54"/>
        <v>0.99872452642202625</v>
      </c>
      <c r="U163" s="135">
        <v>2223701.5099999998</v>
      </c>
      <c r="V163" s="130">
        <f t="shared" si="72"/>
        <v>0.99872452642202625</v>
      </c>
      <c r="W163" s="130">
        <v>0.99872452642202625</v>
      </c>
      <c r="X163" s="130">
        <f t="shared" si="58"/>
        <v>0</v>
      </c>
      <c r="Y163" s="130">
        <f t="shared" si="55"/>
        <v>0.99872452642202625</v>
      </c>
      <c r="Z163" s="134">
        <v>1419759.44</v>
      </c>
      <c r="AA163" s="134"/>
      <c r="AB163" s="134">
        <v>578549.68000000005</v>
      </c>
      <c r="AC163" s="134">
        <v>270388.64</v>
      </c>
      <c r="AD163" s="134">
        <v>0</v>
      </c>
      <c r="AE163" s="134">
        <f t="shared" si="59"/>
        <v>1998309.12</v>
      </c>
      <c r="AF163" s="174">
        <f t="shared" si="60"/>
        <v>1690148.08</v>
      </c>
      <c r="AG163" s="284">
        <f>SUM(Z163:AB163)</f>
        <v>1998309.12</v>
      </c>
      <c r="AH163" s="120">
        <f t="shared" si="73"/>
        <v>0.89749470445645207</v>
      </c>
      <c r="AI163" s="120">
        <v>0.81525414984074285</v>
      </c>
      <c r="AJ163" s="120">
        <f t="shared" si="65"/>
        <v>8.2240554615709227E-2</v>
      </c>
      <c r="AK163" s="125">
        <f t="shared" si="56"/>
        <v>0.89749470445645207</v>
      </c>
      <c r="AL163" s="117"/>
      <c r="AM163" s="126"/>
      <c r="AN163" s="126"/>
      <c r="AO163" s="126"/>
      <c r="AP163" s="117"/>
      <c r="AQ163" s="126"/>
      <c r="AR163" s="126"/>
      <c r="AS163" s="127"/>
    </row>
    <row r="164" spans="1:45" s="204" customFormat="1" ht="148.5">
      <c r="A164" s="139" t="s">
        <v>740</v>
      </c>
      <c r="B164" s="140" t="s">
        <v>741</v>
      </c>
      <c r="C164" s="141" t="s">
        <v>617</v>
      </c>
      <c r="D164" s="141" t="s">
        <v>475</v>
      </c>
      <c r="E164" s="145"/>
      <c r="F164" s="206">
        <f>F165+F166</f>
        <v>8416230.4084680006</v>
      </c>
      <c r="G164" s="117"/>
      <c r="H164" s="117">
        <f>H165+H166</f>
        <v>8416230.4084680006</v>
      </c>
      <c r="I164" s="117"/>
      <c r="J164" s="117">
        <f>J165+J166</f>
        <v>8416230.4084680006</v>
      </c>
      <c r="K164" s="107" t="s">
        <v>469</v>
      </c>
      <c r="L164" s="117">
        <v>0</v>
      </c>
      <c r="M164" s="117">
        <v>0</v>
      </c>
      <c r="N164" s="118">
        <f t="shared" si="53"/>
        <v>8416230.4084680006</v>
      </c>
      <c r="O164" s="208">
        <f>O165+O166</f>
        <v>8189417.8399999999</v>
      </c>
      <c r="P164" s="143">
        <v>8174677.1500000004</v>
      </c>
      <c r="Q164" s="130">
        <f t="shared" si="71"/>
        <v>0.97129911531117763</v>
      </c>
      <c r="R164" s="130">
        <v>0.95779731512041499</v>
      </c>
      <c r="S164" s="130">
        <f t="shared" si="57"/>
        <v>1.3501800190762636E-2</v>
      </c>
      <c r="T164" s="130">
        <f t="shared" si="54"/>
        <v>0.97129911531117763</v>
      </c>
      <c r="U164" s="144">
        <v>8174677.1500000004</v>
      </c>
      <c r="V164" s="130">
        <f t="shared" si="72"/>
        <v>0.97129911531117763</v>
      </c>
      <c r="W164" s="131">
        <v>0.95779731512041499</v>
      </c>
      <c r="X164" s="130">
        <f t="shared" si="58"/>
        <v>1.3501800190762636E-2</v>
      </c>
      <c r="Y164" s="130">
        <f t="shared" si="55"/>
        <v>0.97129911531117763</v>
      </c>
      <c r="Z164" s="144">
        <f>Z165+Z166</f>
        <v>6495585.4199999999</v>
      </c>
      <c r="AA164" s="134">
        <f>AA165+AA166</f>
        <v>0</v>
      </c>
      <c r="AB164" s="144">
        <f>AB165+AB166</f>
        <v>1438444.6099999999</v>
      </c>
      <c r="AC164" s="144">
        <f>AC165+AC166</f>
        <v>1347864.9800000009</v>
      </c>
      <c r="AD164" s="144">
        <f>AD165+AD166</f>
        <v>61166.459999999992</v>
      </c>
      <c r="AE164" s="144">
        <f t="shared" si="59"/>
        <v>7872863.5699999994</v>
      </c>
      <c r="AF164" s="174">
        <f t="shared" si="60"/>
        <v>7843450.4000000004</v>
      </c>
      <c r="AG164" s="284">
        <f>SUM(Z164:AB164)</f>
        <v>7934030.0299999993</v>
      </c>
      <c r="AH164" s="120">
        <f t="shared" si="73"/>
        <v>0.94270589621894918</v>
      </c>
      <c r="AI164" s="120">
        <v>0.91835645165649271</v>
      </c>
      <c r="AJ164" s="120">
        <f t="shared" si="65"/>
        <v>2.4349444562456468E-2</v>
      </c>
      <c r="AK164" s="125">
        <f t="shared" si="56"/>
        <v>0.94270589621894918</v>
      </c>
      <c r="AL164" s="117"/>
      <c r="AM164" s="126"/>
      <c r="AN164" s="126"/>
      <c r="AO164" s="126"/>
      <c r="AP164" s="117"/>
      <c r="AQ164" s="126"/>
      <c r="AR164" s="126"/>
      <c r="AS164" s="127"/>
    </row>
    <row r="165" spans="1:45" s="56" customFormat="1" ht="99">
      <c r="A165" s="114" t="s">
        <v>742</v>
      </c>
      <c r="B165" s="115" t="s">
        <v>743</v>
      </c>
      <c r="C165" s="116" t="s">
        <v>617</v>
      </c>
      <c r="D165" s="116" t="s">
        <v>475</v>
      </c>
      <c r="E165" s="206">
        <v>8133181</v>
      </c>
      <c r="F165" s="206">
        <f>E165*$E$5</f>
        <v>5716032.1395239998</v>
      </c>
      <c r="G165" s="122">
        <v>8133181</v>
      </c>
      <c r="H165" s="122">
        <f>G165*$G$5</f>
        <v>5716032.1395239998</v>
      </c>
      <c r="I165" s="206">
        <v>8133181</v>
      </c>
      <c r="J165" s="117">
        <f>I165*$I$5</f>
        <v>5716032.1395239998</v>
      </c>
      <c r="K165" s="107" t="s">
        <v>469</v>
      </c>
      <c r="L165" s="117">
        <v>0</v>
      </c>
      <c r="M165" s="117"/>
      <c r="N165" s="118">
        <f t="shared" si="53"/>
        <v>5716032.1395239998</v>
      </c>
      <c r="O165" s="205">
        <v>5410604.5700000003</v>
      </c>
      <c r="P165" s="135">
        <v>5574850.0700000003</v>
      </c>
      <c r="Q165" s="130">
        <f t="shared" si="71"/>
        <v>0.97530068654656721</v>
      </c>
      <c r="R165" s="131">
        <v>0.97495252175748726</v>
      </c>
      <c r="S165" s="130">
        <f t="shared" si="57"/>
        <v>3.4816478907995219E-4</v>
      </c>
      <c r="T165" s="130">
        <f t="shared" si="54"/>
        <v>0.97530068654656721</v>
      </c>
      <c r="U165" s="135">
        <v>5574850.0700000003</v>
      </c>
      <c r="V165" s="130">
        <f t="shared" si="72"/>
        <v>0.97530068654656721</v>
      </c>
      <c r="W165" s="131">
        <v>0.97495252175748726</v>
      </c>
      <c r="X165" s="130">
        <f t="shared" si="58"/>
        <v>3.4816478907995219E-4</v>
      </c>
      <c r="Y165" s="130">
        <f t="shared" si="55"/>
        <v>0.97530068654656721</v>
      </c>
      <c r="Z165" s="134">
        <v>4288622.43</v>
      </c>
      <c r="AA165" s="134"/>
      <c r="AB165" s="134">
        <v>1013764.6</v>
      </c>
      <c r="AC165" s="134">
        <v>956496.92</v>
      </c>
      <c r="AD165" s="134">
        <v>27854.51</v>
      </c>
      <c r="AE165" s="134">
        <f t="shared" si="59"/>
        <v>5274532.5199999996</v>
      </c>
      <c r="AF165" s="174">
        <f t="shared" si="60"/>
        <v>5245119.3499999996</v>
      </c>
      <c r="AG165" s="284">
        <f>SUM(Z165:AB165)</f>
        <v>5302387.0299999993</v>
      </c>
      <c r="AH165" s="120">
        <f t="shared" si="73"/>
        <v>0.92763422258181238</v>
      </c>
      <c r="AI165" s="120">
        <v>0.91077589691859973</v>
      </c>
      <c r="AJ165" s="120">
        <f t="shared" si="65"/>
        <v>1.6858325663212659E-2</v>
      </c>
      <c r="AK165" s="125">
        <f t="shared" si="56"/>
        <v>0.92763422258181238</v>
      </c>
      <c r="AL165" s="117"/>
      <c r="AM165" s="126"/>
      <c r="AN165" s="126"/>
      <c r="AO165" s="126"/>
      <c r="AP165" s="117"/>
      <c r="AQ165" s="126"/>
      <c r="AR165" s="126"/>
      <c r="AS165" s="127"/>
    </row>
    <row r="166" spans="1:45" s="56" customFormat="1" ht="148.5">
      <c r="A166" s="114" t="s">
        <v>87</v>
      </c>
      <c r="B166" s="115" t="s">
        <v>744</v>
      </c>
      <c r="C166" s="116" t="s">
        <v>617</v>
      </c>
      <c r="D166" s="116" t="s">
        <v>475</v>
      </c>
      <c r="E166" s="206">
        <v>3842036</v>
      </c>
      <c r="F166" s="206">
        <f>E166*$E$5</f>
        <v>2700198.2689439999</v>
      </c>
      <c r="G166" s="206">
        <v>3842036</v>
      </c>
      <c r="H166" s="122">
        <f>G166*$G$5</f>
        <v>2700198.2689439999</v>
      </c>
      <c r="I166" s="206">
        <v>3842036</v>
      </c>
      <c r="J166" s="117">
        <f>I166*$I$5</f>
        <v>2700198.2689439999</v>
      </c>
      <c r="K166" s="107" t="s">
        <v>469</v>
      </c>
      <c r="L166" s="117">
        <v>0</v>
      </c>
      <c r="M166" s="117"/>
      <c r="N166" s="118">
        <f t="shared" si="53"/>
        <v>2700198.2689439999</v>
      </c>
      <c r="O166" s="205">
        <v>2778813.27</v>
      </c>
      <c r="P166" s="135">
        <v>2599827.08</v>
      </c>
      <c r="Q166" s="130">
        <f t="shared" si="71"/>
        <v>0.9628282152098212</v>
      </c>
      <c r="R166" s="131">
        <v>0.9226130375856666</v>
      </c>
      <c r="S166" s="130">
        <f t="shared" si="57"/>
        <v>4.0215177624154608E-2</v>
      </c>
      <c r="T166" s="130">
        <f t="shared" si="54"/>
        <v>0.9628282152098212</v>
      </c>
      <c r="U166" s="135">
        <v>2599827.08</v>
      </c>
      <c r="V166" s="130">
        <f t="shared" si="72"/>
        <v>0.9628282152098212</v>
      </c>
      <c r="W166" s="130">
        <v>0.9226130375856666</v>
      </c>
      <c r="X166" s="130">
        <f t="shared" si="58"/>
        <v>4.0215177624154608E-2</v>
      </c>
      <c r="Y166" s="130">
        <f t="shared" si="55"/>
        <v>0.9628282152098212</v>
      </c>
      <c r="Z166" s="134">
        <v>2206962.9900000002</v>
      </c>
      <c r="AA166" s="134"/>
      <c r="AB166" s="134">
        <v>424680.01</v>
      </c>
      <c r="AC166" s="134">
        <v>391368.06000000099</v>
      </c>
      <c r="AD166" s="134">
        <v>33311.949999999997</v>
      </c>
      <c r="AE166" s="134">
        <f t="shared" si="59"/>
        <v>2598331.0499999998</v>
      </c>
      <c r="AF166" s="174">
        <f t="shared" si="60"/>
        <v>2598331.0500000012</v>
      </c>
      <c r="AG166" s="284">
        <f>SUM(Z166:AB166)</f>
        <v>2631643</v>
      </c>
      <c r="AH166" s="120">
        <f t="shared" si="73"/>
        <v>0.97461102403757538</v>
      </c>
      <c r="AI166" s="120">
        <v>0.93390370488450192</v>
      </c>
      <c r="AJ166" s="120">
        <f t="shared" si="65"/>
        <v>4.0707319153073462E-2</v>
      </c>
      <c r="AK166" s="125">
        <f t="shared" si="56"/>
        <v>0.97461102403757538</v>
      </c>
      <c r="AL166" s="117"/>
      <c r="AM166" s="126"/>
      <c r="AN166" s="126"/>
      <c r="AO166" s="126"/>
      <c r="AP166" s="117"/>
      <c r="AQ166" s="126"/>
      <c r="AR166" s="126"/>
      <c r="AS166" s="127"/>
    </row>
    <row r="167" spans="1:45" s="204" customFormat="1" ht="82.5">
      <c r="A167" s="104" t="s">
        <v>745</v>
      </c>
      <c r="B167" s="105" t="s">
        <v>746</v>
      </c>
      <c r="C167" s="106" t="s">
        <v>635</v>
      </c>
      <c r="D167" s="106" t="s">
        <v>468</v>
      </c>
      <c r="E167" s="109"/>
      <c r="F167" s="107">
        <f>F168+F174+F175+F176</f>
        <v>33116083.014564</v>
      </c>
      <c r="G167" s="107"/>
      <c r="H167" s="107">
        <f>H168+H174+H175+H176</f>
        <v>33116083.014564</v>
      </c>
      <c r="I167" s="107"/>
      <c r="J167" s="107">
        <f>J168+J174+J175+J176</f>
        <v>33116083.014564</v>
      </c>
      <c r="K167" s="107" t="s">
        <v>469</v>
      </c>
      <c r="L167" s="107">
        <f>L168+L174+L175+L176</f>
        <v>11220767</v>
      </c>
      <c r="M167" s="107">
        <f>M168+M174+M175+M176</f>
        <v>11220767</v>
      </c>
      <c r="N167" s="86">
        <f t="shared" si="53"/>
        <v>44336850.014564</v>
      </c>
      <c r="O167" s="207">
        <f>O168+O174+O175+O176</f>
        <v>36016604.509999998</v>
      </c>
      <c r="P167" s="137">
        <f>P168+P174+P175+P176</f>
        <v>32895469.700000003</v>
      </c>
      <c r="Q167" s="138">
        <f t="shared" si="71"/>
        <v>0.99333818210121727</v>
      </c>
      <c r="R167" s="138">
        <v>0.99343043032992995</v>
      </c>
      <c r="S167" s="138">
        <f t="shared" si="57"/>
        <v>-9.2248228712676905E-5</v>
      </c>
      <c r="T167" s="138">
        <f t="shared" si="54"/>
        <v>0.74194422222585332</v>
      </c>
      <c r="U167" s="137">
        <f>U168+U174+U175+U176</f>
        <v>32895469.700000003</v>
      </c>
      <c r="V167" s="138">
        <f t="shared" si="72"/>
        <v>0.99333818210121727</v>
      </c>
      <c r="W167" s="186">
        <v>0.99343043032992995</v>
      </c>
      <c r="X167" s="138">
        <f t="shared" si="58"/>
        <v>-9.2248228712676905E-5</v>
      </c>
      <c r="Y167" s="138">
        <f t="shared" si="55"/>
        <v>0.74194422222585332</v>
      </c>
      <c r="Z167" s="137">
        <f>Z168+Z175+Z176+Z174</f>
        <v>26403685.639999997</v>
      </c>
      <c r="AA167" s="137">
        <f>AA168+AA175+AA176+AA174</f>
        <v>0</v>
      </c>
      <c r="AB167" s="137">
        <f>AB168+AB175+AB176+AB174</f>
        <v>4506895.12</v>
      </c>
      <c r="AC167" s="137">
        <f>AC168+AC174+AC175+AC176</f>
        <v>3966971.9099999801</v>
      </c>
      <c r="AD167" s="137">
        <f>AD168+AD174+AD175+AD176</f>
        <v>503147.26</v>
      </c>
      <c r="AE167" s="144">
        <f t="shared" si="59"/>
        <v>30407433.5</v>
      </c>
      <c r="AF167" s="137">
        <f t="shared" si="60"/>
        <v>30370657.549999978</v>
      </c>
      <c r="AG167" s="279">
        <f>AG168+AG174+AG175+AG176</f>
        <v>30910580.760000002</v>
      </c>
      <c r="AH167" s="110">
        <f t="shared" si="73"/>
        <v>0.93340087190885324</v>
      </c>
      <c r="AI167" s="110">
        <v>0.92427613514976514</v>
      </c>
      <c r="AJ167" s="110">
        <f t="shared" si="65"/>
        <v>9.1247367590880923E-3</v>
      </c>
      <c r="AK167" s="89">
        <f t="shared" si="56"/>
        <v>0.69717584243910724</v>
      </c>
      <c r="AL167" s="117"/>
      <c r="AM167" s="126"/>
      <c r="AN167" s="126"/>
      <c r="AO167" s="126"/>
      <c r="AP167" s="117"/>
      <c r="AQ167" s="126"/>
      <c r="AR167" s="126"/>
      <c r="AS167" s="127"/>
    </row>
    <row r="168" spans="1:45" s="204" customFormat="1" ht="132">
      <c r="A168" s="139" t="s">
        <v>747</v>
      </c>
      <c r="B168" s="140" t="s">
        <v>748</v>
      </c>
      <c r="C168" s="141" t="s">
        <v>617</v>
      </c>
      <c r="D168" s="141" t="s">
        <v>512</v>
      </c>
      <c r="E168" s="145"/>
      <c r="F168" s="117">
        <f>F169+F170+F171+F172+F173</f>
        <v>8144475.7801799998</v>
      </c>
      <c r="G168" s="117"/>
      <c r="H168" s="117">
        <f>H169+H170+H171+H172+H173</f>
        <v>8144475.7801799998</v>
      </c>
      <c r="I168" s="117"/>
      <c r="J168" s="117">
        <f>J169+J170+J171+J172+J173</f>
        <v>8144475.7801799998</v>
      </c>
      <c r="K168" s="107" t="s">
        <v>469</v>
      </c>
      <c r="L168" s="117">
        <f>L169+L170+L171+L172+L173</f>
        <v>0</v>
      </c>
      <c r="M168" s="117">
        <f>M169+M170+M171+M172+M173</f>
        <v>0</v>
      </c>
      <c r="N168" s="118">
        <f t="shared" si="53"/>
        <v>8144475.7801799998</v>
      </c>
      <c r="O168" s="208">
        <f>O169+O170+O171+O172+O173</f>
        <v>9682197.8300000001</v>
      </c>
      <c r="P168" s="143">
        <f>P169+P170+P171+P172+P173</f>
        <v>8140147.2800000003</v>
      </c>
      <c r="Q168" s="130">
        <f t="shared" si="71"/>
        <v>0.99946853544699177</v>
      </c>
      <c r="R168" s="130">
        <v>0.99984362404476668</v>
      </c>
      <c r="S168" s="130">
        <f t="shared" si="57"/>
        <v>-3.7508859777490855E-4</v>
      </c>
      <c r="T168" s="130">
        <f t="shared" si="54"/>
        <v>0.99946853544699177</v>
      </c>
      <c r="U168" s="144">
        <f>U169+U170+U171+U172+U173</f>
        <v>8140147.2800000003</v>
      </c>
      <c r="V168" s="130">
        <f t="shared" si="72"/>
        <v>0.99946853544699177</v>
      </c>
      <c r="W168" s="131">
        <v>0.99984362404476668</v>
      </c>
      <c r="X168" s="130">
        <f t="shared" si="58"/>
        <v>-3.7508859777490855E-4</v>
      </c>
      <c r="Y168" s="130">
        <f t="shared" si="55"/>
        <v>0.99946853544699177</v>
      </c>
      <c r="Z168" s="144">
        <f>Z169+Z170+Z171+Z172+Z173</f>
        <v>6435938.5800000001</v>
      </c>
      <c r="AA168" s="144">
        <f>AA169+AA170+AA171+AA174</f>
        <v>0</v>
      </c>
      <c r="AB168" s="144">
        <f>AB169+AB170+AB171+AB174</f>
        <v>103842.97</v>
      </c>
      <c r="AC168" s="144">
        <f>AC169+AC170+AC171+AC172+AC173</f>
        <v>103842.97</v>
      </c>
      <c r="AD168" s="144">
        <f>AD169+AD170+AD171+AD172+AD173</f>
        <v>0</v>
      </c>
      <c r="AE168" s="144">
        <f t="shared" si="59"/>
        <v>6539781.5499999998</v>
      </c>
      <c r="AF168" s="174">
        <f t="shared" si="60"/>
        <v>6539781.5499999998</v>
      </c>
      <c r="AG168" s="284">
        <f t="shared" ref="AG168:AG176" si="74">SUM(Z168:AB168)</f>
        <v>6539781.5499999998</v>
      </c>
      <c r="AH168" s="120">
        <f t="shared" si="73"/>
        <v>0.80297145286071014</v>
      </c>
      <c r="AI168" s="120">
        <v>0.77456342928194932</v>
      </c>
      <c r="AJ168" s="120">
        <f t="shared" si="65"/>
        <v>2.8408023578760822E-2</v>
      </c>
      <c r="AK168" s="125">
        <f t="shared" si="56"/>
        <v>0.80297145286071014</v>
      </c>
      <c r="AL168" s="117"/>
      <c r="AM168" s="126"/>
      <c r="AN168" s="126"/>
      <c r="AO168" s="126"/>
      <c r="AP168" s="117"/>
      <c r="AQ168" s="126"/>
      <c r="AR168" s="126"/>
      <c r="AS168" s="127"/>
    </row>
    <row r="169" spans="1:45" s="56" customFormat="1" ht="165">
      <c r="A169" s="114" t="s">
        <v>117</v>
      </c>
      <c r="B169" s="115" t="s">
        <v>749</v>
      </c>
      <c r="C169" s="116" t="s">
        <v>617</v>
      </c>
      <c r="D169" s="116" t="s">
        <v>512</v>
      </c>
      <c r="E169" s="206">
        <v>636408</v>
      </c>
      <c r="F169" s="117">
        <f t="shared" ref="F169:F176" si="75">E169*$E$5</f>
        <v>447270.088032</v>
      </c>
      <c r="G169" s="122">
        <v>636408</v>
      </c>
      <c r="H169" s="122">
        <f t="shared" ref="H169:H176" si="76">G169*$G$5</f>
        <v>447270.088032</v>
      </c>
      <c r="I169" s="122">
        <v>636408</v>
      </c>
      <c r="J169" s="117">
        <f t="shared" ref="J169:J176" si="77">I169*$I$5</f>
        <v>447270.088032</v>
      </c>
      <c r="K169" s="107" t="s">
        <v>469</v>
      </c>
      <c r="L169" s="117">
        <v>0</v>
      </c>
      <c r="M169" s="117"/>
      <c r="N169" s="118">
        <f t="shared" si="53"/>
        <v>447270.088032</v>
      </c>
      <c r="O169" s="205">
        <v>526200.32999999996</v>
      </c>
      <c r="P169" s="135">
        <v>447270</v>
      </c>
      <c r="Q169" s="130">
        <f t="shared" si="71"/>
        <v>0.99999980317932646</v>
      </c>
      <c r="R169" s="131">
        <v>0.99999980317932646</v>
      </c>
      <c r="S169" s="130">
        <f t="shared" si="57"/>
        <v>0</v>
      </c>
      <c r="T169" s="130">
        <f t="shared" si="54"/>
        <v>0.99999980317932646</v>
      </c>
      <c r="U169" s="135">
        <v>447270</v>
      </c>
      <c r="V169" s="130">
        <f t="shared" si="72"/>
        <v>0.99999980317932646</v>
      </c>
      <c r="W169" s="130">
        <v>0.99999980317932646</v>
      </c>
      <c r="X169" s="130">
        <f t="shared" si="58"/>
        <v>0</v>
      </c>
      <c r="Y169" s="130">
        <f t="shared" si="55"/>
        <v>0.99999980317932646</v>
      </c>
      <c r="Z169" s="134">
        <v>377198.59</v>
      </c>
      <c r="AA169" s="134"/>
      <c r="AB169" s="134"/>
      <c r="AC169" s="134">
        <v>0</v>
      </c>
      <c r="AD169" s="134">
        <v>0</v>
      </c>
      <c r="AE169" s="134">
        <f t="shared" si="59"/>
        <v>377198.59</v>
      </c>
      <c r="AF169" s="174">
        <f t="shared" si="60"/>
        <v>377198.59</v>
      </c>
      <c r="AG169" s="284">
        <f t="shared" si="74"/>
        <v>377198.59</v>
      </c>
      <c r="AH169" s="120">
        <f t="shared" si="73"/>
        <v>0.84333515719703867</v>
      </c>
      <c r="AI169" s="120">
        <v>0.78427417657964027</v>
      </c>
      <c r="AJ169" s="120">
        <f t="shared" si="65"/>
        <v>5.9060980617398395E-2</v>
      </c>
      <c r="AK169" s="125">
        <f t="shared" si="56"/>
        <v>0.84333515719703867</v>
      </c>
      <c r="AL169" s="117"/>
      <c r="AM169" s="126"/>
      <c r="AN169" s="126"/>
      <c r="AO169" s="126"/>
      <c r="AP169" s="117"/>
      <c r="AQ169" s="126"/>
      <c r="AR169" s="126"/>
      <c r="AS169" s="127"/>
    </row>
    <row r="170" spans="1:45" s="56" customFormat="1" ht="115.5">
      <c r="A170" s="114" t="s">
        <v>118</v>
      </c>
      <c r="B170" s="115" t="s">
        <v>750</v>
      </c>
      <c r="C170" s="116" t="s">
        <v>635</v>
      </c>
      <c r="D170" s="116" t="s">
        <v>512</v>
      </c>
      <c r="E170" s="206">
        <v>3054313</v>
      </c>
      <c r="F170" s="117">
        <f t="shared" si="75"/>
        <v>2146583.393652</v>
      </c>
      <c r="G170" s="122">
        <v>3054313</v>
      </c>
      <c r="H170" s="122">
        <f t="shared" si="76"/>
        <v>2146583.393652</v>
      </c>
      <c r="I170" s="122">
        <v>3054313</v>
      </c>
      <c r="J170" s="117">
        <f t="shared" si="77"/>
        <v>2146583.393652</v>
      </c>
      <c r="K170" s="107" t="s">
        <v>469</v>
      </c>
      <c r="L170" s="117">
        <v>0</v>
      </c>
      <c r="M170" s="117"/>
      <c r="N170" s="118">
        <f t="shared" si="53"/>
        <v>2146583.393652</v>
      </c>
      <c r="O170" s="205">
        <v>2627347.77</v>
      </c>
      <c r="P170" s="135">
        <v>2146582.14</v>
      </c>
      <c r="Q170" s="130">
        <f t="shared" si="71"/>
        <v>0.99999941597796593</v>
      </c>
      <c r="R170" s="131">
        <v>0.99999941597796593</v>
      </c>
      <c r="S170" s="130">
        <f t="shared" si="57"/>
        <v>0</v>
      </c>
      <c r="T170" s="130">
        <f t="shared" si="54"/>
        <v>0.99999941597796593</v>
      </c>
      <c r="U170" s="135">
        <v>2146582.14</v>
      </c>
      <c r="V170" s="130">
        <f t="shared" si="72"/>
        <v>0.99999941597796593</v>
      </c>
      <c r="W170" s="130">
        <v>0.99999941597796593</v>
      </c>
      <c r="X170" s="130">
        <f t="shared" si="58"/>
        <v>0</v>
      </c>
      <c r="Y170" s="130">
        <f t="shared" si="55"/>
        <v>0.99999941597796593</v>
      </c>
      <c r="Z170" s="134">
        <v>2146582.14</v>
      </c>
      <c r="AA170" s="134"/>
      <c r="AB170" s="134"/>
      <c r="AC170" s="134">
        <v>0</v>
      </c>
      <c r="AD170" s="134">
        <v>0</v>
      </c>
      <c r="AE170" s="134">
        <f t="shared" si="59"/>
        <v>2146582.14</v>
      </c>
      <c r="AF170" s="174">
        <f t="shared" si="60"/>
        <v>2146582.14</v>
      </c>
      <c r="AG170" s="284">
        <f t="shared" si="74"/>
        <v>2146582.14</v>
      </c>
      <c r="AH170" s="120">
        <f t="shared" si="73"/>
        <v>0.99999941597796593</v>
      </c>
      <c r="AI170" s="120">
        <v>0.99999941597796593</v>
      </c>
      <c r="AJ170" s="120">
        <f t="shared" si="65"/>
        <v>0</v>
      </c>
      <c r="AK170" s="125">
        <f t="shared" si="56"/>
        <v>0.99999941597796593</v>
      </c>
      <c r="AL170" s="117"/>
      <c r="AM170" s="126"/>
      <c r="AN170" s="126"/>
      <c r="AO170" s="126"/>
      <c r="AP170" s="117"/>
      <c r="AQ170" s="126"/>
      <c r="AR170" s="126"/>
      <c r="AS170" s="127"/>
    </row>
    <row r="171" spans="1:45" s="56" customFormat="1" ht="165">
      <c r="A171" s="114" t="s">
        <v>119</v>
      </c>
      <c r="B171" s="115" t="s">
        <v>751</v>
      </c>
      <c r="C171" s="116" t="s">
        <v>617</v>
      </c>
      <c r="D171" s="116" t="s">
        <v>512</v>
      </c>
      <c r="E171" s="206">
        <v>738777</v>
      </c>
      <c r="F171" s="117">
        <f t="shared" si="75"/>
        <v>519215.43070799997</v>
      </c>
      <c r="G171" s="122">
        <v>738777</v>
      </c>
      <c r="H171" s="122">
        <f t="shared" si="76"/>
        <v>519215.43070799997</v>
      </c>
      <c r="I171" s="122">
        <v>738777</v>
      </c>
      <c r="J171" s="117">
        <f t="shared" si="77"/>
        <v>519215.43070799997</v>
      </c>
      <c r="K171" s="107" t="s">
        <v>469</v>
      </c>
      <c r="L171" s="117">
        <v>0</v>
      </c>
      <c r="M171" s="117"/>
      <c r="N171" s="118">
        <f t="shared" si="53"/>
        <v>519215.43070799997</v>
      </c>
      <c r="O171" s="205">
        <v>610840</v>
      </c>
      <c r="P171" s="135">
        <v>519210.9</v>
      </c>
      <c r="Q171" s="130">
        <f t="shared" si="71"/>
        <v>0.9999912739342246</v>
      </c>
      <c r="R171" s="131">
        <v>0.9999912739342246</v>
      </c>
      <c r="S171" s="130">
        <f t="shared" si="57"/>
        <v>0</v>
      </c>
      <c r="T171" s="130">
        <f t="shared" si="54"/>
        <v>0.9999912739342246</v>
      </c>
      <c r="U171" s="135">
        <v>519210.9</v>
      </c>
      <c r="V171" s="130">
        <f t="shared" si="72"/>
        <v>0.9999912739342246</v>
      </c>
      <c r="W171" s="131">
        <v>0.9999912739342246</v>
      </c>
      <c r="X171" s="130">
        <f t="shared" si="58"/>
        <v>0</v>
      </c>
      <c r="Y171" s="130">
        <f t="shared" si="55"/>
        <v>0.9999912739342246</v>
      </c>
      <c r="Z171" s="134">
        <v>415367.93</v>
      </c>
      <c r="AA171" s="134"/>
      <c r="AB171" s="134">
        <v>103842.97</v>
      </c>
      <c r="AC171" s="134">
        <v>103842.97</v>
      </c>
      <c r="AD171" s="134">
        <v>0</v>
      </c>
      <c r="AE171" s="134">
        <f t="shared" si="59"/>
        <v>519210.9</v>
      </c>
      <c r="AF171" s="174">
        <f t="shared" si="60"/>
        <v>519210.9</v>
      </c>
      <c r="AG171" s="284">
        <f t="shared" si="74"/>
        <v>519210.9</v>
      </c>
      <c r="AH171" s="120">
        <f t="shared" si="73"/>
        <v>0.9999912739342246</v>
      </c>
      <c r="AI171" s="120">
        <v>0.9999912739342246</v>
      </c>
      <c r="AJ171" s="120">
        <f>AH171-AI171</f>
        <v>0</v>
      </c>
      <c r="AK171" s="125">
        <f t="shared" si="56"/>
        <v>0.9999912739342246</v>
      </c>
      <c r="AL171" s="117"/>
      <c r="AM171" s="126"/>
      <c r="AN171" s="126"/>
      <c r="AO171" s="126"/>
      <c r="AP171" s="117"/>
      <c r="AQ171" s="126"/>
      <c r="AR171" s="126"/>
      <c r="AS171" s="127"/>
    </row>
    <row r="172" spans="1:45" s="56" customFormat="1" ht="82.5">
      <c r="A172" s="114" t="s">
        <v>120</v>
      </c>
      <c r="B172" s="115" t="s">
        <v>752</v>
      </c>
      <c r="C172" s="116" t="s">
        <v>617</v>
      </c>
      <c r="D172" s="116" t="s">
        <v>512</v>
      </c>
      <c r="E172" s="206">
        <v>0</v>
      </c>
      <c r="F172" s="117">
        <f t="shared" si="75"/>
        <v>0</v>
      </c>
      <c r="G172" s="122">
        <v>0</v>
      </c>
      <c r="H172" s="122">
        <f t="shared" si="76"/>
        <v>0</v>
      </c>
      <c r="I172" s="122">
        <v>0</v>
      </c>
      <c r="J172" s="117">
        <f t="shared" si="77"/>
        <v>0</v>
      </c>
      <c r="K172" s="107" t="s">
        <v>469</v>
      </c>
      <c r="L172" s="117">
        <v>0</v>
      </c>
      <c r="M172" s="117"/>
      <c r="N172" s="118">
        <f t="shared" si="53"/>
        <v>0</v>
      </c>
      <c r="O172" s="205">
        <v>0</v>
      </c>
      <c r="P172" s="135">
        <v>0</v>
      </c>
      <c r="Q172" s="130">
        <f>IFERROR(P172/J172,0)</f>
        <v>0</v>
      </c>
      <c r="R172" s="131">
        <v>0</v>
      </c>
      <c r="S172" s="130">
        <f>IFERROR(Q172-R172,0)</f>
        <v>0</v>
      </c>
      <c r="T172" s="130" t="e">
        <f t="shared" si="54"/>
        <v>#DIV/0!</v>
      </c>
      <c r="U172" s="135">
        <v>0</v>
      </c>
      <c r="V172" s="144">
        <v>0</v>
      </c>
      <c r="W172" s="131">
        <v>0</v>
      </c>
      <c r="X172" s="130"/>
      <c r="Y172" s="130" t="e">
        <f t="shared" si="55"/>
        <v>#DIV/0!</v>
      </c>
      <c r="Z172" s="144">
        <v>0</v>
      </c>
      <c r="AA172" s="144">
        <v>0</v>
      </c>
      <c r="AB172" s="144">
        <v>0</v>
      </c>
      <c r="AC172" s="134">
        <v>0</v>
      </c>
      <c r="AD172" s="134">
        <v>0</v>
      </c>
      <c r="AE172" s="134">
        <f t="shared" si="59"/>
        <v>0</v>
      </c>
      <c r="AF172" s="174">
        <f t="shared" si="60"/>
        <v>0</v>
      </c>
      <c r="AG172" s="284">
        <f t="shared" si="74"/>
        <v>0</v>
      </c>
      <c r="AH172" s="120"/>
      <c r="AI172" s="120"/>
      <c r="AJ172" s="120"/>
      <c r="AK172" s="125" t="e">
        <f t="shared" si="56"/>
        <v>#DIV/0!</v>
      </c>
      <c r="AL172" s="117"/>
      <c r="AM172" s="126"/>
      <c r="AN172" s="126"/>
      <c r="AO172" s="126"/>
      <c r="AP172" s="117"/>
      <c r="AQ172" s="126"/>
      <c r="AR172" s="126"/>
      <c r="AS172" s="127"/>
    </row>
    <row r="173" spans="1:45" s="56" customFormat="1" ht="148.5">
      <c r="A173" s="114" t="s">
        <v>121</v>
      </c>
      <c r="B173" s="115" t="s">
        <v>753</v>
      </c>
      <c r="C173" s="116" t="s">
        <v>635</v>
      </c>
      <c r="D173" s="116" t="s">
        <v>512</v>
      </c>
      <c r="E173" s="206">
        <v>7159047</v>
      </c>
      <c r="F173" s="117">
        <f t="shared" si="75"/>
        <v>5031406.867788</v>
      </c>
      <c r="G173" s="122">
        <v>7159047</v>
      </c>
      <c r="H173" s="122">
        <f t="shared" si="76"/>
        <v>5031406.867788</v>
      </c>
      <c r="I173" s="122">
        <v>7159047</v>
      </c>
      <c r="J173" s="117">
        <f t="shared" si="77"/>
        <v>5031406.867788</v>
      </c>
      <c r="K173" s="107" t="s">
        <v>469</v>
      </c>
      <c r="L173" s="117">
        <v>0</v>
      </c>
      <c r="M173" s="117"/>
      <c r="N173" s="118">
        <f t="shared" si="53"/>
        <v>5031406.867788</v>
      </c>
      <c r="O173" s="205">
        <v>5917809.7300000004</v>
      </c>
      <c r="P173" s="135">
        <v>5027084.24</v>
      </c>
      <c r="Q173" s="130">
        <f t="shared" ref="Q173:Q199" si="78">P173/J173</f>
        <v>0.99914087095287918</v>
      </c>
      <c r="R173" s="131">
        <v>0.99974803711540072</v>
      </c>
      <c r="S173" s="130">
        <f t="shared" ref="S173:S199" si="79">Q173-R173</f>
        <v>-6.0716616252154409E-4</v>
      </c>
      <c r="T173" s="130">
        <f t="shared" si="54"/>
        <v>0.99914087095287918</v>
      </c>
      <c r="U173" s="135">
        <v>5027084.24</v>
      </c>
      <c r="V173" s="130">
        <f t="shared" ref="V173:V199" si="80">U173/J173</f>
        <v>0.99914087095287918</v>
      </c>
      <c r="W173" s="131">
        <v>0.99974803711540072</v>
      </c>
      <c r="X173" s="130">
        <f t="shared" ref="X173:X199" si="81">V173-W173</f>
        <v>-6.0716616252154409E-4</v>
      </c>
      <c r="Y173" s="130">
        <f t="shared" si="55"/>
        <v>0.99914087095287918</v>
      </c>
      <c r="Z173" s="134">
        <v>3496789.92</v>
      </c>
      <c r="AA173" s="134"/>
      <c r="AB173" s="134"/>
      <c r="AC173" s="134">
        <v>0</v>
      </c>
      <c r="AD173" s="134">
        <v>0</v>
      </c>
      <c r="AE173" s="134">
        <f t="shared" si="59"/>
        <v>3496789.92</v>
      </c>
      <c r="AF173" s="174">
        <f t="shared" si="60"/>
        <v>3496789.92</v>
      </c>
      <c r="AG173" s="284">
        <f t="shared" si="74"/>
        <v>3496789.92</v>
      </c>
      <c r="AH173" s="120">
        <f t="shared" ref="AH173:AH199" si="82">AG173/J173</f>
        <v>0.69499247663453689</v>
      </c>
      <c r="AI173" s="120">
        <v>0.65425789575376125</v>
      </c>
      <c r="AJ173" s="120">
        <f t="shared" si="65"/>
        <v>4.0734580880775639E-2</v>
      </c>
      <c r="AK173" s="125">
        <f t="shared" si="56"/>
        <v>0.69499247663453689</v>
      </c>
      <c r="AL173" s="117"/>
      <c r="AM173" s="126"/>
      <c r="AN173" s="126"/>
      <c r="AO173" s="126"/>
      <c r="AP173" s="117"/>
      <c r="AQ173" s="126"/>
      <c r="AR173" s="126"/>
      <c r="AS173" s="127"/>
    </row>
    <row r="174" spans="1:45" s="56" customFormat="1" ht="82.5">
      <c r="A174" s="114" t="s">
        <v>122</v>
      </c>
      <c r="B174" s="115" t="s">
        <v>754</v>
      </c>
      <c r="C174" s="116" t="s">
        <v>617</v>
      </c>
      <c r="D174" s="116" t="s">
        <v>512</v>
      </c>
      <c r="E174" s="206">
        <v>2950405</v>
      </c>
      <c r="F174" s="117">
        <f t="shared" si="75"/>
        <v>2073556.4356199999</v>
      </c>
      <c r="G174" s="206">
        <v>2950405</v>
      </c>
      <c r="H174" s="122">
        <f t="shared" si="76"/>
        <v>2073556.4356199999</v>
      </c>
      <c r="I174" s="206">
        <v>2950405</v>
      </c>
      <c r="J174" s="117">
        <f t="shared" si="77"/>
        <v>2073556.4356199999</v>
      </c>
      <c r="K174" s="107" t="s">
        <v>469</v>
      </c>
      <c r="L174" s="117">
        <v>0</v>
      </c>
      <c r="M174" s="117"/>
      <c r="N174" s="118">
        <f t="shared" si="53"/>
        <v>2073556.4356199999</v>
      </c>
      <c r="O174" s="205">
        <v>2568007.27</v>
      </c>
      <c r="P174" s="135">
        <v>2073555.43</v>
      </c>
      <c r="Q174" s="130">
        <f t="shared" si="78"/>
        <v>0.99999951502646245</v>
      </c>
      <c r="R174" s="131">
        <v>0.99999951502646245</v>
      </c>
      <c r="S174" s="130">
        <f t="shared" si="79"/>
        <v>0</v>
      </c>
      <c r="T174" s="130">
        <f t="shared" si="54"/>
        <v>0.99999951502646245</v>
      </c>
      <c r="U174" s="135">
        <v>2073555.43</v>
      </c>
      <c r="V174" s="130">
        <f t="shared" si="80"/>
        <v>0.99999951502646245</v>
      </c>
      <c r="W174" s="131">
        <v>0.99999951502646245</v>
      </c>
      <c r="X174" s="130">
        <f t="shared" si="81"/>
        <v>0</v>
      </c>
      <c r="Y174" s="130">
        <f t="shared" si="55"/>
        <v>0.99999951502646245</v>
      </c>
      <c r="Z174" s="134">
        <v>2049863.24</v>
      </c>
      <c r="AA174" s="134"/>
      <c r="AB174" s="134"/>
      <c r="AC174" s="134">
        <v>0</v>
      </c>
      <c r="AD174" s="134">
        <v>0</v>
      </c>
      <c r="AE174" s="134">
        <f t="shared" si="59"/>
        <v>2049863.24</v>
      </c>
      <c r="AF174" s="174">
        <f t="shared" si="60"/>
        <v>2049863.24</v>
      </c>
      <c r="AG174" s="284">
        <f t="shared" si="74"/>
        <v>2049863.24</v>
      </c>
      <c r="AH174" s="120">
        <f t="shared" si="82"/>
        <v>0.98857364322813068</v>
      </c>
      <c r="AI174" s="120">
        <v>0.97398246573218106</v>
      </c>
      <c r="AJ174" s="120">
        <f t="shared" si="65"/>
        <v>1.4591177495949625E-2</v>
      </c>
      <c r="AK174" s="125">
        <f t="shared" si="56"/>
        <v>0.98857364322813068</v>
      </c>
      <c r="AL174" s="117"/>
      <c r="AM174" s="126"/>
      <c r="AN174" s="126"/>
      <c r="AO174" s="126"/>
      <c r="AP174" s="117"/>
      <c r="AQ174" s="126"/>
      <c r="AR174" s="126"/>
      <c r="AS174" s="127"/>
    </row>
    <row r="175" spans="1:45" s="56" customFormat="1" ht="148.5">
      <c r="A175" s="114" t="s">
        <v>104</v>
      </c>
      <c r="B175" s="115" t="s">
        <v>755</v>
      </c>
      <c r="C175" s="116" t="s">
        <v>617</v>
      </c>
      <c r="D175" s="116" t="s">
        <v>606</v>
      </c>
      <c r="E175" s="206">
        <v>29993894</v>
      </c>
      <c r="F175" s="117">
        <f t="shared" si="75"/>
        <v>21079828.678776</v>
      </c>
      <c r="G175" s="206">
        <v>29993894</v>
      </c>
      <c r="H175" s="122">
        <f t="shared" si="76"/>
        <v>21079828.678776</v>
      </c>
      <c r="I175" s="206">
        <v>29993894</v>
      </c>
      <c r="J175" s="117">
        <f t="shared" si="77"/>
        <v>21079828.678776</v>
      </c>
      <c r="K175" s="107" t="s">
        <v>469</v>
      </c>
      <c r="L175" s="117">
        <v>11220767</v>
      </c>
      <c r="M175" s="117">
        <f>L175</f>
        <v>11220767</v>
      </c>
      <c r="N175" s="118">
        <f t="shared" si="53"/>
        <v>32300595.678776</v>
      </c>
      <c r="O175" s="205">
        <v>21812914</v>
      </c>
      <c r="P175" s="135">
        <v>20864113.420000002</v>
      </c>
      <c r="Q175" s="130">
        <f t="shared" si="78"/>
        <v>0.98976674516367447</v>
      </c>
      <c r="R175" s="131">
        <v>0.99333190990798892</v>
      </c>
      <c r="S175" s="130">
        <f t="shared" si="79"/>
        <v>-3.565164744314453E-3</v>
      </c>
      <c r="T175" s="130">
        <f t="shared" si="54"/>
        <v>0.64593587150807086</v>
      </c>
      <c r="U175" s="135">
        <v>20864113.420000002</v>
      </c>
      <c r="V175" s="130">
        <f t="shared" si="80"/>
        <v>0.98976674516367447</v>
      </c>
      <c r="W175" s="131">
        <v>0.99333190990798892</v>
      </c>
      <c r="X175" s="130">
        <f t="shared" si="81"/>
        <v>-3.565164744314453E-3</v>
      </c>
      <c r="Y175" s="130">
        <f t="shared" si="55"/>
        <v>0.64593587150807086</v>
      </c>
      <c r="Z175" s="209">
        <v>16339291.51</v>
      </c>
      <c r="AA175" s="134"/>
      <c r="AB175" s="134">
        <v>4177815.77</v>
      </c>
      <c r="AC175" s="134">
        <v>3679454.5299999798</v>
      </c>
      <c r="AD175" s="134">
        <v>472147.06</v>
      </c>
      <c r="AE175" s="134">
        <f t="shared" si="59"/>
        <v>20044960.220000003</v>
      </c>
      <c r="AF175" s="174">
        <f t="shared" si="60"/>
        <v>20018746.03999998</v>
      </c>
      <c r="AG175" s="284">
        <f t="shared" si="74"/>
        <v>20517107.280000001</v>
      </c>
      <c r="AH175" s="120">
        <f t="shared" si="82"/>
        <v>0.97330521953707483</v>
      </c>
      <c r="AI175" s="120">
        <v>0.97488045149590952</v>
      </c>
      <c r="AJ175" s="120">
        <f t="shared" si="65"/>
        <v>-1.5752319588346886E-3</v>
      </c>
      <c r="AK175" s="125">
        <f t="shared" si="56"/>
        <v>0.63519284548307364</v>
      </c>
      <c r="AL175" s="117"/>
      <c r="AM175" s="126"/>
      <c r="AN175" s="126"/>
      <c r="AO175" s="126"/>
      <c r="AP175" s="117"/>
      <c r="AQ175" s="126"/>
      <c r="AR175" s="126"/>
      <c r="AS175" s="127"/>
    </row>
    <row r="176" spans="1:45" s="56" customFormat="1" ht="82.5">
      <c r="A176" s="114" t="s">
        <v>165</v>
      </c>
      <c r="B176" s="115" t="s">
        <v>756</v>
      </c>
      <c r="C176" s="116" t="s">
        <v>617</v>
      </c>
      <c r="D176" s="116" t="s">
        <v>606</v>
      </c>
      <c r="E176" s="206">
        <v>2587097</v>
      </c>
      <c r="F176" s="117">
        <f t="shared" si="75"/>
        <v>1818222.119988</v>
      </c>
      <c r="G176" s="206">
        <v>2587097</v>
      </c>
      <c r="H176" s="122">
        <f t="shared" si="76"/>
        <v>1818222.119988</v>
      </c>
      <c r="I176" s="206">
        <v>2587097</v>
      </c>
      <c r="J176" s="117">
        <f t="shared" si="77"/>
        <v>1818222.119988</v>
      </c>
      <c r="K176" s="107" t="s">
        <v>469</v>
      </c>
      <c r="L176" s="117">
        <v>0</v>
      </c>
      <c r="M176" s="117"/>
      <c r="N176" s="118">
        <f t="shared" si="53"/>
        <v>1818222.119988</v>
      </c>
      <c r="O176" s="205">
        <v>1953485.41</v>
      </c>
      <c r="P176" s="135">
        <v>1817653.57</v>
      </c>
      <c r="Q176" s="130">
        <f t="shared" si="78"/>
        <v>0.99968730443780784</v>
      </c>
      <c r="R176" s="131">
        <v>0.95975134827046515</v>
      </c>
      <c r="S176" s="130">
        <f t="shared" si="79"/>
        <v>3.993595616734269E-2</v>
      </c>
      <c r="T176" s="130">
        <f t="shared" si="54"/>
        <v>0.99968730443780784</v>
      </c>
      <c r="U176" s="135">
        <v>1817653.57</v>
      </c>
      <c r="V176" s="130">
        <f t="shared" si="80"/>
        <v>0.99968730443780784</v>
      </c>
      <c r="W176" s="131">
        <v>0.95975134827046515</v>
      </c>
      <c r="X176" s="130">
        <f t="shared" si="81"/>
        <v>3.993595616734269E-2</v>
      </c>
      <c r="Y176" s="130">
        <f t="shared" si="55"/>
        <v>0.99968730443780784</v>
      </c>
      <c r="Z176" s="134">
        <v>1578592.31</v>
      </c>
      <c r="AA176" s="134"/>
      <c r="AB176" s="134">
        <v>225236.38</v>
      </c>
      <c r="AC176" s="134">
        <v>183674.41</v>
      </c>
      <c r="AD176" s="134">
        <v>31000.2</v>
      </c>
      <c r="AE176" s="134">
        <f t="shared" si="59"/>
        <v>1772828.49</v>
      </c>
      <c r="AF176" s="174">
        <f t="shared" si="60"/>
        <v>1762266.72</v>
      </c>
      <c r="AG176" s="284">
        <f t="shared" si="74"/>
        <v>1803828.69</v>
      </c>
      <c r="AH176" s="120">
        <f t="shared" si="82"/>
        <v>0.99208378897728122</v>
      </c>
      <c r="AI176" s="120">
        <v>0.95245158145094</v>
      </c>
      <c r="AJ176" s="120">
        <f t="shared" si="65"/>
        <v>3.9632207526341223E-2</v>
      </c>
      <c r="AK176" s="125">
        <f t="shared" si="56"/>
        <v>0.99208378897728122</v>
      </c>
      <c r="AL176" s="117"/>
      <c r="AM176" s="126"/>
      <c r="AN176" s="126"/>
      <c r="AO176" s="126"/>
      <c r="AP176" s="117"/>
      <c r="AQ176" s="126"/>
      <c r="AR176" s="126"/>
      <c r="AS176" s="127"/>
    </row>
    <row r="177" spans="1:45" s="204" customFormat="1" ht="49.5">
      <c r="A177" s="104" t="s">
        <v>757</v>
      </c>
      <c r="B177" s="105" t="s">
        <v>758</v>
      </c>
      <c r="C177" s="106" t="s">
        <v>617</v>
      </c>
      <c r="D177" s="106" t="s">
        <v>558</v>
      </c>
      <c r="E177" s="109"/>
      <c r="F177" s="107">
        <f>F178+F181+F182</f>
        <v>145516627.32562798</v>
      </c>
      <c r="G177" s="107"/>
      <c r="H177" s="107">
        <f>H178+H181+H182</f>
        <v>145516627.32562798</v>
      </c>
      <c r="I177" s="107"/>
      <c r="J177" s="107">
        <f>J178+J181+J182</f>
        <v>145516627.32562798</v>
      </c>
      <c r="K177" s="107" t="s">
        <v>469</v>
      </c>
      <c r="L177" s="107">
        <f>L178+L181+L182</f>
        <v>10600000</v>
      </c>
      <c r="M177" s="107">
        <f>M178+M181+M182</f>
        <v>9456260</v>
      </c>
      <c r="N177" s="86">
        <f t="shared" si="53"/>
        <v>154972887.32562798</v>
      </c>
      <c r="O177" s="207">
        <f>O178+O181+O182</f>
        <v>105131865.94999999</v>
      </c>
      <c r="P177" s="137">
        <f>P178+P181+P182</f>
        <v>153653230.89000002</v>
      </c>
      <c r="Q177" s="138">
        <f t="shared" si="78"/>
        <v>1.0559152841425088</v>
      </c>
      <c r="R177" s="138">
        <v>1.0559227663115227</v>
      </c>
      <c r="S177" s="138">
        <f t="shared" si="79"/>
        <v>-7.4821690139170727E-6</v>
      </c>
      <c r="T177" s="138">
        <f t="shared" si="54"/>
        <v>0.9914845979938729</v>
      </c>
      <c r="U177" s="137">
        <f>U178+U181+U182</f>
        <v>153653230.89000002</v>
      </c>
      <c r="V177" s="138">
        <f t="shared" si="80"/>
        <v>1.0559152841425088</v>
      </c>
      <c r="W177" s="186">
        <v>1.0559227663115227</v>
      </c>
      <c r="X177" s="138">
        <f t="shared" si="81"/>
        <v>-7.4821690139170727E-6</v>
      </c>
      <c r="Y177" s="138">
        <f t="shared" si="55"/>
        <v>0.9914845979938729</v>
      </c>
      <c r="Z177" s="137">
        <f>Z178+Z181+Z182</f>
        <v>56906733.780000009</v>
      </c>
      <c r="AA177" s="137">
        <f>AA178+AA181+AA182</f>
        <v>0</v>
      </c>
      <c r="AB177" s="137">
        <f>AB178+AB181+AB182</f>
        <v>34544366.060000002</v>
      </c>
      <c r="AC177" s="137">
        <f>AC178+AC181+AC182</f>
        <v>20273349.93</v>
      </c>
      <c r="AD177" s="137">
        <f>AD178+AD181+AD182</f>
        <v>24639.91</v>
      </c>
      <c r="AE177" s="144">
        <f t="shared" si="59"/>
        <v>91426459.930000007</v>
      </c>
      <c r="AF177" s="174">
        <f t="shared" si="60"/>
        <v>77180083.710000008</v>
      </c>
      <c r="AG177" s="287">
        <f>AG178+AG181+AG182</f>
        <v>91451099.840000004</v>
      </c>
      <c r="AH177" s="110">
        <f t="shared" si="82"/>
        <v>0.62845807740827075</v>
      </c>
      <c r="AI177" s="110">
        <v>0.58329608767019103</v>
      </c>
      <c r="AJ177" s="110">
        <f t="shared" si="65"/>
        <v>4.5161989738079722E-2</v>
      </c>
      <c r="AK177" s="89">
        <f t="shared" si="56"/>
        <v>0.59011031812192782</v>
      </c>
      <c r="AL177" s="117"/>
      <c r="AM177" s="126"/>
      <c r="AN177" s="126"/>
      <c r="AO177" s="126"/>
      <c r="AP177" s="117"/>
      <c r="AQ177" s="126"/>
      <c r="AR177" s="126"/>
      <c r="AS177" s="127"/>
    </row>
    <row r="178" spans="1:45" s="204" customFormat="1" ht="49.5">
      <c r="A178" s="139" t="s">
        <v>759</v>
      </c>
      <c r="B178" s="140" t="s">
        <v>760</v>
      </c>
      <c r="C178" s="141" t="s">
        <v>617</v>
      </c>
      <c r="D178" s="141" t="s">
        <v>558</v>
      </c>
      <c r="E178" s="145"/>
      <c r="F178" s="117">
        <f>F179+F180</f>
        <v>7657701.7821120005</v>
      </c>
      <c r="G178" s="117"/>
      <c r="H178" s="117">
        <f>H179+H180</f>
        <v>7657701.7821120005</v>
      </c>
      <c r="I178" s="117"/>
      <c r="J178" s="117">
        <f>J179+J180</f>
        <v>7657701.7821120005</v>
      </c>
      <c r="K178" s="107" t="s">
        <v>469</v>
      </c>
      <c r="L178" s="117">
        <f>L179+L180</f>
        <v>0</v>
      </c>
      <c r="M178" s="117">
        <f>M179+M180</f>
        <v>0</v>
      </c>
      <c r="N178" s="118">
        <f t="shared" si="53"/>
        <v>7657701.7821120005</v>
      </c>
      <c r="O178" s="208">
        <f>O179+O180</f>
        <v>5164106.42</v>
      </c>
      <c r="P178" s="143">
        <f>P179+P180</f>
        <v>6413989.2999999998</v>
      </c>
      <c r="Q178" s="130">
        <f t="shared" si="78"/>
        <v>0.8375867175949252</v>
      </c>
      <c r="R178" s="130">
        <v>0.83772889863448252</v>
      </c>
      <c r="S178" s="130">
        <f t="shared" si="79"/>
        <v>-1.4218103955732087E-4</v>
      </c>
      <c r="T178" s="130">
        <f t="shared" si="54"/>
        <v>0.8375867175949252</v>
      </c>
      <c r="U178" s="144">
        <f>U179+U180</f>
        <v>6413989.2999999998</v>
      </c>
      <c r="V178" s="130">
        <f t="shared" si="80"/>
        <v>0.8375867175949252</v>
      </c>
      <c r="W178" s="131">
        <v>0.83772889863448252</v>
      </c>
      <c r="X178" s="130">
        <f t="shared" si="81"/>
        <v>-1.4218103955732087E-4</v>
      </c>
      <c r="Y178" s="130">
        <f t="shared" si="55"/>
        <v>0.8375867175949252</v>
      </c>
      <c r="Z178" s="144">
        <f>Z179+Z180</f>
        <v>2887100.5500000003</v>
      </c>
      <c r="AA178" s="144">
        <f>AA179+AA180</f>
        <v>0</v>
      </c>
      <c r="AB178" s="144">
        <f>AB179+AB180</f>
        <v>1612729.36</v>
      </c>
      <c r="AC178" s="144">
        <f>AC179+AC180</f>
        <v>1369904.74</v>
      </c>
      <c r="AD178" s="144">
        <f>AD179+AD180</f>
        <v>1360.56</v>
      </c>
      <c r="AE178" s="144">
        <f t="shared" si="59"/>
        <v>4498469.3500000006</v>
      </c>
      <c r="AF178" s="174">
        <f t="shared" si="60"/>
        <v>4257005.29</v>
      </c>
      <c r="AG178" s="287">
        <f>AG179+AG180</f>
        <v>4499829.91</v>
      </c>
      <c r="AH178" s="120">
        <f t="shared" si="82"/>
        <v>0.58762146111662017</v>
      </c>
      <c r="AI178" s="120">
        <v>0.55107245359927493</v>
      </c>
      <c r="AJ178" s="120">
        <f t="shared" si="65"/>
        <v>3.6549007517345244E-2</v>
      </c>
      <c r="AK178" s="125">
        <f t="shared" si="56"/>
        <v>0.58762146111662017</v>
      </c>
      <c r="AL178" s="117"/>
      <c r="AM178" s="126"/>
      <c r="AN178" s="126"/>
      <c r="AO178" s="126"/>
      <c r="AP178" s="117"/>
      <c r="AQ178" s="126"/>
      <c r="AR178" s="126"/>
      <c r="AS178" s="127"/>
    </row>
    <row r="179" spans="1:45" s="56" customFormat="1" ht="49.5">
      <c r="A179" s="114" t="s">
        <v>109</v>
      </c>
      <c r="B179" s="115" t="s">
        <v>761</v>
      </c>
      <c r="C179" s="116" t="s">
        <v>617</v>
      </c>
      <c r="D179" s="116" t="s">
        <v>558</v>
      </c>
      <c r="E179" s="206">
        <v>5055321</v>
      </c>
      <c r="F179" s="117">
        <f>E179*$E$5</f>
        <v>3552899.820084</v>
      </c>
      <c r="G179" s="122">
        <v>5055321</v>
      </c>
      <c r="H179" s="122">
        <f>G179*$G$5</f>
        <v>3552899.820084</v>
      </c>
      <c r="I179" s="206">
        <v>5055321</v>
      </c>
      <c r="J179" s="117">
        <f>I179*$I$5</f>
        <v>3552899.820084</v>
      </c>
      <c r="K179" s="107" t="s">
        <v>469</v>
      </c>
      <c r="L179" s="117">
        <v>0</v>
      </c>
      <c r="M179" s="117"/>
      <c r="N179" s="118">
        <f t="shared" si="53"/>
        <v>3552899.820084</v>
      </c>
      <c r="O179" s="205">
        <v>1169424.8600000001</v>
      </c>
      <c r="P179" s="135">
        <v>2450632.5</v>
      </c>
      <c r="Q179" s="130">
        <f t="shared" si="78"/>
        <v>0.68975558673142112</v>
      </c>
      <c r="R179" s="131">
        <v>0.69006203500047869</v>
      </c>
      <c r="S179" s="130">
        <f t="shared" si="79"/>
        <v>-3.0644826905756872E-4</v>
      </c>
      <c r="T179" s="130">
        <f t="shared" si="54"/>
        <v>0.68975558673142112</v>
      </c>
      <c r="U179" s="135">
        <v>2450632.5</v>
      </c>
      <c r="V179" s="130">
        <f t="shared" si="80"/>
        <v>0.68975558673142112</v>
      </c>
      <c r="W179" s="130">
        <v>0.69006203500047869</v>
      </c>
      <c r="X179" s="130">
        <f t="shared" si="81"/>
        <v>-3.0644826905756872E-4</v>
      </c>
      <c r="Y179" s="130">
        <f t="shared" si="55"/>
        <v>0.68975558673142112</v>
      </c>
      <c r="Z179" s="134">
        <v>390393.93</v>
      </c>
      <c r="AA179" s="134"/>
      <c r="AB179" s="134">
        <v>173857.02</v>
      </c>
      <c r="AC179" s="134">
        <v>5586.7700000000796</v>
      </c>
      <c r="AD179" s="134">
        <v>125.46</v>
      </c>
      <c r="AE179" s="134">
        <f t="shared" si="59"/>
        <v>564125.49</v>
      </c>
      <c r="AF179" s="174">
        <f t="shared" si="60"/>
        <v>395980.70000000007</v>
      </c>
      <c r="AG179" s="284">
        <f>SUM(Z179:AB179)</f>
        <v>564250.94999999995</v>
      </c>
      <c r="AH179" s="120">
        <f t="shared" si="82"/>
        <v>0.15881420208089614</v>
      </c>
      <c r="AI179" s="120">
        <v>0.13436229676431283</v>
      </c>
      <c r="AJ179" s="120">
        <f t="shared" si="65"/>
        <v>2.4451905316583311E-2</v>
      </c>
      <c r="AK179" s="125">
        <f t="shared" si="56"/>
        <v>0.15881420208089614</v>
      </c>
      <c r="AL179" s="117"/>
      <c r="AM179" s="126"/>
      <c r="AN179" s="126"/>
      <c r="AO179" s="126"/>
      <c r="AP179" s="117"/>
      <c r="AQ179" s="126"/>
      <c r="AR179" s="126"/>
      <c r="AS179" s="127"/>
    </row>
    <row r="180" spans="1:45" s="56" customFormat="1" ht="49.5">
      <c r="A180" s="114" t="s">
        <v>110</v>
      </c>
      <c r="B180" s="115" t="s">
        <v>762</v>
      </c>
      <c r="C180" s="116" t="s">
        <v>617</v>
      </c>
      <c r="D180" s="116" t="s">
        <v>558</v>
      </c>
      <c r="E180" s="206">
        <v>5840607</v>
      </c>
      <c r="F180" s="117">
        <f>E180*$E$5</f>
        <v>4104801.962028</v>
      </c>
      <c r="G180" s="122">
        <v>5840607</v>
      </c>
      <c r="H180" s="122">
        <f>G180*$G$5</f>
        <v>4104801.962028</v>
      </c>
      <c r="I180" s="206">
        <v>5840607</v>
      </c>
      <c r="J180" s="117">
        <f>I180*$I$5</f>
        <v>4104801.962028</v>
      </c>
      <c r="K180" s="107" t="s">
        <v>469</v>
      </c>
      <c r="L180" s="117">
        <v>0</v>
      </c>
      <c r="M180" s="117"/>
      <c r="N180" s="118">
        <f t="shared" si="53"/>
        <v>4104801.962028</v>
      </c>
      <c r="O180" s="205">
        <v>3994681.5599999996</v>
      </c>
      <c r="P180" s="135">
        <v>3963356.8</v>
      </c>
      <c r="Q180" s="130">
        <f t="shared" si="78"/>
        <v>0.96554153809697596</v>
      </c>
      <c r="R180" s="131">
        <v>0.96554153809697596</v>
      </c>
      <c r="S180" s="130">
        <f t="shared" si="79"/>
        <v>0</v>
      </c>
      <c r="T180" s="130">
        <f t="shared" si="54"/>
        <v>0.96554153809697596</v>
      </c>
      <c r="U180" s="135">
        <v>3963356.8</v>
      </c>
      <c r="V180" s="130">
        <f t="shared" si="80"/>
        <v>0.96554153809697596</v>
      </c>
      <c r="W180" s="130">
        <v>0.96554153809697596</v>
      </c>
      <c r="X180" s="130">
        <f t="shared" si="81"/>
        <v>0</v>
      </c>
      <c r="Y180" s="130">
        <f t="shared" si="55"/>
        <v>0.96554153809697596</v>
      </c>
      <c r="Z180" s="134">
        <v>2496706.62</v>
      </c>
      <c r="AA180" s="134"/>
      <c r="AB180" s="134">
        <v>1438872.34</v>
      </c>
      <c r="AC180" s="134">
        <v>1364317.97</v>
      </c>
      <c r="AD180" s="134">
        <v>1235.0999999999999</v>
      </c>
      <c r="AE180" s="134">
        <f t="shared" si="59"/>
        <v>3934343.86</v>
      </c>
      <c r="AF180" s="174">
        <f t="shared" si="60"/>
        <v>3861024.59</v>
      </c>
      <c r="AG180" s="284">
        <f>SUM(Z180:AB180)</f>
        <v>3935578.96</v>
      </c>
      <c r="AH180" s="120">
        <f t="shared" si="82"/>
        <v>0.95877438093398437</v>
      </c>
      <c r="AI180" s="120">
        <v>0.91175476055145954</v>
      </c>
      <c r="AJ180" s="120">
        <f t="shared" si="65"/>
        <v>4.7019620382524829E-2</v>
      </c>
      <c r="AK180" s="125">
        <f t="shared" si="56"/>
        <v>0.95877438093398437</v>
      </c>
      <c r="AL180" s="117"/>
      <c r="AM180" s="126"/>
      <c r="AN180" s="126"/>
      <c r="AO180" s="126"/>
      <c r="AP180" s="117"/>
      <c r="AQ180" s="126"/>
      <c r="AR180" s="126"/>
      <c r="AS180" s="127"/>
    </row>
    <row r="181" spans="1:45" s="56" customFormat="1" ht="66">
      <c r="A181" s="114" t="s">
        <v>111</v>
      </c>
      <c r="B181" s="115" t="s">
        <v>763</v>
      </c>
      <c r="C181" s="116" t="s">
        <v>617</v>
      </c>
      <c r="D181" s="116" t="s">
        <v>558</v>
      </c>
      <c r="E181" s="206">
        <v>13555194</v>
      </c>
      <c r="F181" s="117">
        <f>E181*$E$5</f>
        <v>9526644.5639759991</v>
      </c>
      <c r="G181" s="122">
        <v>13555194</v>
      </c>
      <c r="H181" s="122">
        <f>G181*$G$5</f>
        <v>9526644.5639759991</v>
      </c>
      <c r="I181" s="206">
        <v>13555194</v>
      </c>
      <c r="J181" s="117">
        <f>I181*$I$5</f>
        <v>9526644.5639759991</v>
      </c>
      <c r="K181" s="107" t="s">
        <v>469</v>
      </c>
      <c r="L181" s="117">
        <v>10600000</v>
      </c>
      <c r="M181" s="117">
        <f>L181*0.8921</f>
        <v>9456260</v>
      </c>
      <c r="N181" s="118">
        <f t="shared" si="53"/>
        <v>18982904.563975997</v>
      </c>
      <c r="O181" s="205">
        <v>9716299.0399999991</v>
      </c>
      <c r="P181" s="135">
        <v>18982904</v>
      </c>
      <c r="Q181" s="130">
        <f t="shared" si="78"/>
        <v>1.9926117608902769</v>
      </c>
      <c r="R181" s="131">
        <v>1.9926117608902769</v>
      </c>
      <c r="S181" s="130">
        <f t="shared" si="79"/>
        <v>0</v>
      </c>
      <c r="T181" s="130">
        <f t="shared" si="54"/>
        <v>0.99999997029032117</v>
      </c>
      <c r="U181" s="135">
        <v>18982904</v>
      </c>
      <c r="V181" s="130">
        <f t="shared" si="80"/>
        <v>1.9926117608902769</v>
      </c>
      <c r="W181" s="131">
        <v>1.9926117608902769</v>
      </c>
      <c r="X181" s="130">
        <f t="shared" si="81"/>
        <v>0</v>
      </c>
      <c r="Y181" s="130">
        <f t="shared" si="55"/>
        <v>0.99999997029032117</v>
      </c>
      <c r="Z181" s="134">
        <v>7113449.9000000004</v>
      </c>
      <c r="AA181" s="134"/>
      <c r="AB181" s="134"/>
      <c r="AC181" s="134">
        <v>0</v>
      </c>
      <c r="AD181" s="134">
        <v>0</v>
      </c>
      <c r="AE181" s="134">
        <f t="shared" si="59"/>
        <v>7113449.9000000004</v>
      </c>
      <c r="AF181" s="174">
        <f t="shared" si="60"/>
        <v>7113449.9000000004</v>
      </c>
      <c r="AG181" s="284">
        <f>SUM(Z181:AB181)</f>
        <v>7113449.9000000004</v>
      </c>
      <c r="AH181" s="120">
        <f t="shared" si="82"/>
        <v>0.74668996541539512</v>
      </c>
      <c r="AI181" s="120">
        <v>0.47001244036454648</v>
      </c>
      <c r="AJ181" s="120">
        <f t="shared" si="65"/>
        <v>0.27667752505084864</v>
      </c>
      <c r="AK181" s="125">
        <f t="shared" si="56"/>
        <v>0.37472926632625275</v>
      </c>
      <c r="AL181" s="117"/>
      <c r="AM181" s="126"/>
      <c r="AN181" s="126"/>
      <c r="AO181" s="126"/>
      <c r="AP181" s="117"/>
      <c r="AQ181" s="126"/>
      <c r="AR181" s="126"/>
      <c r="AS181" s="127"/>
    </row>
    <row r="182" spans="1:45" s="204" customFormat="1" ht="82.5">
      <c r="A182" s="139" t="s">
        <v>764</v>
      </c>
      <c r="B182" s="140" t="s">
        <v>765</v>
      </c>
      <c r="C182" s="141" t="s">
        <v>617</v>
      </c>
      <c r="D182" s="141" t="s">
        <v>558</v>
      </c>
      <c r="E182" s="145"/>
      <c r="F182" s="117">
        <f>F183+F184</f>
        <v>128332280.97953999</v>
      </c>
      <c r="G182" s="117"/>
      <c r="H182" s="117">
        <f>H183+H184</f>
        <v>128332280.97953999</v>
      </c>
      <c r="I182" s="117"/>
      <c r="J182" s="117">
        <f>J183+J184</f>
        <v>128332280.97953999</v>
      </c>
      <c r="K182" s="107" t="s">
        <v>469</v>
      </c>
      <c r="L182" s="117">
        <f>L183+L184</f>
        <v>0</v>
      </c>
      <c r="M182" s="117">
        <f>M183+M184</f>
        <v>0</v>
      </c>
      <c r="N182" s="118">
        <f t="shared" si="53"/>
        <v>128332280.97953999</v>
      </c>
      <c r="O182" s="208">
        <f>O183+O184</f>
        <v>90251460.489999995</v>
      </c>
      <c r="P182" s="143">
        <f>P183+P184</f>
        <v>128256337.59</v>
      </c>
      <c r="Q182" s="130">
        <f t="shared" si="78"/>
        <v>0.99940822847563904</v>
      </c>
      <c r="R182" s="130">
        <v>0.99940822847563904</v>
      </c>
      <c r="S182" s="130">
        <f t="shared" si="79"/>
        <v>0</v>
      </c>
      <c r="T182" s="130">
        <f t="shared" si="54"/>
        <v>0.99940822847563904</v>
      </c>
      <c r="U182" s="143">
        <f>U183+U184</f>
        <v>128256337.59</v>
      </c>
      <c r="V182" s="130">
        <f t="shared" si="80"/>
        <v>0.99940822847563904</v>
      </c>
      <c r="W182" s="131">
        <v>0.99940822847563904</v>
      </c>
      <c r="X182" s="130">
        <f t="shared" si="81"/>
        <v>0</v>
      </c>
      <c r="Y182" s="130">
        <f t="shared" si="55"/>
        <v>0.99940822847563904</v>
      </c>
      <c r="Z182" s="144">
        <f>Z183+Z184</f>
        <v>46906183.330000006</v>
      </c>
      <c r="AA182" s="144">
        <f>AA183+AA184</f>
        <v>0</v>
      </c>
      <c r="AB182" s="144">
        <f>AB183+AB184</f>
        <v>32931636.699999999</v>
      </c>
      <c r="AC182" s="144">
        <f>AC183+AC184</f>
        <v>18903445.190000001</v>
      </c>
      <c r="AD182" s="144">
        <f>AD183+AD184</f>
        <v>23279.35</v>
      </c>
      <c r="AE182" s="144">
        <f t="shared" si="59"/>
        <v>79814540.680000007</v>
      </c>
      <c r="AF182" s="135">
        <f t="shared" si="60"/>
        <v>65809628.520000011</v>
      </c>
      <c r="AG182" s="287">
        <f>AG183+AG184</f>
        <v>79837820.030000001</v>
      </c>
      <c r="AH182" s="120">
        <f t="shared" si="82"/>
        <v>0.62211798481730829</v>
      </c>
      <c r="AI182" s="120">
        <v>0.59362842192562337</v>
      </c>
      <c r="AJ182" s="120">
        <f t="shared" si="65"/>
        <v>2.8489562891684916E-2</v>
      </c>
      <c r="AK182" s="125">
        <f t="shared" si="56"/>
        <v>0.62211798481730829</v>
      </c>
      <c r="AL182" s="117"/>
      <c r="AM182" s="126"/>
      <c r="AN182" s="126"/>
      <c r="AO182" s="126"/>
      <c r="AP182" s="117"/>
      <c r="AQ182" s="126"/>
      <c r="AR182" s="126"/>
      <c r="AS182" s="127"/>
    </row>
    <row r="183" spans="1:45" s="56" customFormat="1" ht="49.5">
      <c r="A183" s="114" t="s">
        <v>112</v>
      </c>
      <c r="B183" s="115" t="s">
        <v>766</v>
      </c>
      <c r="C183" s="116" t="s">
        <v>617</v>
      </c>
      <c r="D183" s="116" t="s">
        <v>558</v>
      </c>
      <c r="E183" s="206">
        <v>170851458</v>
      </c>
      <c r="F183" s="117">
        <f>E183*$E$5</f>
        <v>120075088.088232</v>
      </c>
      <c r="G183" s="122">
        <v>170851458</v>
      </c>
      <c r="H183" s="122">
        <f>G183*$G$5</f>
        <v>120075088.088232</v>
      </c>
      <c r="I183" s="206">
        <v>170851458</v>
      </c>
      <c r="J183" s="117">
        <f>I183*$I$5</f>
        <v>120075088.088232</v>
      </c>
      <c r="K183" s="107" t="s">
        <v>469</v>
      </c>
      <c r="L183" s="117">
        <v>0</v>
      </c>
      <c r="M183" s="117"/>
      <c r="N183" s="118">
        <f t="shared" si="53"/>
        <v>120075088.088232</v>
      </c>
      <c r="O183" s="205">
        <v>80537116.359999999</v>
      </c>
      <c r="P183" s="135">
        <v>119999145.17</v>
      </c>
      <c r="Q183" s="130">
        <f t="shared" si="78"/>
        <v>0.99936753810102397</v>
      </c>
      <c r="R183" s="131">
        <v>0.99936753810102397</v>
      </c>
      <c r="S183" s="130">
        <f t="shared" si="79"/>
        <v>0</v>
      </c>
      <c r="T183" s="130">
        <f t="shared" si="54"/>
        <v>0.99936753810102397</v>
      </c>
      <c r="U183" s="135">
        <v>119999145.17</v>
      </c>
      <c r="V183" s="130">
        <f t="shared" si="80"/>
        <v>0.99936753810102397</v>
      </c>
      <c r="W183" s="131">
        <v>0.99936753810102397</v>
      </c>
      <c r="X183" s="130">
        <f t="shared" si="81"/>
        <v>0</v>
      </c>
      <c r="Y183" s="130">
        <f t="shared" si="55"/>
        <v>0.99936753810102397</v>
      </c>
      <c r="Z183" s="134">
        <v>40076990.910000004</v>
      </c>
      <c r="AA183" s="134"/>
      <c r="AB183" s="134">
        <v>31503636.699999999</v>
      </c>
      <c r="AC183" s="134">
        <v>17475445.190000001</v>
      </c>
      <c r="AD183" s="134">
        <v>23279.35</v>
      </c>
      <c r="AE183" s="134">
        <f t="shared" si="59"/>
        <v>71557348.260000005</v>
      </c>
      <c r="AF183" s="135">
        <f t="shared" si="60"/>
        <v>57552436.100000009</v>
      </c>
      <c r="AG183" s="284">
        <f>SUM(Z183:AB183)</f>
        <v>71580627.609999999</v>
      </c>
      <c r="AH183" s="120">
        <f t="shared" si="82"/>
        <v>0.59613220985024029</v>
      </c>
      <c r="AI183" s="120">
        <v>0.5656835077238388</v>
      </c>
      <c r="AJ183" s="120">
        <f t="shared" si="65"/>
        <v>3.0448702126401495E-2</v>
      </c>
      <c r="AK183" s="125">
        <f t="shared" si="56"/>
        <v>0.59613220985024029</v>
      </c>
      <c r="AL183" s="117"/>
      <c r="AM183" s="126"/>
      <c r="AN183" s="126"/>
      <c r="AO183" s="126"/>
      <c r="AP183" s="117"/>
      <c r="AQ183" s="126"/>
      <c r="AR183" s="126"/>
      <c r="AS183" s="127"/>
    </row>
    <row r="184" spans="1:45" s="56" customFormat="1" ht="66">
      <c r="A184" s="114" t="s">
        <v>113</v>
      </c>
      <c r="B184" s="115" t="s">
        <v>767</v>
      </c>
      <c r="C184" s="116" t="s">
        <v>617</v>
      </c>
      <c r="D184" s="116" t="s">
        <v>558</v>
      </c>
      <c r="E184" s="206">
        <v>11748927</v>
      </c>
      <c r="F184" s="117">
        <f>E184*$E$5</f>
        <v>8257192.8913079994</v>
      </c>
      <c r="G184" s="206">
        <v>11748927</v>
      </c>
      <c r="H184" s="122">
        <f>G184*$G$5</f>
        <v>8257192.8913079994</v>
      </c>
      <c r="I184" s="206">
        <v>11748927</v>
      </c>
      <c r="J184" s="117">
        <f>I184*$I$5</f>
        <v>8257192.8913079994</v>
      </c>
      <c r="K184" s="107" t="s">
        <v>469</v>
      </c>
      <c r="L184" s="117">
        <v>0</v>
      </c>
      <c r="M184" s="117"/>
      <c r="N184" s="118">
        <f t="shared" si="53"/>
        <v>8257192.8913079994</v>
      </c>
      <c r="O184" s="205">
        <v>9714344.129999999</v>
      </c>
      <c r="P184" s="135">
        <v>8257192.4199999999</v>
      </c>
      <c r="Q184" s="130">
        <f t="shared" si="78"/>
        <v>0.99999994292152239</v>
      </c>
      <c r="R184" s="131">
        <v>0.99999994292152239</v>
      </c>
      <c r="S184" s="130">
        <f t="shared" si="79"/>
        <v>0</v>
      </c>
      <c r="T184" s="130">
        <f t="shared" si="54"/>
        <v>0.99999994292152239</v>
      </c>
      <c r="U184" s="135">
        <v>8257192.4199999999</v>
      </c>
      <c r="V184" s="130">
        <f t="shared" si="80"/>
        <v>0.99999994292152239</v>
      </c>
      <c r="W184" s="130">
        <v>0.99999994292152239</v>
      </c>
      <c r="X184" s="130">
        <f t="shared" si="81"/>
        <v>0</v>
      </c>
      <c r="Y184" s="130">
        <f t="shared" si="55"/>
        <v>0.99999994292152239</v>
      </c>
      <c r="Z184" s="134">
        <v>6829192.4199999999</v>
      </c>
      <c r="AA184" s="134"/>
      <c r="AB184" s="134">
        <v>1428000</v>
      </c>
      <c r="AC184" s="134">
        <v>1428000</v>
      </c>
      <c r="AD184" s="134">
        <v>0</v>
      </c>
      <c r="AE184" s="134">
        <f t="shared" si="59"/>
        <v>8257192.4199999999</v>
      </c>
      <c r="AF184" s="135">
        <f t="shared" si="60"/>
        <v>8257192.4199999999</v>
      </c>
      <c r="AG184" s="284">
        <f>SUM(Z184:AB184)</f>
        <v>8257192.4199999999</v>
      </c>
      <c r="AH184" s="120">
        <f t="shared" si="82"/>
        <v>0.99999994292152239</v>
      </c>
      <c r="AI184" s="120">
        <v>0.99999994292152239</v>
      </c>
      <c r="AJ184" s="120">
        <f t="shared" si="65"/>
        <v>0</v>
      </c>
      <c r="AK184" s="125">
        <f t="shared" si="56"/>
        <v>0.99999994292152239</v>
      </c>
      <c r="AL184" s="117"/>
      <c r="AM184" s="126"/>
      <c r="AN184" s="126"/>
      <c r="AO184" s="126"/>
      <c r="AP184" s="117"/>
      <c r="AQ184" s="126"/>
      <c r="AR184" s="126"/>
      <c r="AS184" s="127"/>
    </row>
    <row r="185" spans="1:45" s="204" customFormat="1" ht="82.5">
      <c r="A185" s="104" t="s">
        <v>768</v>
      </c>
      <c r="B185" s="105" t="s">
        <v>769</v>
      </c>
      <c r="C185" s="106" t="s">
        <v>617</v>
      </c>
      <c r="D185" s="106" t="s">
        <v>770</v>
      </c>
      <c r="E185" s="109"/>
      <c r="F185" s="107">
        <f>F186+F194</f>
        <v>359266842.01624799</v>
      </c>
      <c r="G185" s="107"/>
      <c r="H185" s="107">
        <f>H186+H194</f>
        <v>359266842.01624799</v>
      </c>
      <c r="I185" s="107"/>
      <c r="J185" s="107">
        <f>J186+J194</f>
        <v>359266842.01624799</v>
      </c>
      <c r="K185" s="107" t="s">
        <v>469</v>
      </c>
      <c r="L185" s="107">
        <f>L186+L194</f>
        <v>33785455</v>
      </c>
      <c r="M185" s="107">
        <f>M186+M194</f>
        <v>33785455</v>
      </c>
      <c r="N185" s="86">
        <f t="shared" si="53"/>
        <v>393052297.01624799</v>
      </c>
      <c r="O185" s="207">
        <f>O186+O194</f>
        <v>229863390.13999999</v>
      </c>
      <c r="P185" s="137">
        <f>P186+P194</f>
        <v>355713413.85000002</v>
      </c>
      <c r="Q185" s="138">
        <f t="shared" si="78"/>
        <v>0.99010922314370653</v>
      </c>
      <c r="R185" s="138">
        <v>0.98543912453236804</v>
      </c>
      <c r="S185" s="138">
        <f t="shared" si="79"/>
        <v>4.6700986113384912E-3</v>
      </c>
      <c r="T185" s="138">
        <f t="shared" si="54"/>
        <v>0.90500276057487472</v>
      </c>
      <c r="U185" s="137">
        <f>U186+U194</f>
        <v>350038544.08999997</v>
      </c>
      <c r="V185" s="138">
        <f t="shared" si="80"/>
        <v>0.97431352730895593</v>
      </c>
      <c r="W185" s="186">
        <v>0.97363070509629857</v>
      </c>
      <c r="X185" s="138">
        <f t="shared" si="81"/>
        <v>6.8282221265736354E-4</v>
      </c>
      <c r="Y185" s="138">
        <f t="shared" si="55"/>
        <v>0.89056480968874752</v>
      </c>
      <c r="Z185" s="137">
        <f>Z186+Z194</f>
        <v>134805712.07000002</v>
      </c>
      <c r="AA185" s="137">
        <f>AA186+AA194</f>
        <v>0</v>
      </c>
      <c r="AB185" s="137">
        <f>AB186+AB194</f>
        <v>30248474.420000002</v>
      </c>
      <c r="AC185" s="137">
        <f>AC186+AC194</f>
        <v>12686143.559999999</v>
      </c>
      <c r="AD185" s="137">
        <f>AD186+AD194</f>
        <v>2325102.1199999996</v>
      </c>
      <c r="AE185" s="144">
        <f t="shared" si="59"/>
        <v>162729084.37</v>
      </c>
      <c r="AF185" s="135">
        <f t="shared" si="60"/>
        <v>147491855.63000003</v>
      </c>
      <c r="AG185" s="288">
        <f>SUM(Z185:AB185)</f>
        <v>165054186.49000001</v>
      </c>
      <c r="AH185" s="110">
        <f t="shared" si="82"/>
        <v>0.45941948208661954</v>
      </c>
      <c r="AI185" s="110">
        <v>0.41892215620386525</v>
      </c>
      <c r="AJ185" s="110">
        <f t="shared" si="65"/>
        <v>4.0497325882754287E-2</v>
      </c>
      <c r="AK185" s="89">
        <f t="shared" si="56"/>
        <v>0.41992932681723266</v>
      </c>
      <c r="AL185" s="117"/>
      <c r="AM185" s="126"/>
      <c r="AN185" s="126"/>
      <c r="AO185" s="126"/>
      <c r="AP185" s="117"/>
      <c r="AQ185" s="126"/>
      <c r="AR185" s="126"/>
      <c r="AS185" s="127"/>
    </row>
    <row r="186" spans="1:45" s="204" customFormat="1" ht="82.5">
      <c r="A186" s="104" t="s">
        <v>771</v>
      </c>
      <c r="B186" s="105" t="s">
        <v>772</v>
      </c>
      <c r="C186" s="106" t="s">
        <v>617</v>
      </c>
      <c r="D186" s="106" t="s">
        <v>773</v>
      </c>
      <c r="E186" s="109"/>
      <c r="F186" s="107">
        <f>F187+F188+F189+F192+F193</f>
        <v>231383309.82435599</v>
      </c>
      <c r="G186" s="107"/>
      <c r="H186" s="107">
        <f>H187+H188+H189+H192+H193</f>
        <v>231383309.82435599</v>
      </c>
      <c r="I186" s="107"/>
      <c r="J186" s="107">
        <f>J187+J188+J189+J192+J193</f>
        <v>231383309.82435599</v>
      </c>
      <c r="K186" s="107" t="s">
        <v>469</v>
      </c>
      <c r="L186" s="107">
        <f>L187+L188+L189+L192+L193</f>
        <v>21978843</v>
      </c>
      <c r="M186" s="107">
        <f>M187+M188+M189+M192+M193</f>
        <v>21978843</v>
      </c>
      <c r="N186" s="86">
        <f t="shared" si="53"/>
        <v>253362152.82435599</v>
      </c>
      <c r="O186" s="207">
        <f>O187+O188+O189+O192+O193</f>
        <v>157636403.07999998</v>
      </c>
      <c r="P186" s="137">
        <f>P187+P188+P189+P192+P193</f>
        <v>251198491.09000003</v>
      </c>
      <c r="Q186" s="138">
        <f t="shared" si="78"/>
        <v>1.0856379022354112</v>
      </c>
      <c r="R186" s="138">
        <v>1.0795110443342246</v>
      </c>
      <c r="S186" s="138">
        <f t="shared" si="79"/>
        <v>6.1268579011866109E-3</v>
      </c>
      <c r="T186" s="138">
        <f t="shared" si="54"/>
        <v>0.99146020149325176</v>
      </c>
      <c r="U186" s="137">
        <f>U187+U188+U189+U192+U193</f>
        <v>249765994.88999999</v>
      </c>
      <c r="V186" s="138">
        <f t="shared" si="80"/>
        <v>1.0794468930347585</v>
      </c>
      <c r="W186" s="186">
        <v>1.0795110443342246</v>
      </c>
      <c r="X186" s="138">
        <f t="shared" si="81"/>
        <v>-6.4151299466130851E-5</v>
      </c>
      <c r="Y186" s="138">
        <f t="shared" si="55"/>
        <v>0.98580625442960679</v>
      </c>
      <c r="Z186" s="137">
        <f>Z187+Z188+Z189+Z192+Z193</f>
        <v>93473586.180000022</v>
      </c>
      <c r="AA186" s="137">
        <f>AA187+AA188+AA189+AA192+AA193</f>
        <v>0</v>
      </c>
      <c r="AB186" s="137">
        <f>AB187+AB188+AB189+AB192+AB193</f>
        <v>20447560.789999999</v>
      </c>
      <c r="AC186" s="137">
        <f>AC187+AC188+AC189+AC192+AC193</f>
        <v>5632999.2699999996</v>
      </c>
      <c r="AD186" s="137">
        <f>AD187+AD188+AD189+AD192+AD193</f>
        <v>2241397.86</v>
      </c>
      <c r="AE186" s="144">
        <f t="shared" si="59"/>
        <v>111679749.11000001</v>
      </c>
      <c r="AF186" s="135">
        <f t="shared" si="60"/>
        <v>99106585.450000018</v>
      </c>
      <c r="AG186" s="279">
        <f>AG187+AG188+AG189+AG192+AG193</f>
        <v>113921146.97000001</v>
      </c>
      <c r="AH186" s="110">
        <f t="shared" si="82"/>
        <v>0.49234816053274549</v>
      </c>
      <c r="AI186" s="110">
        <v>0.44450608217193727</v>
      </c>
      <c r="AJ186" s="110">
        <f t="shared" si="65"/>
        <v>4.7842078360808227E-2</v>
      </c>
      <c r="AK186" s="89">
        <f t="shared" si="56"/>
        <v>0.44963758675107313</v>
      </c>
      <c r="AL186" s="117"/>
      <c r="AM186" s="126"/>
      <c r="AN186" s="126"/>
      <c r="AO186" s="126"/>
      <c r="AP186" s="117"/>
      <c r="AQ186" s="126"/>
      <c r="AR186" s="126"/>
      <c r="AS186" s="127"/>
    </row>
    <row r="187" spans="1:45" s="56" customFormat="1" ht="66">
      <c r="A187" s="114" t="s">
        <v>90</v>
      </c>
      <c r="B187" s="115" t="s">
        <v>774</v>
      </c>
      <c r="C187" s="116" t="s">
        <v>617</v>
      </c>
      <c r="D187" s="116" t="s">
        <v>773</v>
      </c>
      <c r="E187" s="206">
        <v>186789425</v>
      </c>
      <c r="F187" s="206">
        <f>E187*$E$5</f>
        <v>131276355.0477</v>
      </c>
      <c r="G187" s="206">
        <v>186789425</v>
      </c>
      <c r="H187" s="122">
        <f>G187*$G$5</f>
        <v>131276355.0477</v>
      </c>
      <c r="I187" s="206">
        <v>186789425</v>
      </c>
      <c r="J187" s="117">
        <f>I187*$I$5</f>
        <v>131276355.0477</v>
      </c>
      <c r="K187" s="107" t="s">
        <v>469</v>
      </c>
      <c r="L187" s="117">
        <v>0</v>
      </c>
      <c r="M187" s="117"/>
      <c r="N187" s="118">
        <f t="shared" si="53"/>
        <v>131276355.0477</v>
      </c>
      <c r="O187" s="205">
        <v>86356250.449999988</v>
      </c>
      <c r="P187" s="135">
        <v>131192856.41</v>
      </c>
      <c r="Q187" s="130">
        <f t="shared" si="78"/>
        <v>0.99936394762278657</v>
      </c>
      <c r="R187" s="131">
        <v>0.99936394762278657</v>
      </c>
      <c r="S187" s="130">
        <f t="shared" si="79"/>
        <v>0</v>
      </c>
      <c r="T187" s="130">
        <f t="shared" si="54"/>
        <v>0.99936394762278657</v>
      </c>
      <c r="U187" s="135">
        <v>131192856.41</v>
      </c>
      <c r="V187" s="130">
        <f t="shared" si="80"/>
        <v>0.99936394762278657</v>
      </c>
      <c r="W187" s="130">
        <v>0.99936394762278657</v>
      </c>
      <c r="X187" s="130">
        <f t="shared" si="81"/>
        <v>0</v>
      </c>
      <c r="Y187" s="130">
        <f t="shared" si="55"/>
        <v>0.99936394762278657</v>
      </c>
      <c r="Z187" s="134">
        <v>52931700.229999997</v>
      </c>
      <c r="AA187" s="134"/>
      <c r="AB187" s="134"/>
      <c r="AC187" s="134">
        <v>0</v>
      </c>
      <c r="AD187" s="134">
        <v>0</v>
      </c>
      <c r="AE187" s="134">
        <f t="shared" si="59"/>
        <v>52931700.229999997</v>
      </c>
      <c r="AF187" s="135">
        <f t="shared" si="60"/>
        <v>52931700.229999997</v>
      </c>
      <c r="AG187" s="284">
        <f t="shared" ref="AG187:AG193" si="83">SUM(Z187:AB187)</f>
        <v>52931700.229999997</v>
      </c>
      <c r="AH187" s="120">
        <f t="shared" si="82"/>
        <v>0.40320818026039013</v>
      </c>
      <c r="AI187" s="120">
        <v>0.36029026585034413</v>
      </c>
      <c r="AJ187" s="120">
        <f t="shared" si="65"/>
        <v>4.2917914410045999E-2</v>
      </c>
      <c r="AK187" s="125">
        <f t="shared" si="56"/>
        <v>0.40320818026039013</v>
      </c>
      <c r="AL187" s="117"/>
      <c r="AM187" s="126"/>
      <c r="AN187" s="126"/>
      <c r="AO187" s="126"/>
      <c r="AP187" s="117"/>
      <c r="AQ187" s="126"/>
      <c r="AR187" s="126"/>
      <c r="AS187" s="127"/>
    </row>
    <row r="188" spans="1:45" s="210" customFormat="1" ht="66">
      <c r="A188" s="114" t="s">
        <v>91</v>
      </c>
      <c r="B188" s="115" t="s">
        <v>775</v>
      </c>
      <c r="C188" s="116" t="s">
        <v>617</v>
      </c>
      <c r="D188" s="116" t="s">
        <v>773</v>
      </c>
      <c r="E188" s="206">
        <v>91395877</v>
      </c>
      <c r="F188" s="206">
        <f>E188*$E$5</f>
        <v>64233387.939107999</v>
      </c>
      <c r="G188" s="206">
        <v>91395877</v>
      </c>
      <c r="H188" s="122">
        <f>G188*$G$5</f>
        <v>64233387.939107999</v>
      </c>
      <c r="I188" s="206">
        <v>91395877</v>
      </c>
      <c r="J188" s="117">
        <f>I188*$I$5</f>
        <v>64233387.939107999</v>
      </c>
      <c r="K188" s="107" t="s">
        <v>469</v>
      </c>
      <c r="L188" s="117">
        <v>21978843</v>
      </c>
      <c r="M188" s="117">
        <f>L188</f>
        <v>21978843</v>
      </c>
      <c r="N188" s="118">
        <f t="shared" si="53"/>
        <v>86212230.939107999</v>
      </c>
      <c r="O188" s="205">
        <v>43648933.369999997</v>
      </c>
      <c r="P188" s="135">
        <v>85079932.25</v>
      </c>
      <c r="Q188" s="130">
        <f t="shared" si="78"/>
        <v>1.3245437455463833</v>
      </c>
      <c r="R188" s="131">
        <v>1.3024565227558786</v>
      </c>
      <c r="S188" s="130">
        <f t="shared" si="79"/>
        <v>2.2087222790504679E-2</v>
      </c>
      <c r="T188" s="130">
        <f t="shared" si="54"/>
        <v>0.9868661479145836</v>
      </c>
      <c r="U188" s="135">
        <v>83647436.049999997</v>
      </c>
      <c r="V188" s="130">
        <f t="shared" si="80"/>
        <v>1.3022423187345518</v>
      </c>
      <c r="W188" s="130">
        <v>1.3024565227558786</v>
      </c>
      <c r="X188" s="130">
        <f t="shared" si="81"/>
        <v>-2.1420402132688032E-4</v>
      </c>
      <c r="Y188" s="130">
        <f t="shared" si="55"/>
        <v>0.97025022016980944</v>
      </c>
      <c r="Z188" s="134">
        <v>26767487.970000003</v>
      </c>
      <c r="AA188" s="134"/>
      <c r="AB188" s="134">
        <v>14752656.99</v>
      </c>
      <c r="AC188" s="134">
        <v>3848281.01</v>
      </c>
      <c r="AD188" s="134">
        <v>2179641.4</v>
      </c>
      <c r="AE188" s="134">
        <f t="shared" si="59"/>
        <v>39340503.560000002</v>
      </c>
      <c r="AF188" s="135">
        <f t="shared" si="60"/>
        <v>30615768.980000004</v>
      </c>
      <c r="AG188" s="284">
        <f t="shared" si="83"/>
        <v>41520144.960000001</v>
      </c>
      <c r="AH188" s="120">
        <f t="shared" si="82"/>
        <v>0.64639506481209252</v>
      </c>
      <c r="AI188" s="120">
        <v>0.59125755527643753</v>
      </c>
      <c r="AJ188" s="120">
        <f t="shared" si="65"/>
        <v>5.5137509535654994E-2</v>
      </c>
      <c r="AK188" s="125">
        <f t="shared" si="56"/>
        <v>0.48160388042070068</v>
      </c>
      <c r="AL188" s="117"/>
      <c r="AM188" s="126"/>
      <c r="AN188" s="126"/>
      <c r="AO188" s="126"/>
      <c r="AP188" s="117"/>
      <c r="AQ188" s="126"/>
      <c r="AR188" s="126"/>
      <c r="AS188" s="127"/>
    </row>
    <row r="189" spans="1:45" s="211" customFormat="1" ht="82.5">
      <c r="A189" s="139" t="s">
        <v>776</v>
      </c>
      <c r="B189" s="140" t="s">
        <v>777</v>
      </c>
      <c r="C189" s="141" t="s">
        <v>617</v>
      </c>
      <c r="D189" s="141" t="s">
        <v>773</v>
      </c>
      <c r="E189" s="145"/>
      <c r="F189" s="206">
        <f>F190+F191</f>
        <v>18343908.288119998</v>
      </c>
      <c r="G189" s="117"/>
      <c r="H189" s="117">
        <f>H190+H191</f>
        <v>18343908.288119998</v>
      </c>
      <c r="I189" s="117"/>
      <c r="J189" s="117">
        <f>J190+J191</f>
        <v>18343908.288119998</v>
      </c>
      <c r="K189" s="107" t="s">
        <v>469</v>
      </c>
      <c r="L189" s="117">
        <f>L190+L191</f>
        <v>0</v>
      </c>
      <c r="M189" s="117">
        <f>M190+M191</f>
        <v>0</v>
      </c>
      <c r="N189" s="118">
        <f t="shared" si="53"/>
        <v>18343908.288119998</v>
      </c>
      <c r="O189" s="208">
        <f t="shared" ref="O189" si="84">O190+O191</f>
        <v>11465956.58</v>
      </c>
      <c r="P189" s="143">
        <f>P190+P191</f>
        <v>17396044.890000001</v>
      </c>
      <c r="Q189" s="130">
        <f t="shared" si="78"/>
        <v>0.94832816522889729</v>
      </c>
      <c r="R189" s="130">
        <v>0.94838728512761072</v>
      </c>
      <c r="S189" s="130">
        <f t="shared" si="79"/>
        <v>-5.9119898713433372E-5</v>
      </c>
      <c r="T189" s="130">
        <f t="shared" si="54"/>
        <v>0.94832816522889729</v>
      </c>
      <c r="U189" s="144">
        <f>U190+U191</f>
        <v>17396044.890000001</v>
      </c>
      <c r="V189" s="130">
        <f t="shared" si="80"/>
        <v>0.94832816522889729</v>
      </c>
      <c r="W189" s="131">
        <v>0.94838728512761072</v>
      </c>
      <c r="X189" s="130">
        <f t="shared" si="81"/>
        <v>-5.9119898713433372E-5</v>
      </c>
      <c r="Y189" s="130">
        <f t="shared" si="55"/>
        <v>0.94832816522889729</v>
      </c>
      <c r="Z189" s="144">
        <f t="shared" ref="Z189:AA189" si="85">Z190+Z191</f>
        <v>8643094.3200000003</v>
      </c>
      <c r="AA189" s="144">
        <f t="shared" si="85"/>
        <v>0</v>
      </c>
      <c r="AB189" s="144">
        <f>AB190+AB191</f>
        <v>2196691.83</v>
      </c>
      <c r="AC189" s="144">
        <f>AC190+AC191</f>
        <v>1784718.26</v>
      </c>
      <c r="AD189" s="144">
        <f>AD190+AD191</f>
        <v>61756.46</v>
      </c>
      <c r="AE189" s="144">
        <f t="shared" si="59"/>
        <v>10778029.689999999</v>
      </c>
      <c r="AF189" s="135">
        <f t="shared" si="60"/>
        <v>10427812.58</v>
      </c>
      <c r="AG189" s="284">
        <f t="shared" si="83"/>
        <v>10839786.15</v>
      </c>
      <c r="AH189" s="120">
        <f t="shared" si="82"/>
        <v>0.59092021066307521</v>
      </c>
      <c r="AI189" s="120">
        <v>0.5705402270669887</v>
      </c>
      <c r="AJ189" s="120">
        <f t="shared" si="65"/>
        <v>2.0379983596086504E-2</v>
      </c>
      <c r="AK189" s="125">
        <f t="shared" si="56"/>
        <v>0.59092021066307521</v>
      </c>
      <c r="AL189" s="117"/>
      <c r="AM189" s="126"/>
      <c r="AN189" s="126"/>
      <c r="AO189" s="126"/>
      <c r="AP189" s="117"/>
      <c r="AQ189" s="126"/>
      <c r="AR189" s="126"/>
      <c r="AS189" s="127"/>
    </row>
    <row r="190" spans="1:45" s="210" customFormat="1" ht="82.5">
      <c r="A190" s="114" t="s">
        <v>92</v>
      </c>
      <c r="B190" s="115" t="s">
        <v>778</v>
      </c>
      <c r="C190" s="116" t="s">
        <v>617</v>
      </c>
      <c r="D190" s="116" t="s">
        <v>773</v>
      </c>
      <c r="E190" s="206">
        <v>14394800</v>
      </c>
      <c r="F190" s="206">
        <f>E190*$E$5</f>
        <v>10116723.019199999</v>
      </c>
      <c r="G190" s="206">
        <v>14394800</v>
      </c>
      <c r="H190" s="122">
        <f>G190*$G$5</f>
        <v>10116723.019199999</v>
      </c>
      <c r="I190" s="206">
        <v>14394800</v>
      </c>
      <c r="J190" s="117">
        <f>I190*$I$5</f>
        <v>10116723.019199999</v>
      </c>
      <c r="K190" s="107" t="s">
        <v>469</v>
      </c>
      <c r="L190" s="117">
        <v>0</v>
      </c>
      <c r="M190" s="117"/>
      <c r="N190" s="118">
        <f t="shared" si="53"/>
        <v>10116723.019199999</v>
      </c>
      <c r="O190" s="205">
        <v>8334853.5800000001</v>
      </c>
      <c r="P190" s="135">
        <v>9168859.8900000006</v>
      </c>
      <c r="Q190" s="130">
        <f t="shared" si="78"/>
        <v>0.90630729660176534</v>
      </c>
      <c r="R190" s="131">
        <v>0.90641449435719879</v>
      </c>
      <c r="S190" s="130">
        <f t="shared" si="79"/>
        <v>-1.0719775543344134E-4</v>
      </c>
      <c r="T190" s="130">
        <v>0</v>
      </c>
      <c r="U190" s="135">
        <v>9168859.8900000006</v>
      </c>
      <c r="V190" s="130">
        <f t="shared" si="80"/>
        <v>0.90630729660176534</v>
      </c>
      <c r="W190" s="131">
        <v>0.90641449435719879</v>
      </c>
      <c r="X190" s="130">
        <f t="shared" si="81"/>
        <v>-1.0719775543344134E-4</v>
      </c>
      <c r="Y190" s="130">
        <f t="shared" si="55"/>
        <v>0.90630729660176534</v>
      </c>
      <c r="Z190" s="134">
        <v>6643089.2199999997</v>
      </c>
      <c r="AA190" s="134"/>
      <c r="AB190" s="134">
        <v>2196691.83</v>
      </c>
      <c r="AC190" s="134">
        <v>1784718.26</v>
      </c>
      <c r="AD190" s="134">
        <v>61756.46</v>
      </c>
      <c r="AE190" s="134">
        <f t="shared" si="59"/>
        <v>8778024.5899999999</v>
      </c>
      <c r="AF190" s="135">
        <f t="shared" si="60"/>
        <v>8427807.4800000004</v>
      </c>
      <c r="AG190" s="284">
        <f t="shared" si="83"/>
        <v>8839781.0500000007</v>
      </c>
      <c r="AH190" s="120">
        <f t="shared" si="82"/>
        <v>0.87377909163109868</v>
      </c>
      <c r="AI190" s="120">
        <v>0.83682556930074592</v>
      </c>
      <c r="AJ190" s="120">
        <f t="shared" si="65"/>
        <v>3.6953522330352762E-2</v>
      </c>
      <c r="AK190" s="125">
        <f t="shared" si="56"/>
        <v>0.87377909163109868</v>
      </c>
      <c r="AL190" s="117"/>
      <c r="AM190" s="126"/>
      <c r="AN190" s="126"/>
      <c r="AO190" s="126"/>
      <c r="AP190" s="117"/>
      <c r="AQ190" s="126"/>
      <c r="AR190" s="126"/>
      <c r="AS190" s="127"/>
    </row>
    <row r="191" spans="1:45" s="210" customFormat="1" ht="49.5">
      <c r="A191" s="114" t="s">
        <v>93</v>
      </c>
      <c r="B191" s="115" t="s">
        <v>779</v>
      </c>
      <c r="C191" s="116" t="s">
        <v>617</v>
      </c>
      <c r="D191" s="116" t="s">
        <v>773</v>
      </c>
      <c r="E191" s="206">
        <v>11706230</v>
      </c>
      <c r="F191" s="206">
        <f>E191*$E$5</f>
        <v>8227185.2689199997</v>
      </c>
      <c r="G191" s="122">
        <v>11706230</v>
      </c>
      <c r="H191" s="122">
        <f>G191*$G$5</f>
        <v>8227185.2689199997</v>
      </c>
      <c r="I191" s="206">
        <v>11706230</v>
      </c>
      <c r="J191" s="117">
        <f>I191*$I$5</f>
        <v>8227185.2689199997</v>
      </c>
      <c r="K191" s="107" t="s">
        <v>469</v>
      </c>
      <c r="L191" s="117">
        <v>0</v>
      </c>
      <c r="M191" s="117"/>
      <c r="N191" s="118">
        <f t="shared" si="53"/>
        <v>8227185.2689199997</v>
      </c>
      <c r="O191" s="205">
        <v>3131103</v>
      </c>
      <c r="P191" s="135">
        <v>8227185</v>
      </c>
      <c r="Q191" s="130">
        <f t="shared" si="78"/>
        <v>0.9999999673132437</v>
      </c>
      <c r="R191" s="131">
        <v>0.9999999673132437</v>
      </c>
      <c r="S191" s="130">
        <f t="shared" si="79"/>
        <v>0</v>
      </c>
      <c r="T191" s="130">
        <f t="shared" ref="T191:T254" si="86">P191/N191</f>
        <v>0.9999999673132437</v>
      </c>
      <c r="U191" s="135">
        <v>8227185</v>
      </c>
      <c r="V191" s="130">
        <f t="shared" si="80"/>
        <v>0.9999999673132437</v>
      </c>
      <c r="W191" s="130">
        <v>0.9999999673132437</v>
      </c>
      <c r="X191" s="130">
        <f t="shared" si="81"/>
        <v>0</v>
      </c>
      <c r="Y191" s="130">
        <f t="shared" si="55"/>
        <v>0.9999999673132437</v>
      </c>
      <c r="Z191" s="134">
        <v>2000005.1</v>
      </c>
      <c r="AA191" s="134">
        <v>0</v>
      </c>
      <c r="AB191" s="134"/>
      <c r="AC191" s="134">
        <v>0</v>
      </c>
      <c r="AD191" s="134">
        <v>0</v>
      </c>
      <c r="AE191" s="134">
        <f t="shared" si="59"/>
        <v>2000005.1</v>
      </c>
      <c r="AF191" s="135">
        <f t="shared" si="60"/>
        <v>2000005.1</v>
      </c>
      <c r="AG191" s="284">
        <f t="shared" si="83"/>
        <v>2000005.1</v>
      </c>
      <c r="AH191" s="120">
        <f t="shared" si="82"/>
        <v>0.24309712673609757</v>
      </c>
      <c r="AI191" s="120">
        <v>0.24309712673609757</v>
      </c>
      <c r="AJ191" s="120">
        <f t="shared" si="65"/>
        <v>0</v>
      </c>
      <c r="AK191" s="125">
        <f t="shared" si="56"/>
        <v>0.24309712673609757</v>
      </c>
      <c r="AL191" s="117"/>
      <c r="AM191" s="126"/>
      <c r="AN191" s="126"/>
      <c r="AO191" s="126"/>
      <c r="AP191" s="117"/>
      <c r="AQ191" s="126"/>
      <c r="AR191" s="126"/>
      <c r="AS191" s="127"/>
    </row>
    <row r="192" spans="1:45" s="210" customFormat="1" ht="66">
      <c r="A192" s="114" t="s">
        <v>780</v>
      </c>
      <c r="B192" s="115" t="s">
        <v>781</v>
      </c>
      <c r="C192" s="116" t="s">
        <v>617</v>
      </c>
      <c r="D192" s="116" t="s">
        <v>773</v>
      </c>
      <c r="E192" s="206">
        <v>4942457</v>
      </c>
      <c r="F192" s="206">
        <f>E192*$E$5</f>
        <v>3473578.5494280001</v>
      </c>
      <c r="G192" s="206">
        <v>4942457</v>
      </c>
      <c r="H192" s="122">
        <f>G192*$G$5</f>
        <v>3473578.5494280001</v>
      </c>
      <c r="I192" s="206">
        <v>4942457</v>
      </c>
      <c r="J192" s="117">
        <f>I192*$I$5</f>
        <v>3473578.5494280001</v>
      </c>
      <c r="K192" s="107" t="s">
        <v>469</v>
      </c>
      <c r="L192" s="117">
        <v>0</v>
      </c>
      <c r="M192" s="117"/>
      <c r="N192" s="118">
        <f t="shared" si="53"/>
        <v>3473578.5494280001</v>
      </c>
      <c r="O192" s="205">
        <v>3381668.29</v>
      </c>
      <c r="P192" s="135">
        <v>3473577.68</v>
      </c>
      <c r="Q192" s="130">
        <f t="shared" si="78"/>
        <v>0.99999974970250782</v>
      </c>
      <c r="R192" s="131">
        <v>0.99999974970250782</v>
      </c>
      <c r="S192" s="130">
        <f t="shared" si="79"/>
        <v>0</v>
      </c>
      <c r="T192" s="130">
        <f t="shared" si="86"/>
        <v>0.99999974970250782</v>
      </c>
      <c r="U192" s="135">
        <v>3473577.68</v>
      </c>
      <c r="V192" s="130">
        <f t="shared" si="80"/>
        <v>0.99999974970250782</v>
      </c>
      <c r="W192" s="131">
        <v>0.99999974970250782</v>
      </c>
      <c r="X192" s="130">
        <f t="shared" si="81"/>
        <v>0</v>
      </c>
      <c r="Y192" s="130">
        <f t="shared" si="55"/>
        <v>0.99999974970250782</v>
      </c>
      <c r="Z192" s="134">
        <f>U192</f>
        <v>3473577.68</v>
      </c>
      <c r="AA192" s="134"/>
      <c r="AB192" s="134"/>
      <c r="AC192" s="134">
        <v>0</v>
      </c>
      <c r="AD192" s="134">
        <v>0</v>
      </c>
      <c r="AE192" s="134">
        <f t="shared" si="59"/>
        <v>3473577.68</v>
      </c>
      <c r="AF192" s="135">
        <f t="shared" si="60"/>
        <v>3473577.68</v>
      </c>
      <c r="AG192" s="284">
        <f t="shared" si="83"/>
        <v>3473577.68</v>
      </c>
      <c r="AH192" s="120">
        <f t="shared" si="82"/>
        <v>0.99999974970250782</v>
      </c>
      <c r="AI192" s="120">
        <v>0.99999974970250782</v>
      </c>
      <c r="AJ192" s="120">
        <f>AH192-AI192</f>
        <v>0</v>
      </c>
      <c r="AK192" s="125">
        <f t="shared" si="56"/>
        <v>0.99999974970250782</v>
      </c>
      <c r="AL192" s="117"/>
      <c r="AM192" s="126"/>
      <c r="AN192" s="126"/>
      <c r="AO192" s="126"/>
      <c r="AP192" s="117"/>
      <c r="AQ192" s="126"/>
      <c r="AR192" s="126"/>
      <c r="AS192" s="127"/>
    </row>
    <row r="193" spans="1:45" s="210" customFormat="1" ht="49.5">
      <c r="A193" s="114" t="s">
        <v>95</v>
      </c>
      <c r="B193" s="115" t="s">
        <v>782</v>
      </c>
      <c r="C193" s="116" t="s">
        <v>617</v>
      </c>
      <c r="D193" s="116" t="s">
        <v>773</v>
      </c>
      <c r="E193" s="206">
        <v>20000000</v>
      </c>
      <c r="F193" s="206">
        <f>E193*$E$5</f>
        <v>14056080</v>
      </c>
      <c r="G193" s="122">
        <v>20000000</v>
      </c>
      <c r="H193" s="122">
        <f>G193*$G$5</f>
        <v>14056080</v>
      </c>
      <c r="I193" s="206">
        <v>20000000</v>
      </c>
      <c r="J193" s="117">
        <f>I193*$I$5</f>
        <v>14056080</v>
      </c>
      <c r="K193" s="107" t="s">
        <v>469</v>
      </c>
      <c r="L193" s="117">
        <v>0</v>
      </c>
      <c r="M193" s="117"/>
      <c r="N193" s="118">
        <f t="shared" si="53"/>
        <v>14056080</v>
      </c>
      <c r="O193" s="205">
        <v>12783594.390000001</v>
      </c>
      <c r="P193" s="135">
        <v>14056079.859999999</v>
      </c>
      <c r="Q193" s="130">
        <f t="shared" si="78"/>
        <v>0.99999999003989726</v>
      </c>
      <c r="R193" s="131">
        <v>0.99999999003989726</v>
      </c>
      <c r="S193" s="130">
        <f t="shared" si="79"/>
        <v>0</v>
      </c>
      <c r="T193" s="130">
        <f t="shared" si="86"/>
        <v>0.99999999003989726</v>
      </c>
      <c r="U193" s="135">
        <v>14056079.859999999</v>
      </c>
      <c r="V193" s="130">
        <f t="shared" si="80"/>
        <v>0.99999999003989726</v>
      </c>
      <c r="W193" s="131">
        <v>0.99999999003989726</v>
      </c>
      <c r="X193" s="130">
        <f t="shared" si="81"/>
        <v>0</v>
      </c>
      <c r="Y193" s="130">
        <f t="shared" si="55"/>
        <v>0.99999999003989726</v>
      </c>
      <c r="Z193" s="134">
        <v>1657725.98</v>
      </c>
      <c r="AA193" s="134"/>
      <c r="AB193" s="134">
        <v>3498211.97</v>
      </c>
      <c r="AC193" s="134">
        <v>0</v>
      </c>
      <c r="AD193" s="134">
        <v>0</v>
      </c>
      <c r="AE193" s="134">
        <f t="shared" si="59"/>
        <v>5155937.95</v>
      </c>
      <c r="AF193" s="135">
        <f t="shared" si="60"/>
        <v>1657725.98</v>
      </c>
      <c r="AG193" s="284">
        <f t="shared" si="83"/>
        <v>5155937.95</v>
      </c>
      <c r="AH193" s="120">
        <f t="shared" si="82"/>
        <v>0.36681193832135278</v>
      </c>
      <c r="AI193" s="120">
        <v>0.25865707010773986</v>
      </c>
      <c r="AJ193" s="120">
        <f t="shared" si="65"/>
        <v>0.10815486821361292</v>
      </c>
      <c r="AK193" s="125">
        <f t="shared" si="56"/>
        <v>0.36681193832135278</v>
      </c>
      <c r="AL193" s="117"/>
      <c r="AM193" s="126"/>
      <c r="AN193" s="126"/>
      <c r="AO193" s="126"/>
      <c r="AP193" s="117"/>
      <c r="AQ193" s="126"/>
      <c r="AR193" s="126"/>
      <c r="AS193" s="127"/>
    </row>
    <row r="194" spans="1:45" s="204" customFormat="1" ht="66">
      <c r="A194" s="104" t="s">
        <v>783</v>
      </c>
      <c r="B194" s="105" t="s">
        <v>784</v>
      </c>
      <c r="C194" s="106" t="s">
        <v>617</v>
      </c>
      <c r="D194" s="106" t="s">
        <v>770</v>
      </c>
      <c r="E194" s="109"/>
      <c r="F194" s="107">
        <f>F195+F198+F199+F200</f>
        <v>127883532.19189201</v>
      </c>
      <c r="G194" s="107"/>
      <c r="H194" s="107">
        <f>H195+H198+H199+H200</f>
        <v>127883532.19189201</v>
      </c>
      <c r="I194" s="107"/>
      <c r="J194" s="107">
        <f>J195+J198+J199+J200</f>
        <v>127883532.19189201</v>
      </c>
      <c r="K194" s="107" t="s">
        <v>469</v>
      </c>
      <c r="L194" s="107">
        <f>L195+L198+L199+L200</f>
        <v>11806612</v>
      </c>
      <c r="M194" s="107">
        <f>M195+M198+M199+M200</f>
        <v>11806612</v>
      </c>
      <c r="N194" s="86">
        <f t="shared" si="53"/>
        <v>139690144.19189203</v>
      </c>
      <c r="O194" s="207">
        <f t="shared" ref="O194" si="87">O195+O198+O199+O200</f>
        <v>72226987.060000002</v>
      </c>
      <c r="P194" s="137">
        <f>P195+P198+P199+P200</f>
        <v>104514922.76000001</v>
      </c>
      <c r="Q194" s="138">
        <f t="shared" si="78"/>
        <v>0.81726646870508002</v>
      </c>
      <c r="R194" s="138">
        <v>0.81523212608456475</v>
      </c>
      <c r="S194" s="138">
        <f t="shared" si="79"/>
        <v>2.0343426205152726E-3</v>
      </c>
      <c r="T194" s="138">
        <f t="shared" si="86"/>
        <v>0.74819110084408025</v>
      </c>
      <c r="U194" s="137">
        <f>U195+U198+U199+U200</f>
        <v>100272549.2</v>
      </c>
      <c r="V194" s="138">
        <f t="shared" si="80"/>
        <v>0.78409274033453247</v>
      </c>
      <c r="W194" s="186">
        <v>0.78205839771401719</v>
      </c>
      <c r="X194" s="138">
        <f t="shared" si="81"/>
        <v>2.0343426205152726E-3</v>
      </c>
      <c r="Y194" s="138">
        <f t="shared" si="55"/>
        <v>0.71782121623595607</v>
      </c>
      <c r="Z194" s="137">
        <f t="shared" ref="Z194:AD194" si="88">Z195+Z198+Z199+Z200</f>
        <v>41332125.889999993</v>
      </c>
      <c r="AA194" s="137">
        <f t="shared" si="88"/>
        <v>0</v>
      </c>
      <c r="AB194" s="137">
        <f t="shared" si="88"/>
        <v>9800913.6300000008</v>
      </c>
      <c r="AC194" s="137">
        <f t="shared" si="88"/>
        <v>7053144.29</v>
      </c>
      <c r="AD194" s="137">
        <f t="shared" si="88"/>
        <v>83704.259999999995</v>
      </c>
      <c r="AE194" s="144">
        <f t="shared" si="59"/>
        <v>51049335.259999998</v>
      </c>
      <c r="AF194" s="135">
        <f t="shared" si="60"/>
        <v>48385270.179999992</v>
      </c>
      <c r="AG194" s="279">
        <f>AG195+AG198+AG199+AG200</f>
        <v>51133039.519999996</v>
      </c>
      <c r="AH194" s="110">
        <f t="shared" si="82"/>
        <v>0.39984068819176627</v>
      </c>
      <c r="AI194" s="110">
        <v>0.37263243173870747</v>
      </c>
      <c r="AJ194" s="110">
        <f t="shared" si="65"/>
        <v>2.7208256453058799E-2</v>
      </c>
      <c r="AK194" s="89">
        <f t="shared" si="56"/>
        <v>0.36604615032653026</v>
      </c>
      <c r="AL194" s="117"/>
      <c r="AM194" s="126"/>
      <c r="AN194" s="126"/>
      <c r="AO194" s="126"/>
      <c r="AP194" s="117"/>
      <c r="AQ194" s="126"/>
      <c r="AR194" s="126"/>
      <c r="AS194" s="127"/>
    </row>
    <row r="195" spans="1:45" s="204" customFormat="1" ht="115.5">
      <c r="A195" s="139" t="s">
        <v>785</v>
      </c>
      <c r="B195" s="140" t="s">
        <v>786</v>
      </c>
      <c r="C195" s="141" t="s">
        <v>617</v>
      </c>
      <c r="D195" s="141" t="s">
        <v>468</v>
      </c>
      <c r="E195" s="145"/>
      <c r="F195" s="117">
        <f>F196+F197</f>
        <v>109144798.45582801</v>
      </c>
      <c r="G195" s="117"/>
      <c r="H195" s="117">
        <f>H196+H197</f>
        <v>109144798.45582801</v>
      </c>
      <c r="I195" s="117"/>
      <c r="J195" s="117">
        <f>J196+J197</f>
        <v>109144798.45582801</v>
      </c>
      <c r="K195" s="107" t="s">
        <v>469</v>
      </c>
      <c r="L195" s="117">
        <f>L196+L197</f>
        <v>11806612</v>
      </c>
      <c r="M195" s="117">
        <f>M196+M197</f>
        <v>11806612</v>
      </c>
      <c r="N195" s="118">
        <f t="shared" si="53"/>
        <v>120951410.45582801</v>
      </c>
      <c r="O195" s="208">
        <f t="shared" ref="O195" si="89">O196+O197</f>
        <v>72077167.060000002</v>
      </c>
      <c r="P195" s="143">
        <f>P196+P197</f>
        <v>88326189.760000005</v>
      </c>
      <c r="Q195" s="130">
        <f t="shared" si="78"/>
        <v>0.80925697797450691</v>
      </c>
      <c r="R195" s="130">
        <v>0.80687336534540588</v>
      </c>
      <c r="S195" s="130">
        <f t="shared" si="79"/>
        <v>2.3836126291010284E-3</v>
      </c>
      <c r="T195" s="130">
        <f t="shared" si="86"/>
        <v>0.73026175905784185</v>
      </c>
      <c r="U195" s="144">
        <f>U196+U197</f>
        <v>84083816.200000003</v>
      </c>
      <c r="V195" s="130">
        <f t="shared" si="80"/>
        <v>0.77038775452070274</v>
      </c>
      <c r="W195" s="131">
        <v>0.76800414189160171</v>
      </c>
      <c r="X195" s="130">
        <f t="shared" si="81"/>
        <v>2.3836126291010284E-3</v>
      </c>
      <c r="Y195" s="130">
        <f t="shared" si="55"/>
        <v>0.69518673559170918</v>
      </c>
      <c r="Z195" s="144">
        <f t="shared" ref="Z195:AD195" si="90">Z196+Z197</f>
        <v>41332125.889999993</v>
      </c>
      <c r="AA195" s="144">
        <f t="shared" si="90"/>
        <v>0</v>
      </c>
      <c r="AB195" s="144">
        <f t="shared" si="90"/>
        <v>9800913.6300000008</v>
      </c>
      <c r="AC195" s="144">
        <f t="shared" si="90"/>
        <v>7053144.29</v>
      </c>
      <c r="AD195" s="144">
        <f t="shared" si="90"/>
        <v>83704.259999999995</v>
      </c>
      <c r="AE195" s="144">
        <f t="shared" si="59"/>
        <v>51049335.259999998</v>
      </c>
      <c r="AF195" s="135">
        <f t="shared" si="60"/>
        <v>48385270.179999992</v>
      </c>
      <c r="AG195" s="283">
        <f>AG196+AG197</f>
        <v>51133039.519999996</v>
      </c>
      <c r="AH195" s="120">
        <f t="shared" si="82"/>
        <v>0.46848810244213374</v>
      </c>
      <c r="AI195" s="120">
        <v>0.43660854437589958</v>
      </c>
      <c r="AJ195" s="120">
        <f t="shared" si="65"/>
        <v>3.1879558066234159E-2</v>
      </c>
      <c r="AK195" s="125">
        <f t="shared" si="56"/>
        <v>0.42275686845895866</v>
      </c>
      <c r="AL195" s="117"/>
      <c r="AM195" s="126"/>
      <c r="AN195" s="126"/>
      <c r="AO195" s="126"/>
      <c r="AP195" s="117"/>
      <c r="AQ195" s="126"/>
      <c r="AR195" s="126"/>
      <c r="AS195" s="127"/>
    </row>
    <row r="196" spans="1:45" s="56" customFormat="1" ht="99">
      <c r="A196" s="114" t="s">
        <v>105</v>
      </c>
      <c r="B196" s="115" t="s">
        <v>787</v>
      </c>
      <c r="C196" s="116" t="s">
        <v>617</v>
      </c>
      <c r="D196" s="116" t="s">
        <v>606</v>
      </c>
      <c r="E196" s="206">
        <v>137940020</v>
      </c>
      <c r="F196" s="117">
        <f>E196*$E$5</f>
        <v>96944797.816080004</v>
      </c>
      <c r="G196" s="206">
        <v>137940020</v>
      </c>
      <c r="H196" s="122">
        <f>G196*$G$5</f>
        <v>96944797.816080004</v>
      </c>
      <c r="I196" s="206">
        <v>137940020</v>
      </c>
      <c r="J196" s="117">
        <f>I196*$I$5</f>
        <v>96944797.816080004</v>
      </c>
      <c r="K196" s="107" t="s">
        <v>469</v>
      </c>
      <c r="L196" s="117">
        <v>11806612</v>
      </c>
      <c r="M196" s="117">
        <f>L196</f>
        <v>11806612</v>
      </c>
      <c r="N196" s="118">
        <f t="shared" si="53"/>
        <v>108751409.81608</v>
      </c>
      <c r="O196" s="205">
        <v>62459773.060000002</v>
      </c>
      <c r="P196" s="135">
        <v>77441543.5</v>
      </c>
      <c r="Q196" s="130">
        <f t="shared" si="78"/>
        <v>0.79882103263466664</v>
      </c>
      <c r="R196" s="131">
        <v>0.79882103263466664</v>
      </c>
      <c r="S196" s="130">
        <f t="shared" si="79"/>
        <v>0</v>
      </c>
      <c r="T196" s="130">
        <f t="shared" si="86"/>
        <v>0.71209691562591104</v>
      </c>
      <c r="U196" s="135">
        <v>73199169.939999998</v>
      </c>
      <c r="V196" s="130">
        <f t="shared" si="80"/>
        <v>0.7550603187483117</v>
      </c>
      <c r="W196" s="130">
        <v>0.7550603187483117</v>
      </c>
      <c r="X196" s="130">
        <f t="shared" si="81"/>
        <v>0</v>
      </c>
      <c r="Y196" s="130">
        <f t="shared" si="55"/>
        <v>0.67308708975629994</v>
      </c>
      <c r="Z196" s="134">
        <v>40752218.479999997</v>
      </c>
      <c r="AA196" s="134"/>
      <c r="AB196" s="134"/>
      <c r="AC196" s="134">
        <v>0</v>
      </c>
      <c r="AD196" s="134">
        <v>0</v>
      </c>
      <c r="AE196" s="134">
        <f t="shared" si="59"/>
        <v>40752218.479999997</v>
      </c>
      <c r="AF196" s="135">
        <f t="shared" si="60"/>
        <v>40752218.479999997</v>
      </c>
      <c r="AG196" s="284">
        <f>SUM(Z196:AB196)</f>
        <v>40752218.479999997</v>
      </c>
      <c r="AH196" s="120">
        <f t="shared" si="82"/>
        <v>0.42036519130519578</v>
      </c>
      <c r="AI196" s="120">
        <v>0.3905327212278763</v>
      </c>
      <c r="AJ196" s="120">
        <f t="shared" si="65"/>
        <v>2.9832470077319484E-2</v>
      </c>
      <c r="AK196" s="125">
        <f t="shared" si="56"/>
        <v>0.374728185583249</v>
      </c>
      <c r="AL196" s="117"/>
      <c r="AM196" s="126"/>
      <c r="AN196" s="126"/>
      <c r="AO196" s="126"/>
      <c r="AP196" s="117"/>
      <c r="AQ196" s="126"/>
      <c r="AR196" s="126"/>
      <c r="AS196" s="127"/>
    </row>
    <row r="197" spans="1:45" s="56" customFormat="1" ht="49.5">
      <c r="A197" s="114" t="s">
        <v>88</v>
      </c>
      <c r="B197" s="115" t="s">
        <v>788</v>
      </c>
      <c r="C197" s="116" t="s">
        <v>617</v>
      </c>
      <c r="D197" s="116" t="s">
        <v>475</v>
      </c>
      <c r="E197" s="206">
        <v>17359037</v>
      </c>
      <c r="F197" s="117">
        <f>E197*$E$5</f>
        <v>12200000.639748</v>
      </c>
      <c r="G197" s="206">
        <v>17359037</v>
      </c>
      <c r="H197" s="122">
        <f>G197*$G$5</f>
        <v>12200000.639748</v>
      </c>
      <c r="I197" s="206">
        <v>17359037</v>
      </c>
      <c r="J197" s="117">
        <f>I197*$I$5</f>
        <v>12200000.639748</v>
      </c>
      <c r="K197" s="107" t="s">
        <v>469</v>
      </c>
      <c r="L197" s="117">
        <v>0</v>
      </c>
      <c r="M197" s="117"/>
      <c r="N197" s="118">
        <f t="shared" si="53"/>
        <v>12200000.639748</v>
      </c>
      <c r="O197" s="205">
        <v>9617394</v>
      </c>
      <c r="P197" s="135">
        <v>10884646.26</v>
      </c>
      <c r="Q197" s="130">
        <f t="shared" si="78"/>
        <v>0.89218407288746093</v>
      </c>
      <c r="R197" s="131">
        <v>0.8708595723663386</v>
      </c>
      <c r="S197" s="130">
        <f t="shared" si="79"/>
        <v>2.1324500521122336E-2</v>
      </c>
      <c r="T197" s="130">
        <f t="shared" si="86"/>
        <v>0.89218407288746093</v>
      </c>
      <c r="U197" s="135">
        <v>10884646.26</v>
      </c>
      <c r="V197" s="130">
        <f t="shared" si="80"/>
        <v>0.89218407288746093</v>
      </c>
      <c r="W197" s="130">
        <v>0.8708595723663386</v>
      </c>
      <c r="X197" s="130">
        <f t="shared" si="81"/>
        <v>2.1324500521122336E-2</v>
      </c>
      <c r="Y197" s="130">
        <f t="shared" si="55"/>
        <v>0.89218407288746093</v>
      </c>
      <c r="Z197" s="134">
        <v>579907.40999999992</v>
      </c>
      <c r="AA197" s="134"/>
      <c r="AB197" s="134">
        <v>9800913.6300000008</v>
      </c>
      <c r="AC197" s="134">
        <v>7053144.29</v>
      </c>
      <c r="AD197" s="134">
        <v>83704.259999999995</v>
      </c>
      <c r="AE197" s="134">
        <f t="shared" si="59"/>
        <v>10297116.780000001</v>
      </c>
      <c r="AF197" s="135">
        <f t="shared" si="60"/>
        <v>7633051.7000000002</v>
      </c>
      <c r="AG197" s="284">
        <f>SUM(Z197:AB197)</f>
        <v>10380821.040000001</v>
      </c>
      <c r="AH197" s="120">
        <f t="shared" si="82"/>
        <v>0.85088692587268788</v>
      </c>
      <c r="AI197" s="120">
        <v>0.802740603807238</v>
      </c>
      <c r="AJ197" s="120">
        <f t="shared" si="65"/>
        <v>4.8146322065449887E-2</v>
      </c>
      <c r="AK197" s="125">
        <f t="shared" si="56"/>
        <v>0.85088692587268788</v>
      </c>
      <c r="AL197" s="117"/>
      <c r="AM197" s="126"/>
      <c r="AN197" s="126"/>
      <c r="AO197" s="126"/>
      <c r="AP197" s="117"/>
      <c r="AQ197" s="126"/>
      <c r="AR197" s="126"/>
      <c r="AS197" s="127"/>
    </row>
    <row r="198" spans="1:45" s="56" customFormat="1" ht="66">
      <c r="A198" s="114" t="s">
        <v>106</v>
      </c>
      <c r="B198" s="115" t="s">
        <v>789</v>
      </c>
      <c r="C198" s="116" t="s">
        <v>617</v>
      </c>
      <c r="D198" s="116" t="s">
        <v>606</v>
      </c>
      <c r="E198" s="206">
        <v>3628324</v>
      </c>
      <c r="F198" s="117">
        <f>E198*$E$5</f>
        <v>2550000.6204960002</v>
      </c>
      <c r="G198" s="122">
        <v>3628324</v>
      </c>
      <c r="H198" s="122">
        <f>G198*$G$5</f>
        <v>2550000.6204960002</v>
      </c>
      <c r="I198" s="206">
        <v>3628324</v>
      </c>
      <c r="J198" s="117">
        <f>I198*$I$5</f>
        <v>2550000.6204960002</v>
      </c>
      <c r="K198" s="107" t="s">
        <v>469</v>
      </c>
      <c r="L198" s="117">
        <v>0</v>
      </c>
      <c r="M198" s="117"/>
      <c r="N198" s="118">
        <f t="shared" si="53"/>
        <v>2550000.6204960002</v>
      </c>
      <c r="O198" s="205">
        <v>0</v>
      </c>
      <c r="P198" s="135">
        <v>0</v>
      </c>
      <c r="Q198" s="130">
        <f t="shared" si="78"/>
        <v>0</v>
      </c>
      <c r="R198" s="131">
        <v>0</v>
      </c>
      <c r="S198" s="130">
        <f t="shared" si="79"/>
        <v>0</v>
      </c>
      <c r="T198" s="130">
        <f t="shared" si="86"/>
        <v>0</v>
      </c>
      <c r="U198" s="135">
        <v>0</v>
      </c>
      <c r="V198" s="130">
        <f t="shared" si="80"/>
        <v>0</v>
      </c>
      <c r="W198" s="131">
        <v>0</v>
      </c>
      <c r="X198" s="130">
        <f t="shared" si="81"/>
        <v>0</v>
      </c>
      <c r="Y198" s="130">
        <f t="shared" si="55"/>
        <v>0</v>
      </c>
      <c r="Z198" s="134">
        <v>0</v>
      </c>
      <c r="AA198" s="134">
        <v>0</v>
      </c>
      <c r="AB198" s="134">
        <v>0</v>
      </c>
      <c r="AC198" s="134">
        <v>0</v>
      </c>
      <c r="AD198" s="134">
        <v>0</v>
      </c>
      <c r="AE198" s="134">
        <f t="shared" si="59"/>
        <v>0</v>
      </c>
      <c r="AF198" s="135">
        <f t="shared" si="60"/>
        <v>0</v>
      </c>
      <c r="AG198" s="284">
        <f>SUM(Z198:AB198)</f>
        <v>0</v>
      </c>
      <c r="AH198" s="120">
        <f t="shared" si="82"/>
        <v>0</v>
      </c>
      <c r="AI198" s="120">
        <v>0</v>
      </c>
      <c r="AJ198" s="120">
        <f t="shared" si="65"/>
        <v>0</v>
      </c>
      <c r="AK198" s="125">
        <f t="shared" si="56"/>
        <v>0</v>
      </c>
      <c r="AL198" s="117"/>
      <c r="AM198" s="126"/>
      <c r="AN198" s="126"/>
      <c r="AO198" s="126"/>
      <c r="AP198" s="117"/>
      <c r="AQ198" s="126"/>
      <c r="AR198" s="126"/>
      <c r="AS198" s="127"/>
    </row>
    <row r="199" spans="1:45" s="56" customFormat="1" ht="165">
      <c r="A199" s="114" t="s">
        <v>96</v>
      </c>
      <c r="B199" s="115" t="s">
        <v>790</v>
      </c>
      <c r="C199" s="116" t="s">
        <v>617</v>
      </c>
      <c r="D199" s="116" t="s">
        <v>773</v>
      </c>
      <c r="E199" s="206">
        <v>23034492</v>
      </c>
      <c r="F199" s="117">
        <f>E199*$E$5</f>
        <v>16188733.115567999</v>
      </c>
      <c r="G199" s="206">
        <v>23034492</v>
      </c>
      <c r="H199" s="122">
        <f>G199*$G$5</f>
        <v>16188733.115567999</v>
      </c>
      <c r="I199" s="206">
        <v>23034492</v>
      </c>
      <c r="J199" s="117">
        <f>I199*$I$5</f>
        <v>16188733.115567999</v>
      </c>
      <c r="K199" s="107" t="s">
        <v>469</v>
      </c>
      <c r="L199" s="117">
        <v>0</v>
      </c>
      <c r="M199" s="117"/>
      <c r="N199" s="118">
        <f t="shared" si="53"/>
        <v>16188733.115567999</v>
      </c>
      <c r="O199" s="205">
        <v>149820</v>
      </c>
      <c r="P199" s="135">
        <v>16188733</v>
      </c>
      <c r="Q199" s="130">
        <f t="shared" si="78"/>
        <v>0.999999992861208</v>
      </c>
      <c r="R199" s="131">
        <v>0.999999992861208</v>
      </c>
      <c r="S199" s="130">
        <f t="shared" si="79"/>
        <v>0</v>
      </c>
      <c r="T199" s="130">
        <f t="shared" si="86"/>
        <v>0.999999992861208</v>
      </c>
      <c r="U199" s="135">
        <v>16188733</v>
      </c>
      <c r="V199" s="130">
        <f t="shared" si="80"/>
        <v>0.999999992861208</v>
      </c>
      <c r="W199" s="131">
        <v>0.999999992861208</v>
      </c>
      <c r="X199" s="130">
        <f t="shared" si="81"/>
        <v>0</v>
      </c>
      <c r="Y199" s="130">
        <f t="shared" si="55"/>
        <v>0.999999992861208</v>
      </c>
      <c r="Z199" s="134">
        <v>0</v>
      </c>
      <c r="AA199" s="134">
        <v>0</v>
      </c>
      <c r="AB199" s="134">
        <v>0</v>
      </c>
      <c r="AC199" s="134">
        <v>0</v>
      </c>
      <c r="AD199" s="134">
        <v>0</v>
      </c>
      <c r="AE199" s="134">
        <f t="shared" si="59"/>
        <v>0</v>
      </c>
      <c r="AF199" s="135">
        <f t="shared" si="60"/>
        <v>0</v>
      </c>
      <c r="AG199" s="284">
        <f>SUM(Z199:AB199)</f>
        <v>0</v>
      </c>
      <c r="AH199" s="120">
        <f t="shared" si="82"/>
        <v>0</v>
      </c>
      <c r="AI199" s="120">
        <v>0</v>
      </c>
      <c r="AJ199" s="120">
        <f t="shared" si="65"/>
        <v>0</v>
      </c>
      <c r="AK199" s="125">
        <f t="shared" si="56"/>
        <v>0</v>
      </c>
      <c r="AL199" s="117"/>
      <c r="AM199" s="126"/>
      <c r="AN199" s="126"/>
      <c r="AO199" s="126"/>
      <c r="AP199" s="117"/>
      <c r="AQ199" s="126"/>
      <c r="AR199" s="126"/>
      <c r="AS199" s="127"/>
    </row>
    <row r="200" spans="1:45" s="204" customFormat="1" ht="198">
      <c r="A200" s="139" t="s">
        <v>791</v>
      </c>
      <c r="B200" s="140" t="s">
        <v>792</v>
      </c>
      <c r="C200" s="141" t="s">
        <v>635</v>
      </c>
      <c r="D200" s="141" t="s">
        <v>773</v>
      </c>
      <c r="E200" s="145"/>
      <c r="F200" s="117">
        <f>F201+F202</f>
        <v>0</v>
      </c>
      <c r="G200" s="117"/>
      <c r="H200" s="117">
        <f>H201+H202</f>
        <v>0</v>
      </c>
      <c r="I200" s="117"/>
      <c r="J200" s="117">
        <f>J201+J202</f>
        <v>0</v>
      </c>
      <c r="K200" s="107" t="s">
        <v>469</v>
      </c>
      <c r="L200" s="117">
        <f>L201+L202</f>
        <v>0</v>
      </c>
      <c r="M200" s="117">
        <f>M201+M202</f>
        <v>0</v>
      </c>
      <c r="N200" s="118">
        <f t="shared" si="53"/>
        <v>0</v>
      </c>
      <c r="O200" s="208">
        <f t="shared" ref="O200" si="91">O201+O202</f>
        <v>0</v>
      </c>
      <c r="P200" s="135">
        <v>0</v>
      </c>
      <c r="Q200" s="130"/>
      <c r="R200" s="130"/>
      <c r="S200" s="130"/>
      <c r="T200" s="130" t="e">
        <f t="shared" si="86"/>
        <v>#DIV/0!</v>
      </c>
      <c r="U200" s="135">
        <v>0</v>
      </c>
      <c r="V200" s="130"/>
      <c r="W200" s="131"/>
      <c r="X200" s="130"/>
      <c r="Y200" s="130" t="e">
        <f t="shared" si="55"/>
        <v>#DIV/0!</v>
      </c>
      <c r="Z200" s="134">
        <v>0</v>
      </c>
      <c r="AA200" s="134">
        <v>0</v>
      </c>
      <c r="AB200" s="134">
        <v>0</v>
      </c>
      <c r="AC200" s="134">
        <v>0</v>
      </c>
      <c r="AD200" s="134">
        <f t="shared" ref="AD200" si="92">AD201+AD202</f>
        <v>0</v>
      </c>
      <c r="AE200" s="134">
        <f t="shared" si="59"/>
        <v>0</v>
      </c>
      <c r="AF200" s="135">
        <f t="shared" si="60"/>
        <v>0</v>
      </c>
      <c r="AG200" s="283">
        <f>AG201+AG202</f>
        <v>0</v>
      </c>
      <c r="AH200" s="120"/>
      <c r="AI200" s="120"/>
      <c r="AJ200" s="120"/>
      <c r="AK200" s="125" t="e">
        <f t="shared" si="56"/>
        <v>#DIV/0!</v>
      </c>
      <c r="AL200" s="117"/>
      <c r="AM200" s="126"/>
      <c r="AN200" s="126"/>
      <c r="AO200" s="126"/>
      <c r="AP200" s="117"/>
      <c r="AQ200" s="126"/>
      <c r="AR200" s="126"/>
      <c r="AS200" s="127"/>
    </row>
    <row r="201" spans="1:45" s="56" customFormat="1" ht="132">
      <c r="A201" s="114" t="s">
        <v>97</v>
      </c>
      <c r="B201" s="115" t="s">
        <v>793</v>
      </c>
      <c r="C201" s="116" t="s">
        <v>617</v>
      </c>
      <c r="D201" s="116" t="s">
        <v>773</v>
      </c>
      <c r="E201" s="206">
        <v>0</v>
      </c>
      <c r="F201" s="117">
        <f>E201*$E$5</f>
        <v>0</v>
      </c>
      <c r="G201" s="122">
        <v>0</v>
      </c>
      <c r="H201" s="122">
        <f>G201*$G$5</f>
        <v>0</v>
      </c>
      <c r="I201" s="206">
        <v>0</v>
      </c>
      <c r="J201" s="117">
        <f>I201*$I$5</f>
        <v>0</v>
      </c>
      <c r="K201" s="107" t="s">
        <v>469</v>
      </c>
      <c r="L201" s="117">
        <v>0</v>
      </c>
      <c r="M201" s="117"/>
      <c r="N201" s="118">
        <f t="shared" si="53"/>
        <v>0</v>
      </c>
      <c r="O201" s="205">
        <v>0</v>
      </c>
      <c r="P201" s="135">
        <v>0</v>
      </c>
      <c r="Q201" s="130"/>
      <c r="R201" s="131"/>
      <c r="S201" s="130"/>
      <c r="T201" s="130" t="e">
        <f t="shared" si="86"/>
        <v>#DIV/0!</v>
      </c>
      <c r="U201" s="135">
        <v>0</v>
      </c>
      <c r="V201" s="130"/>
      <c r="W201" s="131"/>
      <c r="X201" s="130"/>
      <c r="Y201" s="130" t="e">
        <f t="shared" si="55"/>
        <v>#DIV/0!</v>
      </c>
      <c r="Z201" s="134">
        <v>0</v>
      </c>
      <c r="AA201" s="134">
        <v>0</v>
      </c>
      <c r="AB201" s="134">
        <v>0</v>
      </c>
      <c r="AC201" s="134">
        <v>0</v>
      </c>
      <c r="AD201" s="134">
        <v>0</v>
      </c>
      <c r="AE201" s="134">
        <f t="shared" si="59"/>
        <v>0</v>
      </c>
      <c r="AF201" s="135">
        <f t="shared" si="60"/>
        <v>0</v>
      </c>
      <c r="AG201" s="284">
        <f>SUM(Z201:AB201)</f>
        <v>0</v>
      </c>
      <c r="AH201" s="120"/>
      <c r="AI201" s="120"/>
      <c r="AJ201" s="120"/>
      <c r="AK201" s="125" t="e">
        <f t="shared" si="56"/>
        <v>#DIV/0!</v>
      </c>
      <c r="AL201" s="117"/>
      <c r="AM201" s="126"/>
      <c r="AN201" s="126"/>
      <c r="AO201" s="126"/>
      <c r="AP201" s="117"/>
      <c r="AQ201" s="126"/>
      <c r="AR201" s="126"/>
      <c r="AS201" s="127"/>
    </row>
    <row r="202" spans="1:45" s="56" customFormat="1" ht="82.5">
      <c r="A202" s="114" t="s">
        <v>98</v>
      </c>
      <c r="B202" s="115" t="s">
        <v>794</v>
      </c>
      <c r="C202" s="116" t="s">
        <v>617</v>
      </c>
      <c r="D202" s="116" t="s">
        <v>773</v>
      </c>
      <c r="E202" s="206">
        <v>0</v>
      </c>
      <c r="F202" s="117">
        <f>E202*$E$5</f>
        <v>0</v>
      </c>
      <c r="G202" s="122">
        <v>0</v>
      </c>
      <c r="H202" s="122">
        <f>G202*$G$5</f>
        <v>0</v>
      </c>
      <c r="I202" s="206">
        <v>0</v>
      </c>
      <c r="J202" s="117">
        <f>I202*$I$5</f>
        <v>0</v>
      </c>
      <c r="K202" s="107" t="s">
        <v>469</v>
      </c>
      <c r="L202" s="117">
        <v>0</v>
      </c>
      <c r="M202" s="117"/>
      <c r="N202" s="118">
        <f t="shared" si="53"/>
        <v>0</v>
      </c>
      <c r="O202" s="205">
        <v>0</v>
      </c>
      <c r="P202" s="135">
        <v>0</v>
      </c>
      <c r="Q202" s="130"/>
      <c r="R202" s="131"/>
      <c r="S202" s="130"/>
      <c r="T202" s="130" t="e">
        <f t="shared" si="86"/>
        <v>#DIV/0!</v>
      </c>
      <c r="U202" s="135">
        <v>0</v>
      </c>
      <c r="V202" s="144">
        <v>0</v>
      </c>
      <c r="W202" s="130">
        <v>0</v>
      </c>
      <c r="X202" s="144">
        <f>V202-W202</f>
        <v>0</v>
      </c>
      <c r="Y202" s="130" t="e">
        <f t="shared" si="55"/>
        <v>#DIV/0!</v>
      </c>
      <c r="Z202" s="134">
        <v>0</v>
      </c>
      <c r="AA202" s="134">
        <v>0</v>
      </c>
      <c r="AB202" s="134">
        <v>0</v>
      </c>
      <c r="AC202" s="134">
        <v>0</v>
      </c>
      <c r="AD202" s="134">
        <v>0</v>
      </c>
      <c r="AE202" s="134">
        <f t="shared" si="59"/>
        <v>0</v>
      </c>
      <c r="AF202" s="135">
        <f t="shared" si="60"/>
        <v>0</v>
      </c>
      <c r="AG202" s="284">
        <f>SUM(Z202:AB202)</f>
        <v>0</v>
      </c>
      <c r="AH202" s="120"/>
      <c r="AI202" s="120"/>
      <c r="AJ202" s="120"/>
      <c r="AK202" s="125" t="e">
        <f t="shared" si="56"/>
        <v>#DIV/0!</v>
      </c>
      <c r="AL202" s="117"/>
      <c r="AM202" s="126"/>
      <c r="AN202" s="126"/>
      <c r="AO202" s="126"/>
      <c r="AP202" s="117"/>
      <c r="AQ202" s="126"/>
      <c r="AR202" s="126"/>
      <c r="AS202" s="127"/>
    </row>
    <row r="203" spans="1:45" s="204" customFormat="1" ht="132">
      <c r="A203" s="104" t="s">
        <v>795</v>
      </c>
      <c r="B203" s="105" t="s">
        <v>796</v>
      </c>
      <c r="C203" s="106" t="s">
        <v>724</v>
      </c>
      <c r="D203" s="106" t="s">
        <v>773</v>
      </c>
      <c r="E203" s="109"/>
      <c r="F203" s="107">
        <f>F204+F211</f>
        <v>602279449.62860394</v>
      </c>
      <c r="G203" s="107"/>
      <c r="H203" s="107">
        <f>H204+H211</f>
        <v>602279449.62860394</v>
      </c>
      <c r="I203" s="107"/>
      <c r="J203" s="107">
        <f>J204+J211</f>
        <v>602279449.62860394</v>
      </c>
      <c r="K203" s="107" t="s">
        <v>469</v>
      </c>
      <c r="L203" s="107">
        <f>L204+L211</f>
        <v>35044118</v>
      </c>
      <c r="M203" s="107">
        <f>M204+M211</f>
        <v>29787500.300000001</v>
      </c>
      <c r="N203" s="86">
        <f t="shared" si="53"/>
        <v>632066949.92860389</v>
      </c>
      <c r="O203" s="207">
        <f t="shared" ref="O203" si="93">O204+O211</f>
        <v>346351908.59000003</v>
      </c>
      <c r="P203" s="137">
        <f>P204+P211</f>
        <v>616242923.82999992</v>
      </c>
      <c r="Q203" s="138">
        <f t="shared" ref="Q203:Q224" si="94">P203/J203</f>
        <v>1.0231843776340146</v>
      </c>
      <c r="R203" s="138">
        <v>1.0231843776340146</v>
      </c>
      <c r="S203" s="138">
        <f t="shared" ref="S203:S247" si="95">Q203-R203</f>
        <v>0</v>
      </c>
      <c r="T203" s="138">
        <f t="shared" si="86"/>
        <v>0.97496463610319861</v>
      </c>
      <c r="U203" s="137">
        <f>U204+U211</f>
        <v>616242923.82999992</v>
      </c>
      <c r="V203" s="138">
        <f t="shared" ref="V203:V224" si="96">U203/J203</f>
        <v>1.0231843776340146</v>
      </c>
      <c r="W203" s="186">
        <v>1.0231843776340146</v>
      </c>
      <c r="X203" s="138">
        <f t="shared" ref="X203:X261" si="97">V203-W203</f>
        <v>0</v>
      </c>
      <c r="Y203" s="138">
        <f t="shared" si="55"/>
        <v>0.97496463610319861</v>
      </c>
      <c r="Z203" s="137">
        <f t="shared" ref="Z203:AD203" si="98">Z204+Z211</f>
        <v>184736332.91999999</v>
      </c>
      <c r="AA203" s="137">
        <f t="shared" si="98"/>
        <v>0</v>
      </c>
      <c r="AB203" s="137">
        <f t="shared" si="98"/>
        <v>55453350.75</v>
      </c>
      <c r="AC203" s="137">
        <f t="shared" si="98"/>
        <v>2960379.6500000022</v>
      </c>
      <c r="AD203" s="137">
        <f t="shared" si="98"/>
        <v>22274836</v>
      </c>
      <c r="AE203" s="144">
        <f t="shared" si="59"/>
        <v>220226597.73000002</v>
      </c>
      <c r="AF203" s="135">
        <f t="shared" si="60"/>
        <v>187696712.56999999</v>
      </c>
      <c r="AG203" s="279">
        <f>AG204+AG211</f>
        <v>242501433.73000002</v>
      </c>
      <c r="AH203" s="110">
        <f t="shared" ref="AH203:AH224" si="99">AG203/J203</f>
        <v>0.40263939584778913</v>
      </c>
      <c r="AI203" s="110">
        <v>0.36683318819235894</v>
      </c>
      <c r="AJ203" s="110">
        <f t="shared" ref="AJ203:AJ261" si="100">AH203-AI203</f>
        <v>3.5806207655430189E-2</v>
      </c>
      <c r="AK203" s="89">
        <f t="shared" si="56"/>
        <v>0.38366415734502834</v>
      </c>
      <c r="AL203" s="117"/>
      <c r="AM203" s="126"/>
      <c r="AN203" s="126"/>
      <c r="AO203" s="126"/>
      <c r="AP203" s="117"/>
      <c r="AQ203" s="126"/>
      <c r="AR203" s="126"/>
      <c r="AS203" s="127"/>
    </row>
    <row r="204" spans="1:45" s="204" customFormat="1" ht="99">
      <c r="A204" s="104" t="s">
        <v>797</v>
      </c>
      <c r="B204" s="105" t="s">
        <v>798</v>
      </c>
      <c r="C204" s="106" t="s">
        <v>724</v>
      </c>
      <c r="D204" s="106" t="s">
        <v>468</v>
      </c>
      <c r="E204" s="109"/>
      <c r="F204" s="107">
        <f>F205+F206+F207+F208+F209+F210</f>
        <v>502200160.02860397</v>
      </c>
      <c r="G204" s="107"/>
      <c r="H204" s="107">
        <f>H205+H206+H207+H208+H209+H210</f>
        <v>502200160.02860397</v>
      </c>
      <c r="I204" s="107"/>
      <c r="J204" s="107">
        <f>J205+J206+J207+J208+J209+J210</f>
        <v>502200160.02860397</v>
      </c>
      <c r="K204" s="107" t="s">
        <v>469</v>
      </c>
      <c r="L204" s="107">
        <f>L205+L206+L207+L208+L209+L210</f>
        <v>35044118</v>
      </c>
      <c r="M204" s="107">
        <f>M205+M206+M207+M208+M209+M210</f>
        <v>29787500.300000001</v>
      </c>
      <c r="N204" s="86">
        <f t="shared" ref="N204:N261" si="101">J204+M204</f>
        <v>531987660.32860398</v>
      </c>
      <c r="O204" s="207">
        <f>O205+O206+O207+O208+O209+O210</f>
        <v>322428409.59000003</v>
      </c>
      <c r="P204" s="137">
        <f>P205+P206+P207+P208+P209+P210</f>
        <v>516163634.82999998</v>
      </c>
      <c r="Q204" s="138">
        <f t="shared" si="94"/>
        <v>1.0278046004616979</v>
      </c>
      <c r="R204" s="138">
        <v>1.0278046004616979</v>
      </c>
      <c r="S204" s="138">
        <f t="shared" si="95"/>
        <v>0</v>
      </c>
      <c r="T204" s="138">
        <f t="shared" si="86"/>
        <v>0.97025490123430747</v>
      </c>
      <c r="U204" s="137">
        <f>U205+U206+U207+U208+U209+U210</f>
        <v>516163634.82999998</v>
      </c>
      <c r="V204" s="138">
        <f t="shared" si="96"/>
        <v>1.0278046004616979</v>
      </c>
      <c r="W204" s="138">
        <v>1.0278046004616979</v>
      </c>
      <c r="X204" s="138">
        <f t="shared" si="97"/>
        <v>0</v>
      </c>
      <c r="Y204" s="138">
        <f t="shared" ref="Y204:Y261" si="102">U204/N204</f>
        <v>0.97025490123430747</v>
      </c>
      <c r="Z204" s="137">
        <f t="shared" ref="Z204:AD204" si="103">Z205+Z206+Z207+Z208+Z209</f>
        <v>184736332.91999999</v>
      </c>
      <c r="AA204" s="137">
        <f t="shared" si="103"/>
        <v>0</v>
      </c>
      <c r="AB204" s="137">
        <f t="shared" si="103"/>
        <v>55453350.75</v>
      </c>
      <c r="AC204" s="137">
        <f t="shared" si="103"/>
        <v>2960379.6500000022</v>
      </c>
      <c r="AD204" s="137">
        <f t="shared" si="103"/>
        <v>0</v>
      </c>
      <c r="AE204" s="144">
        <f t="shared" si="59"/>
        <v>242501433.73000002</v>
      </c>
      <c r="AF204" s="135">
        <f t="shared" si="60"/>
        <v>187696712.56999999</v>
      </c>
      <c r="AG204" s="279">
        <f>AG205+AG206+AG207+AG208+AG209+AG210</f>
        <v>242501433.73000002</v>
      </c>
      <c r="AH204" s="110">
        <f t="shared" si="99"/>
        <v>0.48287804949362778</v>
      </c>
      <c r="AI204" s="110">
        <v>0.43993632076384864</v>
      </c>
      <c r="AJ204" s="110">
        <f t="shared" si="100"/>
        <v>4.2941728729779138E-2</v>
      </c>
      <c r="AK204" s="89">
        <f t="shared" ref="AK204:AK261" si="104">AG204/N204</f>
        <v>0.45584033580818223</v>
      </c>
      <c r="AL204" s="117"/>
      <c r="AM204" s="126"/>
      <c r="AN204" s="126"/>
      <c r="AO204" s="126"/>
      <c r="AP204" s="117"/>
      <c r="AQ204" s="126"/>
      <c r="AR204" s="126"/>
      <c r="AS204" s="127"/>
    </row>
    <row r="205" spans="1:45" s="56" customFormat="1" ht="49.5">
      <c r="A205" s="114" t="s">
        <v>127</v>
      </c>
      <c r="B205" s="115" t="s">
        <v>799</v>
      </c>
      <c r="C205" s="116" t="s">
        <v>724</v>
      </c>
      <c r="D205" s="116" t="s">
        <v>773</v>
      </c>
      <c r="E205" s="206">
        <v>308392773</v>
      </c>
      <c r="F205" s="206">
        <f t="shared" ref="F205:F210" si="105">E205*$E$5</f>
        <v>216739674.43549201</v>
      </c>
      <c r="G205" s="206">
        <v>308392773</v>
      </c>
      <c r="H205" s="122">
        <f t="shared" ref="H205:H210" si="106">G205*$G$5</f>
        <v>216739674.43549201</v>
      </c>
      <c r="I205" s="206">
        <v>308392773</v>
      </c>
      <c r="J205" s="117">
        <f t="shared" ref="J205:J210" si="107">I205*$I$5</f>
        <v>216739674.43549201</v>
      </c>
      <c r="K205" s="107" t="s">
        <v>469</v>
      </c>
      <c r="L205" s="117">
        <v>35044118</v>
      </c>
      <c r="M205" s="117">
        <f>L205*0.85</f>
        <v>29787500.300000001</v>
      </c>
      <c r="N205" s="118">
        <f t="shared" si="101"/>
        <v>246527174.73549202</v>
      </c>
      <c r="O205" s="205">
        <v>162738416.06999999</v>
      </c>
      <c r="P205" s="135">
        <v>231700250.34999999</v>
      </c>
      <c r="Q205" s="130">
        <f t="shared" si="94"/>
        <v>1.0690255531363764</v>
      </c>
      <c r="R205" s="131">
        <v>1.0690255531363764</v>
      </c>
      <c r="S205" s="130">
        <f t="shared" si="95"/>
        <v>0</v>
      </c>
      <c r="T205" s="130">
        <f t="shared" si="86"/>
        <v>0.93985683565554035</v>
      </c>
      <c r="U205" s="135">
        <v>231700250.34999999</v>
      </c>
      <c r="V205" s="130">
        <f t="shared" si="96"/>
        <v>1.0690255531363764</v>
      </c>
      <c r="W205" s="130">
        <v>1.0690255531363764</v>
      </c>
      <c r="X205" s="130">
        <f t="shared" si="97"/>
        <v>0</v>
      </c>
      <c r="Y205" s="130">
        <f t="shared" si="102"/>
        <v>0.93985683565554035</v>
      </c>
      <c r="Z205" s="134">
        <v>114917628.42</v>
      </c>
      <c r="AA205" s="134">
        <v>0</v>
      </c>
      <c r="AB205" s="134"/>
      <c r="AC205" s="134">
        <v>0</v>
      </c>
      <c r="AD205" s="134">
        <v>0</v>
      </c>
      <c r="AE205" s="134">
        <f t="shared" si="59"/>
        <v>114917628.42</v>
      </c>
      <c r="AF205" s="135">
        <f t="shared" si="60"/>
        <v>114917628.42</v>
      </c>
      <c r="AG205" s="284">
        <f t="shared" ref="AG205:AG210" si="108">SUM(Z205:AB205)</f>
        <v>114917628.42</v>
      </c>
      <c r="AH205" s="120">
        <f t="shared" si="99"/>
        <v>0.53021039511712842</v>
      </c>
      <c r="AI205" s="120">
        <v>0.50215872554700758</v>
      </c>
      <c r="AJ205" s="120">
        <f t="shared" si="100"/>
        <v>2.8051669570120841E-2</v>
      </c>
      <c r="AK205" s="125">
        <f t="shared" si="104"/>
        <v>0.46614588652670563</v>
      </c>
      <c r="AL205" s="117"/>
      <c r="AM205" s="126"/>
      <c r="AN205" s="126"/>
      <c r="AO205" s="126"/>
      <c r="AP205" s="117"/>
      <c r="AQ205" s="126"/>
      <c r="AR205" s="126"/>
      <c r="AS205" s="127"/>
    </row>
    <row r="206" spans="1:45" s="56" customFormat="1" ht="148.5">
      <c r="A206" s="114" t="s">
        <v>128</v>
      </c>
      <c r="B206" s="115" t="s">
        <v>800</v>
      </c>
      <c r="C206" s="116" t="s">
        <v>724</v>
      </c>
      <c r="D206" s="116" t="s">
        <v>773</v>
      </c>
      <c r="E206" s="206">
        <v>130496200</v>
      </c>
      <c r="F206" s="206">
        <f t="shared" si="105"/>
        <v>91713251.344799995</v>
      </c>
      <c r="G206" s="122">
        <v>130496200</v>
      </c>
      <c r="H206" s="122">
        <f t="shared" si="106"/>
        <v>91713251.344799995</v>
      </c>
      <c r="I206" s="206">
        <v>130496200</v>
      </c>
      <c r="J206" s="117">
        <f t="shared" si="107"/>
        <v>91713251.344799995</v>
      </c>
      <c r="K206" s="107" t="s">
        <v>469</v>
      </c>
      <c r="L206" s="117">
        <v>0</v>
      </c>
      <c r="M206" s="117"/>
      <c r="N206" s="118">
        <f t="shared" si="101"/>
        <v>91713251.344799995</v>
      </c>
      <c r="O206" s="205">
        <v>54069754.530000001</v>
      </c>
      <c r="P206" s="135">
        <v>91713251</v>
      </c>
      <c r="Q206" s="130">
        <f t="shared" si="94"/>
        <v>0.9999999962404561</v>
      </c>
      <c r="R206" s="131">
        <v>0.9999999962404561</v>
      </c>
      <c r="S206" s="130">
        <f t="shared" si="95"/>
        <v>0</v>
      </c>
      <c r="T206" s="130">
        <f t="shared" si="86"/>
        <v>0.9999999962404561</v>
      </c>
      <c r="U206" s="135">
        <v>91713251</v>
      </c>
      <c r="V206" s="130">
        <f t="shared" si="96"/>
        <v>0.9999999962404561</v>
      </c>
      <c r="W206" s="130">
        <v>0.9999999962404561</v>
      </c>
      <c r="X206" s="130">
        <f t="shared" si="97"/>
        <v>0</v>
      </c>
      <c r="Y206" s="130">
        <f t="shared" si="102"/>
        <v>0.9999999962404561</v>
      </c>
      <c r="Z206" s="134">
        <v>25162959.27</v>
      </c>
      <c r="AA206" s="134">
        <v>0</v>
      </c>
      <c r="AB206" s="134">
        <v>23515440.800000001</v>
      </c>
      <c r="AC206" s="134">
        <v>0</v>
      </c>
      <c r="AD206" s="134">
        <v>0</v>
      </c>
      <c r="AE206" s="134">
        <f t="shared" si="59"/>
        <v>48678400.07</v>
      </c>
      <c r="AF206" s="135">
        <f t="shared" si="60"/>
        <v>25162959.27</v>
      </c>
      <c r="AG206" s="284">
        <f t="shared" si="108"/>
        <v>48678400.07</v>
      </c>
      <c r="AH206" s="120">
        <f t="shared" si="99"/>
        <v>0.53076735756528159</v>
      </c>
      <c r="AI206" s="120">
        <v>0.48683979419874274</v>
      </c>
      <c r="AJ206" s="120">
        <f t="shared" si="100"/>
        <v>4.3927563366538858E-2</v>
      </c>
      <c r="AK206" s="125">
        <f t="shared" si="104"/>
        <v>0.53076735756528159</v>
      </c>
      <c r="AL206" s="117"/>
      <c r="AM206" s="126"/>
      <c r="AN206" s="126"/>
      <c r="AO206" s="126"/>
      <c r="AP206" s="117"/>
      <c r="AQ206" s="126"/>
      <c r="AR206" s="126"/>
      <c r="AS206" s="127"/>
    </row>
    <row r="207" spans="1:45" s="56" customFormat="1" ht="115.5">
      <c r="A207" s="114" t="s">
        <v>129</v>
      </c>
      <c r="B207" s="115" t="s">
        <v>801</v>
      </c>
      <c r="C207" s="116" t="s">
        <v>724</v>
      </c>
      <c r="D207" s="116" t="s">
        <v>773</v>
      </c>
      <c r="E207" s="206">
        <v>166199474</v>
      </c>
      <c r="F207" s="206">
        <f t="shared" si="105"/>
        <v>116805655.12509599</v>
      </c>
      <c r="G207" s="206">
        <v>166199474</v>
      </c>
      <c r="H207" s="122">
        <f t="shared" si="106"/>
        <v>116805655.12509599</v>
      </c>
      <c r="I207" s="206">
        <v>166199474</v>
      </c>
      <c r="J207" s="117">
        <f t="shared" si="107"/>
        <v>116805655.12509599</v>
      </c>
      <c r="K207" s="107" t="s">
        <v>469</v>
      </c>
      <c r="L207" s="117">
        <v>0</v>
      </c>
      <c r="M207" s="117"/>
      <c r="N207" s="118">
        <f t="shared" si="101"/>
        <v>116805655.12509599</v>
      </c>
      <c r="O207" s="205">
        <v>73690290.150000006</v>
      </c>
      <c r="P207" s="135">
        <v>115864042.66</v>
      </c>
      <c r="Q207" s="130">
        <f t="shared" si="94"/>
        <v>0.99193863975089602</v>
      </c>
      <c r="R207" s="131">
        <v>0.99193863975089602</v>
      </c>
      <c r="S207" s="130">
        <f t="shared" si="95"/>
        <v>0</v>
      </c>
      <c r="T207" s="130">
        <f t="shared" si="86"/>
        <v>0.99193863975089602</v>
      </c>
      <c r="U207" s="135">
        <v>115864042.66</v>
      </c>
      <c r="V207" s="130">
        <f t="shared" si="96"/>
        <v>0.99193863975089602</v>
      </c>
      <c r="W207" s="131">
        <v>0.99193863975089602</v>
      </c>
      <c r="X207" s="130">
        <f t="shared" si="97"/>
        <v>0</v>
      </c>
      <c r="Y207" s="130">
        <f t="shared" si="102"/>
        <v>0.99193863975089602</v>
      </c>
      <c r="Z207" s="134">
        <v>29975083.260000002</v>
      </c>
      <c r="AA207" s="134">
        <v>0</v>
      </c>
      <c r="AB207" s="134">
        <v>20546507.050000001</v>
      </c>
      <c r="AC207" s="134">
        <v>2196478.25</v>
      </c>
      <c r="AD207" s="134">
        <v>0</v>
      </c>
      <c r="AE207" s="134">
        <f t="shared" si="59"/>
        <v>50521590.310000002</v>
      </c>
      <c r="AF207" s="135">
        <f t="shared" si="60"/>
        <v>32171561.510000002</v>
      </c>
      <c r="AG207" s="284">
        <f t="shared" si="108"/>
        <v>50521590.310000002</v>
      </c>
      <c r="AH207" s="120">
        <f t="shared" si="99"/>
        <v>0.43252692051504371</v>
      </c>
      <c r="AI207" s="120">
        <v>0.41684095455699355</v>
      </c>
      <c r="AJ207" s="120">
        <f t="shared" si="100"/>
        <v>1.5685965958050163E-2</v>
      </c>
      <c r="AK207" s="125">
        <f t="shared" si="104"/>
        <v>0.43252692051504371</v>
      </c>
      <c r="AL207" s="117"/>
      <c r="AM207" s="126"/>
      <c r="AN207" s="126"/>
      <c r="AO207" s="126"/>
      <c r="AP207" s="117"/>
      <c r="AQ207" s="126"/>
      <c r="AR207" s="126"/>
      <c r="AS207" s="127"/>
    </row>
    <row r="208" spans="1:45" s="56" customFormat="1" ht="66">
      <c r="A208" s="114" t="s">
        <v>130</v>
      </c>
      <c r="B208" s="115" t="s">
        <v>802</v>
      </c>
      <c r="C208" s="116" t="s">
        <v>724</v>
      </c>
      <c r="D208" s="116" t="s">
        <v>773</v>
      </c>
      <c r="E208" s="206">
        <v>64631943</v>
      </c>
      <c r="F208" s="206">
        <f t="shared" si="105"/>
        <v>45423588.068172</v>
      </c>
      <c r="G208" s="122">
        <v>64631943</v>
      </c>
      <c r="H208" s="122">
        <f t="shared" si="106"/>
        <v>45423588.068172</v>
      </c>
      <c r="I208" s="206">
        <v>64631943</v>
      </c>
      <c r="J208" s="117">
        <f t="shared" si="107"/>
        <v>45423588.068172</v>
      </c>
      <c r="K208" s="107" t="s">
        <v>469</v>
      </c>
      <c r="L208" s="117">
        <v>0</v>
      </c>
      <c r="M208" s="117"/>
      <c r="N208" s="118">
        <f t="shared" si="101"/>
        <v>45423588.068172</v>
      </c>
      <c r="O208" s="205">
        <v>10607790.289999999</v>
      </c>
      <c r="P208" s="135">
        <v>45423588</v>
      </c>
      <c r="Q208" s="130">
        <f t="shared" si="94"/>
        <v>0.99999999849919385</v>
      </c>
      <c r="R208" s="131">
        <v>0.99999999849919385</v>
      </c>
      <c r="S208" s="130">
        <f t="shared" si="95"/>
        <v>0</v>
      </c>
      <c r="T208" s="130">
        <f t="shared" si="86"/>
        <v>0.99999999849919385</v>
      </c>
      <c r="U208" s="135">
        <v>45423588</v>
      </c>
      <c r="V208" s="130">
        <f t="shared" si="96"/>
        <v>0.99999999849919385</v>
      </c>
      <c r="W208" s="131">
        <v>0.99999999849919385</v>
      </c>
      <c r="X208" s="130">
        <f t="shared" si="97"/>
        <v>0</v>
      </c>
      <c r="Y208" s="130">
        <f t="shared" si="102"/>
        <v>0.99999999849919385</v>
      </c>
      <c r="Z208" s="134">
        <v>406624.46</v>
      </c>
      <c r="AA208" s="134">
        <v>0</v>
      </c>
      <c r="AB208" s="134">
        <v>7312734.0599999996</v>
      </c>
      <c r="AC208" s="134">
        <v>0</v>
      </c>
      <c r="AD208" s="134">
        <v>0</v>
      </c>
      <c r="AE208" s="134">
        <f t="shared" si="59"/>
        <v>7719358.5199999996</v>
      </c>
      <c r="AF208" s="135">
        <f t="shared" si="60"/>
        <v>406624.46</v>
      </c>
      <c r="AG208" s="284">
        <f t="shared" si="108"/>
        <v>7719358.5199999996</v>
      </c>
      <c r="AH208" s="120">
        <f t="shared" si="99"/>
        <v>0.16994162831026777</v>
      </c>
      <c r="AI208" s="120">
        <v>8.9518348790442424E-3</v>
      </c>
      <c r="AJ208" s="120">
        <f t="shared" si="100"/>
        <v>0.16098979343122352</v>
      </c>
      <c r="AK208" s="125">
        <f t="shared" si="104"/>
        <v>0.16994162831026777</v>
      </c>
      <c r="AL208" s="117"/>
      <c r="AM208" s="126"/>
      <c r="AN208" s="126"/>
      <c r="AO208" s="126"/>
      <c r="AP208" s="117"/>
      <c r="AQ208" s="126"/>
      <c r="AR208" s="126"/>
      <c r="AS208" s="127"/>
    </row>
    <row r="209" spans="1:45" s="56" customFormat="1" ht="82.5">
      <c r="A209" s="114" t="s">
        <v>131</v>
      </c>
      <c r="B209" s="115" t="s">
        <v>803</v>
      </c>
      <c r="C209" s="116" t="s">
        <v>724</v>
      </c>
      <c r="D209" s="116" t="s">
        <v>773</v>
      </c>
      <c r="E209" s="206">
        <v>29096061</v>
      </c>
      <c r="F209" s="206">
        <f t="shared" si="105"/>
        <v>20448828.055043999</v>
      </c>
      <c r="G209" s="206">
        <v>29096061</v>
      </c>
      <c r="H209" s="122">
        <f t="shared" si="106"/>
        <v>20448828.055043999</v>
      </c>
      <c r="I209" s="206">
        <v>29096061</v>
      </c>
      <c r="J209" s="117">
        <f t="shared" si="107"/>
        <v>20448828.055043999</v>
      </c>
      <c r="K209" s="107" t="s">
        <v>469</v>
      </c>
      <c r="L209" s="117">
        <v>0</v>
      </c>
      <c r="M209" s="117"/>
      <c r="N209" s="118">
        <f t="shared" si="101"/>
        <v>20448828.055043999</v>
      </c>
      <c r="O209" s="205">
        <v>21322158.550000001</v>
      </c>
      <c r="P209" s="135">
        <v>20393340.420000002</v>
      </c>
      <c r="Q209" s="130">
        <f t="shared" si="94"/>
        <v>0.99728651270896129</v>
      </c>
      <c r="R209" s="131">
        <v>0.99728651270896129</v>
      </c>
      <c r="S209" s="130">
        <f t="shared" si="95"/>
        <v>0</v>
      </c>
      <c r="T209" s="130">
        <f t="shared" si="86"/>
        <v>0.99728651270896129</v>
      </c>
      <c r="U209" s="135">
        <v>20393340.420000002</v>
      </c>
      <c r="V209" s="130">
        <f t="shared" si="96"/>
        <v>0.99728651270896129</v>
      </c>
      <c r="W209" s="131">
        <v>0.99728651270896129</v>
      </c>
      <c r="X209" s="130">
        <f t="shared" si="97"/>
        <v>0</v>
      </c>
      <c r="Y209" s="130">
        <f t="shared" si="102"/>
        <v>0.99728651270896129</v>
      </c>
      <c r="Z209" s="134">
        <v>14274037.51</v>
      </c>
      <c r="AA209" s="134">
        <v>0</v>
      </c>
      <c r="AB209" s="134">
        <v>4078668.84</v>
      </c>
      <c r="AC209" s="134">
        <v>763901.400000002</v>
      </c>
      <c r="AD209" s="134">
        <v>0</v>
      </c>
      <c r="AE209" s="134">
        <f t="shared" si="59"/>
        <v>18352706.350000001</v>
      </c>
      <c r="AF209" s="135">
        <f t="shared" si="60"/>
        <v>15037938.910000002</v>
      </c>
      <c r="AG209" s="284">
        <f t="shared" si="108"/>
        <v>18352706.350000001</v>
      </c>
      <c r="AH209" s="120">
        <f t="shared" si="99"/>
        <v>0.89749428674339315</v>
      </c>
      <c r="AI209" s="120">
        <v>0.89749428674339315</v>
      </c>
      <c r="AJ209" s="120">
        <f>AH209-AI209</f>
        <v>0</v>
      </c>
      <c r="AK209" s="125">
        <f t="shared" si="104"/>
        <v>0.89749428674339315</v>
      </c>
      <c r="AL209" s="117"/>
      <c r="AM209" s="126"/>
      <c r="AN209" s="126"/>
      <c r="AO209" s="126"/>
      <c r="AP209" s="117"/>
      <c r="AQ209" s="126"/>
      <c r="AR209" s="126"/>
      <c r="AS209" s="127"/>
    </row>
    <row r="210" spans="1:45" s="56" customFormat="1" ht="115.5">
      <c r="A210" s="114" t="s">
        <v>139</v>
      </c>
      <c r="B210" s="115" t="s">
        <v>804</v>
      </c>
      <c r="C210" s="116" t="s">
        <v>724</v>
      </c>
      <c r="D210" s="116" t="s">
        <v>606</v>
      </c>
      <c r="E210" s="206">
        <v>15750000</v>
      </c>
      <c r="F210" s="206">
        <f t="shared" si="105"/>
        <v>11069163</v>
      </c>
      <c r="G210" s="122">
        <v>15750000</v>
      </c>
      <c r="H210" s="122">
        <f t="shared" si="106"/>
        <v>11069163</v>
      </c>
      <c r="I210" s="206">
        <v>15750000</v>
      </c>
      <c r="J210" s="117">
        <f t="shared" si="107"/>
        <v>11069163</v>
      </c>
      <c r="K210" s="107" t="s">
        <v>469</v>
      </c>
      <c r="L210" s="117">
        <v>0</v>
      </c>
      <c r="M210" s="117"/>
      <c r="N210" s="118">
        <f t="shared" si="101"/>
        <v>11069163</v>
      </c>
      <c r="O210" s="205">
        <v>0</v>
      </c>
      <c r="P210" s="135">
        <v>11069162.4</v>
      </c>
      <c r="Q210" s="130">
        <f t="shared" si="94"/>
        <v>0.99999994579535967</v>
      </c>
      <c r="R210" s="131">
        <v>0.99999994579535967</v>
      </c>
      <c r="S210" s="130">
        <f t="shared" si="95"/>
        <v>0</v>
      </c>
      <c r="T210" s="130">
        <f t="shared" si="86"/>
        <v>0.99999994579535967</v>
      </c>
      <c r="U210" s="135">
        <v>11069162.4</v>
      </c>
      <c r="V210" s="130">
        <f t="shared" si="96"/>
        <v>0.99999994579535967</v>
      </c>
      <c r="W210" s="131">
        <v>0.99999994579535967</v>
      </c>
      <c r="X210" s="130">
        <f t="shared" si="97"/>
        <v>0</v>
      </c>
      <c r="Y210" s="130">
        <f t="shared" si="102"/>
        <v>0.99999994579535967</v>
      </c>
      <c r="Z210" s="134">
        <v>97917.58</v>
      </c>
      <c r="AA210" s="134">
        <v>0</v>
      </c>
      <c r="AB210" s="134">
        <v>2213832.48</v>
      </c>
      <c r="AC210" s="134">
        <v>0</v>
      </c>
      <c r="AD210" s="134">
        <v>0</v>
      </c>
      <c r="AE210" s="134">
        <f t="shared" si="59"/>
        <v>2311750.06</v>
      </c>
      <c r="AF210" s="135">
        <f t="shared" si="60"/>
        <v>97917.58</v>
      </c>
      <c r="AG210" s="284">
        <f t="shared" si="108"/>
        <v>2311750.06</v>
      </c>
      <c r="AH210" s="120">
        <f t="shared" si="99"/>
        <v>0.20884596784779483</v>
      </c>
      <c r="AI210" s="120">
        <v>0</v>
      </c>
      <c r="AJ210" s="120">
        <f>AH210-AI210</f>
        <v>0.20884596784779483</v>
      </c>
      <c r="AK210" s="125">
        <f t="shared" si="104"/>
        <v>0.20884596784779483</v>
      </c>
      <c r="AL210" s="117"/>
      <c r="AM210" s="126"/>
      <c r="AN210" s="126"/>
      <c r="AO210" s="126"/>
      <c r="AP210" s="117"/>
      <c r="AQ210" s="126"/>
      <c r="AR210" s="126"/>
      <c r="AS210" s="127"/>
    </row>
    <row r="211" spans="1:45" s="213" customFormat="1" ht="82.5">
      <c r="A211" s="104" t="s">
        <v>805</v>
      </c>
      <c r="B211" s="105" t="s">
        <v>806</v>
      </c>
      <c r="C211" s="106" t="s">
        <v>724</v>
      </c>
      <c r="D211" s="106" t="s">
        <v>773</v>
      </c>
      <c r="E211" s="109"/>
      <c r="F211" s="107">
        <f>F212</f>
        <v>100079289.59999999</v>
      </c>
      <c r="G211" s="107"/>
      <c r="H211" s="107">
        <f>H212</f>
        <v>100079289.59999999</v>
      </c>
      <c r="I211" s="107"/>
      <c r="J211" s="107">
        <f>J212</f>
        <v>100079289.59999999</v>
      </c>
      <c r="K211" s="107" t="s">
        <v>469</v>
      </c>
      <c r="L211" s="107">
        <f>L212</f>
        <v>0</v>
      </c>
      <c r="M211" s="107">
        <f>M212</f>
        <v>0</v>
      </c>
      <c r="N211" s="86">
        <f t="shared" si="101"/>
        <v>100079289.59999999</v>
      </c>
      <c r="O211" s="207">
        <f t="shared" ref="O211" si="109">O212</f>
        <v>23923499</v>
      </c>
      <c r="P211" s="137">
        <f>P212</f>
        <v>100079289</v>
      </c>
      <c r="Q211" s="138">
        <f t="shared" si="94"/>
        <v>0.9999999940047537</v>
      </c>
      <c r="R211" s="138">
        <v>0.9999999940047537</v>
      </c>
      <c r="S211" s="138">
        <f t="shared" si="95"/>
        <v>0</v>
      </c>
      <c r="T211" s="138">
        <f t="shared" si="86"/>
        <v>0.9999999940047537</v>
      </c>
      <c r="U211" s="137">
        <f>U212</f>
        <v>100079289</v>
      </c>
      <c r="V211" s="138">
        <f t="shared" si="96"/>
        <v>0.9999999940047537</v>
      </c>
      <c r="W211" s="186">
        <v>0.9999999940047537</v>
      </c>
      <c r="X211" s="138">
        <f t="shared" si="97"/>
        <v>0</v>
      </c>
      <c r="Y211" s="138">
        <f t="shared" si="102"/>
        <v>0.9999999940047537</v>
      </c>
      <c r="Z211" s="137">
        <f>Z212</f>
        <v>0</v>
      </c>
      <c r="AA211" s="137">
        <f t="shared" ref="AA211:AD211" si="110">AA212</f>
        <v>0</v>
      </c>
      <c r="AB211" s="137">
        <f t="shared" si="110"/>
        <v>0</v>
      </c>
      <c r="AC211" s="137">
        <f t="shared" si="110"/>
        <v>0</v>
      </c>
      <c r="AD211" s="137">
        <f t="shared" si="110"/>
        <v>22274836</v>
      </c>
      <c r="AE211" s="137">
        <f t="shared" ref="AE211:AE245" si="111">AG211-AD211</f>
        <v>-22274836</v>
      </c>
      <c r="AF211" s="135">
        <f t="shared" ref="AF211:AF261" si="112">Z211+AA211+AC211</f>
        <v>0</v>
      </c>
      <c r="AG211" s="279">
        <f>AG212</f>
        <v>0</v>
      </c>
      <c r="AH211" s="110">
        <f t="shared" si="99"/>
        <v>0</v>
      </c>
      <c r="AI211" s="110">
        <v>0</v>
      </c>
      <c r="AJ211" s="110">
        <f t="shared" si="100"/>
        <v>0</v>
      </c>
      <c r="AK211" s="89">
        <f t="shared" si="104"/>
        <v>0</v>
      </c>
      <c r="AL211" s="212"/>
      <c r="AM211" s="112"/>
      <c r="AN211" s="112"/>
      <c r="AO211" s="112"/>
      <c r="AP211" s="212"/>
      <c r="AQ211" s="112"/>
      <c r="AR211" s="112"/>
      <c r="AS211" s="113"/>
    </row>
    <row r="212" spans="1:45" s="56" customFormat="1" ht="66">
      <c r="A212" s="214" t="s">
        <v>807</v>
      </c>
      <c r="B212" s="215" t="s">
        <v>808</v>
      </c>
      <c r="C212" s="216" t="s">
        <v>724</v>
      </c>
      <c r="D212" s="216" t="s">
        <v>773</v>
      </c>
      <c r="E212" s="217">
        <v>142400000</v>
      </c>
      <c r="F212" s="217">
        <f>E212*$E$5</f>
        <v>100079289.59999999</v>
      </c>
      <c r="G212" s="134">
        <v>142400000</v>
      </c>
      <c r="H212" s="134">
        <f>G212*$G$5</f>
        <v>100079289.59999999</v>
      </c>
      <c r="I212" s="134">
        <v>142400000</v>
      </c>
      <c r="J212" s="135">
        <f>I212*$I$5</f>
        <v>100079289.59999999</v>
      </c>
      <c r="K212" s="218" t="s">
        <v>469</v>
      </c>
      <c r="L212" s="135">
        <v>0</v>
      </c>
      <c r="M212" s="135"/>
      <c r="N212" s="219">
        <f t="shared" si="101"/>
        <v>100079289.59999999</v>
      </c>
      <c r="O212" s="205">
        <v>23923499</v>
      </c>
      <c r="P212" s="135">
        <v>100079289</v>
      </c>
      <c r="Q212" s="130">
        <f t="shared" si="94"/>
        <v>0.9999999940047537</v>
      </c>
      <c r="R212" s="131">
        <v>0.9999999940047537</v>
      </c>
      <c r="S212" s="130">
        <f t="shared" si="95"/>
        <v>0</v>
      </c>
      <c r="T212" s="130">
        <f t="shared" si="86"/>
        <v>0.9999999940047537</v>
      </c>
      <c r="U212" s="135">
        <v>100079289</v>
      </c>
      <c r="V212" s="130">
        <f t="shared" si="96"/>
        <v>0.9999999940047537</v>
      </c>
      <c r="W212" s="131">
        <v>0.9999999940047537</v>
      </c>
      <c r="X212" s="130">
        <f t="shared" si="97"/>
        <v>0</v>
      </c>
      <c r="Y212" s="130">
        <f t="shared" si="102"/>
        <v>0.9999999940047537</v>
      </c>
      <c r="Z212" s="134">
        <v>0</v>
      </c>
      <c r="AA212" s="134">
        <v>0</v>
      </c>
      <c r="AB212" s="134">
        <v>0</v>
      </c>
      <c r="AC212" s="134">
        <v>0</v>
      </c>
      <c r="AD212" s="134">
        <v>22274836</v>
      </c>
      <c r="AE212" s="134">
        <f>AG212-AD212</f>
        <v>-22274836</v>
      </c>
      <c r="AF212" s="135">
        <f t="shared" si="112"/>
        <v>0</v>
      </c>
      <c r="AG212" s="284">
        <f>SUM(Z212:AB212)</f>
        <v>0</v>
      </c>
      <c r="AH212" s="130">
        <f t="shared" si="99"/>
        <v>0</v>
      </c>
      <c r="AI212" s="130">
        <v>0</v>
      </c>
      <c r="AJ212" s="130">
        <f t="shared" si="100"/>
        <v>0</v>
      </c>
      <c r="AK212" s="220">
        <f t="shared" si="104"/>
        <v>0</v>
      </c>
      <c r="AL212" s="135"/>
      <c r="AM212" s="221"/>
      <c r="AN212" s="221"/>
      <c r="AO212" s="221"/>
      <c r="AP212" s="135"/>
      <c r="AQ212" s="221"/>
      <c r="AR212" s="221"/>
      <c r="AS212" s="222"/>
    </row>
    <row r="213" spans="1:45" s="204" customFormat="1" ht="99">
      <c r="A213" s="104" t="s">
        <v>809</v>
      </c>
      <c r="B213" s="105" t="s">
        <v>810</v>
      </c>
      <c r="C213" s="106" t="s">
        <v>617</v>
      </c>
      <c r="D213" s="106" t="s">
        <v>770</v>
      </c>
      <c r="E213" s="109"/>
      <c r="F213" s="107">
        <f>F214+F221+F227+F231</f>
        <v>226939884.24465597</v>
      </c>
      <c r="G213" s="107"/>
      <c r="H213" s="107">
        <f>H214+H221+H227+H231</f>
        <v>226939884.24465597</v>
      </c>
      <c r="I213" s="107"/>
      <c r="J213" s="107">
        <f>J214+J221+J227+J231</f>
        <v>226939884.24465597</v>
      </c>
      <c r="K213" s="107" t="s">
        <v>469</v>
      </c>
      <c r="L213" s="107">
        <f>L214+L221+L227+L231</f>
        <v>27000000</v>
      </c>
      <c r="M213" s="107">
        <f>M214+M221+M227+M231</f>
        <v>27000000</v>
      </c>
      <c r="N213" s="86">
        <f t="shared" si="101"/>
        <v>253939884.24465597</v>
      </c>
      <c r="O213" s="207">
        <f t="shared" ref="O213" si="113">O214+O221+O227+O231</f>
        <v>109212552.69</v>
      </c>
      <c r="P213" s="137">
        <f>P214+P221+P227+P231</f>
        <v>189053799.16999999</v>
      </c>
      <c r="Q213" s="138">
        <f t="shared" si="94"/>
        <v>0.83305673570445504</v>
      </c>
      <c r="R213" s="138">
        <v>0.79508855819048896</v>
      </c>
      <c r="S213" s="138">
        <f t="shared" si="95"/>
        <v>3.7968177513966084E-2</v>
      </c>
      <c r="T213" s="138">
        <f t="shared" si="86"/>
        <v>0.74448249723488846</v>
      </c>
      <c r="U213" s="137">
        <f>U214+U221+U227+U231</f>
        <v>175679803.62999997</v>
      </c>
      <c r="V213" s="138">
        <f t="shared" si="96"/>
        <v>0.77412484903096934</v>
      </c>
      <c r="W213" s="138">
        <v>0.7717842339303318</v>
      </c>
      <c r="X213" s="138">
        <f t="shared" si="97"/>
        <v>2.3406151006375442E-3</v>
      </c>
      <c r="Y213" s="138">
        <f t="shared" si="102"/>
        <v>0.69181650670023509</v>
      </c>
      <c r="Z213" s="137">
        <f t="shared" ref="Z213:AD213" si="114">Z214+Z221+Z227+Z231</f>
        <v>56762541.119999997</v>
      </c>
      <c r="AA213" s="137">
        <f t="shared" si="114"/>
        <v>37443.14</v>
      </c>
      <c r="AB213" s="137">
        <f t="shared" si="114"/>
        <v>35654958.309999995</v>
      </c>
      <c r="AC213" s="137">
        <f t="shared" si="114"/>
        <v>13567485.740000002</v>
      </c>
      <c r="AD213" s="137">
        <f t="shared" si="114"/>
        <v>3581977.15</v>
      </c>
      <c r="AE213" s="144">
        <f t="shared" si="111"/>
        <v>88872965.419999987</v>
      </c>
      <c r="AF213" s="135">
        <f t="shared" si="112"/>
        <v>70367470</v>
      </c>
      <c r="AG213" s="279">
        <f>AG214+AG221+AG227+AG231</f>
        <v>92454942.569999993</v>
      </c>
      <c r="AH213" s="110">
        <f t="shared" si="99"/>
        <v>0.40739838604274403</v>
      </c>
      <c r="AI213" s="110">
        <v>0.38168409946229953</v>
      </c>
      <c r="AJ213" s="110">
        <f t="shared" si="100"/>
        <v>2.5714286580444501E-2</v>
      </c>
      <c r="AK213" s="89">
        <f t="shared" si="104"/>
        <v>0.36408200643631528</v>
      </c>
      <c r="AL213" s="117"/>
      <c r="AM213" s="126"/>
      <c r="AN213" s="126"/>
      <c r="AO213" s="126"/>
      <c r="AP213" s="117"/>
      <c r="AQ213" s="126"/>
      <c r="AR213" s="126"/>
      <c r="AS213" s="127"/>
    </row>
    <row r="214" spans="1:45" s="204" customFormat="1" ht="33">
      <c r="A214" s="104" t="s">
        <v>811</v>
      </c>
      <c r="B214" s="105" t="s">
        <v>812</v>
      </c>
      <c r="C214" s="106" t="s">
        <v>617</v>
      </c>
      <c r="D214" s="106" t="s">
        <v>606</v>
      </c>
      <c r="E214" s="109"/>
      <c r="F214" s="107">
        <f>F215+F216+F217+F218</f>
        <v>136883295.841932</v>
      </c>
      <c r="G214" s="107"/>
      <c r="H214" s="107">
        <f>H215+H216+H217+H219+H220</f>
        <v>136883295.841932</v>
      </c>
      <c r="I214" s="107"/>
      <c r="J214" s="107">
        <f>J215+J216+J217+J218</f>
        <v>136883295.841932</v>
      </c>
      <c r="K214" s="107" t="s">
        <v>469</v>
      </c>
      <c r="L214" s="107">
        <f>L215+L216+L217+L218</f>
        <v>0</v>
      </c>
      <c r="M214" s="107">
        <f>M215+M216+M217+M218</f>
        <v>0</v>
      </c>
      <c r="N214" s="86">
        <f t="shared" si="101"/>
        <v>136883295.841932</v>
      </c>
      <c r="O214" s="207">
        <f t="shared" ref="O214" si="115">O215+O216+O217+O218</f>
        <v>71625231.609999999</v>
      </c>
      <c r="P214" s="137">
        <f>P215+P216+P217+P218</f>
        <v>96557323.98999998</v>
      </c>
      <c r="Q214" s="138">
        <f t="shared" si="94"/>
        <v>0.70539888301273057</v>
      </c>
      <c r="R214" s="138">
        <v>0.70614036683934167</v>
      </c>
      <c r="S214" s="138">
        <f t="shared" si="95"/>
        <v>-7.4148382661110013E-4</v>
      </c>
      <c r="T214" s="138">
        <f t="shared" si="86"/>
        <v>0.70539888301273057</v>
      </c>
      <c r="U214" s="137">
        <f>U215+U216+U217+U218</f>
        <v>96557323.98999998</v>
      </c>
      <c r="V214" s="138">
        <f t="shared" si="96"/>
        <v>0.70539888301273057</v>
      </c>
      <c r="W214" s="186">
        <v>0.70614036683934167</v>
      </c>
      <c r="X214" s="138">
        <f t="shared" si="97"/>
        <v>-7.4148382661110013E-4</v>
      </c>
      <c r="Y214" s="138">
        <f t="shared" si="102"/>
        <v>0.70539888301273057</v>
      </c>
      <c r="Z214" s="137">
        <f t="shared" ref="Z214:AD214" si="116">Z215+Z216+Z217+Z218</f>
        <v>34994652.670000002</v>
      </c>
      <c r="AA214" s="137">
        <f t="shared" si="116"/>
        <v>0</v>
      </c>
      <c r="AB214" s="137">
        <f t="shared" si="116"/>
        <v>28779901.640000001</v>
      </c>
      <c r="AC214" s="137">
        <f t="shared" si="116"/>
        <v>11244450.41</v>
      </c>
      <c r="AD214" s="137">
        <f t="shared" si="116"/>
        <v>3292696.84</v>
      </c>
      <c r="AE214" s="144">
        <f t="shared" si="111"/>
        <v>60481857.469999999</v>
      </c>
      <c r="AF214" s="135">
        <f t="shared" si="112"/>
        <v>46239103.079999998</v>
      </c>
      <c r="AG214" s="279">
        <f>AG215+AG216+AG217+AG218</f>
        <v>63774554.309999995</v>
      </c>
      <c r="AH214" s="110">
        <f t="shared" si="99"/>
        <v>0.46590457891695275</v>
      </c>
      <c r="AI214" s="110">
        <v>0.446998178511541</v>
      </c>
      <c r="AJ214" s="110">
        <f t="shared" si="100"/>
        <v>1.890640040541175E-2</v>
      </c>
      <c r="AK214" s="89">
        <f t="shared" si="104"/>
        <v>0.46590457891695275</v>
      </c>
      <c r="AL214" s="117"/>
      <c r="AM214" s="126"/>
      <c r="AN214" s="126"/>
      <c r="AO214" s="126"/>
      <c r="AP214" s="117"/>
      <c r="AQ214" s="126"/>
      <c r="AR214" s="126"/>
      <c r="AS214" s="127"/>
    </row>
    <row r="215" spans="1:45" s="56" customFormat="1" ht="132">
      <c r="A215" s="114" t="s">
        <v>99</v>
      </c>
      <c r="B215" s="115" t="s">
        <v>813</v>
      </c>
      <c r="C215" s="116" t="s">
        <v>617</v>
      </c>
      <c r="D215" s="116" t="s">
        <v>606</v>
      </c>
      <c r="E215" s="206">
        <v>143493781</v>
      </c>
      <c r="F215" s="206">
        <f>E215*$E$5</f>
        <v>100848003.261924</v>
      </c>
      <c r="G215" s="122">
        <v>143493781</v>
      </c>
      <c r="H215" s="122">
        <f>G215*$G$5</f>
        <v>100848003.261924</v>
      </c>
      <c r="I215" s="206">
        <v>143493781</v>
      </c>
      <c r="J215" s="117">
        <f>I215*$I$5</f>
        <v>100848003.261924</v>
      </c>
      <c r="K215" s="107" t="s">
        <v>469</v>
      </c>
      <c r="L215" s="117">
        <v>0</v>
      </c>
      <c r="M215" s="117"/>
      <c r="N215" s="118">
        <f t="shared" si="101"/>
        <v>100848003.261924</v>
      </c>
      <c r="O215" s="205">
        <v>51355130.579999998</v>
      </c>
      <c r="P215" s="135">
        <v>65122416.789999999</v>
      </c>
      <c r="Q215" s="130">
        <f t="shared" si="94"/>
        <v>0.64574820208252459</v>
      </c>
      <c r="R215" s="131">
        <v>0.64582435282177175</v>
      </c>
      <c r="S215" s="130">
        <f t="shared" si="95"/>
        <v>-7.6150739247160537E-5</v>
      </c>
      <c r="T215" s="130">
        <f t="shared" si="86"/>
        <v>0.64574820208252459</v>
      </c>
      <c r="U215" s="135">
        <v>65122416.789999999</v>
      </c>
      <c r="V215" s="130">
        <f t="shared" si="96"/>
        <v>0.64574820208252459</v>
      </c>
      <c r="W215" s="130">
        <v>0.64582435282177175</v>
      </c>
      <c r="X215" s="130">
        <f t="shared" si="97"/>
        <v>-7.6150739247160537E-5</v>
      </c>
      <c r="Y215" s="130">
        <f t="shared" si="102"/>
        <v>0.64574820208252459</v>
      </c>
      <c r="Z215" s="134">
        <v>23908048.719999999</v>
      </c>
      <c r="AA215" s="134"/>
      <c r="AB215" s="134">
        <v>28132305.690000001</v>
      </c>
      <c r="AC215" s="134">
        <v>11111877.859999999</v>
      </c>
      <c r="AD215" s="134">
        <v>3292696.84</v>
      </c>
      <c r="AE215" s="134">
        <f t="shared" si="111"/>
        <v>48747657.569999993</v>
      </c>
      <c r="AF215" s="135">
        <f t="shared" si="112"/>
        <v>35019926.579999998</v>
      </c>
      <c r="AG215" s="284">
        <f t="shared" ref="AG215:AG220" si="117">SUM(Z215:AB215)</f>
        <v>52040354.409999996</v>
      </c>
      <c r="AH215" s="120">
        <f t="shared" si="99"/>
        <v>0.51602761310841205</v>
      </c>
      <c r="AI215" s="120">
        <v>0.49855646818723909</v>
      </c>
      <c r="AJ215" s="120">
        <f t="shared" si="100"/>
        <v>1.7471144921172965E-2</v>
      </c>
      <c r="AK215" s="125">
        <f t="shared" si="104"/>
        <v>0.51602761310841205</v>
      </c>
      <c r="AL215" s="117"/>
      <c r="AM215" s="223"/>
      <c r="AN215" s="223"/>
      <c r="AO215" s="126"/>
      <c r="AP215" s="117"/>
      <c r="AQ215" s="126"/>
      <c r="AR215" s="126"/>
      <c r="AS215" s="127"/>
    </row>
    <row r="216" spans="1:45" s="56" customFormat="1" ht="99">
      <c r="A216" s="114" t="s">
        <v>100</v>
      </c>
      <c r="B216" s="115" t="s">
        <v>814</v>
      </c>
      <c r="C216" s="116" t="s">
        <v>617</v>
      </c>
      <c r="D216" s="116" t="s">
        <v>606</v>
      </c>
      <c r="E216" s="206">
        <v>3023602</v>
      </c>
      <c r="F216" s="206">
        <f>E216*$E$5</f>
        <v>2124999.5800080001</v>
      </c>
      <c r="G216" s="122">
        <v>3023602</v>
      </c>
      <c r="H216" s="122">
        <f>G216*$G$5</f>
        <v>2124999.5800080001</v>
      </c>
      <c r="I216" s="206">
        <v>3023602</v>
      </c>
      <c r="J216" s="117">
        <f>I216*$I$5</f>
        <v>2124999.5800080001</v>
      </c>
      <c r="K216" s="107" t="s">
        <v>469</v>
      </c>
      <c r="L216" s="117">
        <v>0</v>
      </c>
      <c r="M216" s="117"/>
      <c r="N216" s="118">
        <f t="shared" si="101"/>
        <v>2124999.5800080001</v>
      </c>
      <c r="O216" s="205">
        <v>0</v>
      </c>
      <c r="P216" s="135">
        <v>2124999</v>
      </c>
      <c r="Q216" s="130">
        <f t="shared" si="94"/>
        <v>0.99999972705500484</v>
      </c>
      <c r="R216" s="131">
        <v>0.99999972705500484</v>
      </c>
      <c r="S216" s="130">
        <f t="shared" si="95"/>
        <v>0</v>
      </c>
      <c r="T216" s="130">
        <f t="shared" si="86"/>
        <v>0.99999972705500484</v>
      </c>
      <c r="U216" s="135">
        <v>2124999</v>
      </c>
      <c r="V216" s="130">
        <f t="shared" si="96"/>
        <v>0.99999972705500484</v>
      </c>
      <c r="W216" s="130">
        <v>0.99999972705500484</v>
      </c>
      <c r="X216" s="130">
        <f t="shared" si="97"/>
        <v>0</v>
      </c>
      <c r="Y216" s="130">
        <f t="shared" si="102"/>
        <v>0.99999972705500484</v>
      </c>
      <c r="Z216" s="134">
        <v>0</v>
      </c>
      <c r="AA216" s="134">
        <v>0</v>
      </c>
      <c r="AB216" s="134">
        <v>0</v>
      </c>
      <c r="AC216" s="134">
        <v>0</v>
      </c>
      <c r="AD216" s="134">
        <v>0</v>
      </c>
      <c r="AE216" s="134">
        <f t="shared" si="111"/>
        <v>0</v>
      </c>
      <c r="AF216" s="135">
        <f t="shared" si="112"/>
        <v>0</v>
      </c>
      <c r="AG216" s="284">
        <f t="shared" si="117"/>
        <v>0</v>
      </c>
      <c r="AH216" s="120">
        <f t="shared" si="99"/>
        <v>0</v>
      </c>
      <c r="AI216" s="120">
        <v>0</v>
      </c>
      <c r="AJ216" s="120">
        <f t="shared" si="100"/>
        <v>0</v>
      </c>
      <c r="AK216" s="125">
        <f t="shared" si="104"/>
        <v>0</v>
      </c>
      <c r="AL216" s="117"/>
      <c r="AM216" s="126"/>
      <c r="AN216" s="126"/>
      <c r="AO216" s="126"/>
      <c r="AP216" s="117"/>
      <c r="AQ216" s="126"/>
      <c r="AR216" s="126"/>
      <c r="AS216" s="127"/>
    </row>
    <row r="217" spans="1:45" s="56" customFormat="1" ht="49.5">
      <c r="A217" s="114" t="s">
        <v>101</v>
      </c>
      <c r="B217" s="115" t="s">
        <v>815</v>
      </c>
      <c r="C217" s="116" t="s">
        <v>617</v>
      </c>
      <c r="D217" s="116" t="s">
        <v>606</v>
      </c>
      <c r="E217" s="206">
        <v>33250000</v>
      </c>
      <c r="F217" s="206">
        <f>E217*$E$5</f>
        <v>23368233</v>
      </c>
      <c r="G217" s="122">
        <v>33250000</v>
      </c>
      <c r="H217" s="122">
        <f>G217*$G$5</f>
        <v>23368233</v>
      </c>
      <c r="I217" s="206">
        <v>33250000</v>
      </c>
      <c r="J217" s="117">
        <f>I217*$I$5</f>
        <v>23368233</v>
      </c>
      <c r="K217" s="107" t="s">
        <v>469</v>
      </c>
      <c r="L217" s="117">
        <v>0</v>
      </c>
      <c r="M217" s="117"/>
      <c r="N217" s="118">
        <f t="shared" si="101"/>
        <v>23368233</v>
      </c>
      <c r="O217" s="205">
        <v>16440429.41</v>
      </c>
      <c r="P217" s="135">
        <v>22283297.129999999</v>
      </c>
      <c r="Q217" s="130">
        <f t="shared" si="94"/>
        <v>0.95357219050323572</v>
      </c>
      <c r="R217" s="131">
        <v>0.95357219050323572</v>
      </c>
      <c r="S217" s="130">
        <f t="shared" si="95"/>
        <v>0</v>
      </c>
      <c r="T217" s="130">
        <f>P217/N217</f>
        <v>0.95357219050323572</v>
      </c>
      <c r="U217" s="135">
        <v>22283297.129999999</v>
      </c>
      <c r="V217" s="130">
        <f t="shared" si="96"/>
        <v>0.95357219050323572</v>
      </c>
      <c r="W217" s="131">
        <v>0.95357219050323572</v>
      </c>
      <c r="X217" s="130">
        <f t="shared" si="97"/>
        <v>0</v>
      </c>
      <c r="Y217" s="130">
        <f t="shared" si="102"/>
        <v>0.95357219050323572</v>
      </c>
      <c r="Z217" s="134">
        <v>7420163.8499999996</v>
      </c>
      <c r="AA217" s="134">
        <v>0</v>
      </c>
      <c r="AB217" s="134">
        <v>0</v>
      </c>
      <c r="AC217" s="134">
        <v>0</v>
      </c>
      <c r="AD217" s="134">
        <v>0</v>
      </c>
      <c r="AE217" s="134">
        <f t="shared" si="111"/>
        <v>7420163.8499999996</v>
      </c>
      <c r="AF217" s="135">
        <f t="shared" si="112"/>
        <v>7420163.8499999996</v>
      </c>
      <c r="AG217" s="284">
        <f t="shared" si="117"/>
        <v>7420163.8499999996</v>
      </c>
      <c r="AH217" s="120">
        <f t="shared" si="99"/>
        <v>0.31753208939674643</v>
      </c>
      <c r="AI217" s="120">
        <v>0.31753208939674643</v>
      </c>
      <c r="AJ217" s="120">
        <f t="shared" si="100"/>
        <v>0</v>
      </c>
      <c r="AK217" s="125">
        <f t="shared" si="104"/>
        <v>0.31753208939674643</v>
      </c>
      <c r="AL217" s="117"/>
      <c r="AM217" s="126"/>
      <c r="AN217" s="126"/>
      <c r="AO217" s="126"/>
      <c r="AP217" s="117"/>
      <c r="AQ217" s="126"/>
      <c r="AR217" s="126"/>
      <c r="AS217" s="127"/>
    </row>
    <row r="218" spans="1:45" s="204" customFormat="1" ht="49.5">
      <c r="A218" s="139" t="s">
        <v>816</v>
      </c>
      <c r="B218" s="140" t="s">
        <v>817</v>
      </c>
      <c r="C218" s="141" t="s">
        <v>617</v>
      </c>
      <c r="D218" s="141" t="s">
        <v>606</v>
      </c>
      <c r="E218" s="145"/>
      <c r="F218" s="206">
        <f>F219+F220</f>
        <v>10542060</v>
      </c>
      <c r="G218" s="117"/>
      <c r="H218" s="117">
        <f>H219+H220</f>
        <v>10542060</v>
      </c>
      <c r="I218" s="117"/>
      <c r="J218" s="117">
        <f>J219+J220</f>
        <v>10542060</v>
      </c>
      <c r="K218" s="107" t="s">
        <v>469</v>
      </c>
      <c r="L218" s="117">
        <v>0</v>
      </c>
      <c r="M218" s="117">
        <v>0</v>
      </c>
      <c r="N218" s="118">
        <f t="shared" si="101"/>
        <v>10542060</v>
      </c>
      <c r="O218" s="208">
        <f t="shared" ref="O218" si="118">O219+O220</f>
        <v>3829671.62</v>
      </c>
      <c r="P218" s="143">
        <f>P219+P220</f>
        <v>7026611.0699999994</v>
      </c>
      <c r="Q218" s="130">
        <f t="shared" si="94"/>
        <v>0.6665311210522421</v>
      </c>
      <c r="R218" s="130">
        <v>0.67543043484859699</v>
      </c>
      <c r="S218" s="130">
        <f t="shared" si="95"/>
        <v>-8.8993137963548907E-3</v>
      </c>
      <c r="T218" s="130">
        <f t="shared" si="86"/>
        <v>0.6665311210522421</v>
      </c>
      <c r="U218" s="144">
        <f>U219+U220</f>
        <v>7026611.0699999994</v>
      </c>
      <c r="V218" s="130">
        <f t="shared" si="96"/>
        <v>0.6665311210522421</v>
      </c>
      <c r="W218" s="131">
        <v>0.67543043484859699</v>
      </c>
      <c r="X218" s="130">
        <f t="shared" si="97"/>
        <v>-8.8993137963548907E-3</v>
      </c>
      <c r="Y218" s="130">
        <f t="shared" si="102"/>
        <v>0.6665311210522421</v>
      </c>
      <c r="Z218" s="134">
        <f>Z219+Z220</f>
        <v>3666440.0999999996</v>
      </c>
      <c r="AA218" s="134">
        <f t="shared" ref="AA218:AD218" si="119">AA219+AA220</f>
        <v>0</v>
      </c>
      <c r="AB218" s="134">
        <f t="shared" si="119"/>
        <v>647595.94999999995</v>
      </c>
      <c r="AC218" s="134">
        <f t="shared" si="119"/>
        <v>132572.5500000001</v>
      </c>
      <c r="AD218" s="134">
        <f t="shared" si="119"/>
        <v>0</v>
      </c>
      <c r="AE218" s="144">
        <f t="shared" si="111"/>
        <v>4314036.05</v>
      </c>
      <c r="AF218" s="135">
        <f t="shared" si="112"/>
        <v>3799012.65</v>
      </c>
      <c r="AG218" s="284">
        <f t="shared" si="117"/>
        <v>4314036.05</v>
      </c>
      <c r="AH218" s="120">
        <f t="shared" si="99"/>
        <v>0.4092213523732553</v>
      </c>
      <c r="AI218" s="120">
        <v>0.33086471998831346</v>
      </c>
      <c r="AJ218" s="120">
        <f t="shared" si="100"/>
        <v>7.8356632384941838E-2</v>
      </c>
      <c r="AK218" s="125">
        <f t="shared" si="104"/>
        <v>0.4092213523732553</v>
      </c>
      <c r="AL218" s="117"/>
      <c r="AM218" s="126"/>
      <c r="AN218" s="126"/>
      <c r="AO218" s="126"/>
      <c r="AP218" s="117"/>
      <c r="AQ218" s="126"/>
      <c r="AR218" s="126"/>
      <c r="AS218" s="127"/>
    </row>
    <row r="219" spans="1:45" s="56" customFormat="1" ht="99">
      <c r="A219" s="114" t="s">
        <v>102</v>
      </c>
      <c r="B219" s="115" t="s">
        <v>818</v>
      </c>
      <c r="C219" s="116" t="s">
        <v>617</v>
      </c>
      <c r="D219" s="116" t="s">
        <v>606</v>
      </c>
      <c r="E219" s="206">
        <v>10000000</v>
      </c>
      <c r="F219" s="206">
        <f>E219*$E$5</f>
        <v>7028040</v>
      </c>
      <c r="G219" s="122">
        <v>10000000</v>
      </c>
      <c r="H219" s="122">
        <f>G219*$G$5</f>
        <v>7028040</v>
      </c>
      <c r="I219" s="206">
        <v>10000000</v>
      </c>
      <c r="J219" s="117">
        <f>I219*$I$5</f>
        <v>7028040</v>
      </c>
      <c r="K219" s="107" t="s">
        <v>469</v>
      </c>
      <c r="L219" s="117">
        <v>0</v>
      </c>
      <c r="M219" s="117"/>
      <c r="N219" s="118">
        <f t="shared" si="101"/>
        <v>7028040</v>
      </c>
      <c r="O219" s="205">
        <v>2092659.5</v>
      </c>
      <c r="P219" s="135">
        <v>4940450.5999999996</v>
      </c>
      <c r="Q219" s="130">
        <f t="shared" si="94"/>
        <v>0.7029627890564083</v>
      </c>
      <c r="R219" s="131">
        <v>0.7029627890564083</v>
      </c>
      <c r="S219" s="130">
        <f t="shared" si="95"/>
        <v>0</v>
      </c>
      <c r="T219" s="130">
        <f t="shared" si="86"/>
        <v>0.7029627890564083</v>
      </c>
      <c r="U219" s="135">
        <v>4940450.5999999996</v>
      </c>
      <c r="V219" s="130">
        <f t="shared" si="96"/>
        <v>0.7029627890564083</v>
      </c>
      <c r="W219" s="131">
        <v>0.7029627890564083</v>
      </c>
      <c r="X219" s="130">
        <f t="shared" si="97"/>
        <v>0</v>
      </c>
      <c r="Y219" s="130">
        <f t="shared" si="102"/>
        <v>0.7029627890564083</v>
      </c>
      <c r="Z219" s="134">
        <v>1863321.39</v>
      </c>
      <c r="AA219" s="134"/>
      <c r="AB219" s="134">
        <v>441825.6</v>
      </c>
      <c r="AC219" s="134">
        <v>87631.97</v>
      </c>
      <c r="AD219" s="134">
        <v>0</v>
      </c>
      <c r="AE219" s="134">
        <f t="shared" si="111"/>
        <v>2305146.9899999998</v>
      </c>
      <c r="AF219" s="135">
        <f t="shared" si="112"/>
        <v>1950953.3599999999</v>
      </c>
      <c r="AG219" s="284">
        <f t="shared" si="117"/>
        <v>2305146.9899999998</v>
      </c>
      <c r="AH219" s="120">
        <f t="shared" si="99"/>
        <v>0.32799286714361325</v>
      </c>
      <c r="AI219" s="120">
        <v>0.2326775388301717</v>
      </c>
      <c r="AJ219" s="120">
        <f t="shared" si="100"/>
        <v>9.5315328313441555E-2</v>
      </c>
      <c r="AK219" s="125">
        <f t="shared" si="104"/>
        <v>0.32799286714361325</v>
      </c>
      <c r="AL219" s="117"/>
      <c r="AM219" s="126"/>
      <c r="AN219" s="126"/>
      <c r="AO219" s="126"/>
      <c r="AP219" s="117"/>
      <c r="AQ219" s="126"/>
      <c r="AR219" s="126"/>
      <c r="AS219" s="127"/>
    </row>
    <row r="220" spans="1:45" s="56" customFormat="1" ht="115.5">
      <c r="A220" s="114" t="s">
        <v>819</v>
      </c>
      <c r="B220" s="115" t="s">
        <v>820</v>
      </c>
      <c r="C220" s="116" t="s">
        <v>617</v>
      </c>
      <c r="D220" s="116" t="s">
        <v>606</v>
      </c>
      <c r="E220" s="206">
        <v>5000000</v>
      </c>
      <c r="F220" s="206">
        <f>E220*$E$5</f>
        <v>3514020</v>
      </c>
      <c r="G220" s="122">
        <v>5000000</v>
      </c>
      <c r="H220" s="122">
        <f>G220*$G$5</f>
        <v>3514020</v>
      </c>
      <c r="I220" s="206">
        <v>5000000</v>
      </c>
      <c r="J220" s="117">
        <f>I220*$I$5</f>
        <v>3514020</v>
      </c>
      <c r="K220" s="107" t="s">
        <v>469</v>
      </c>
      <c r="L220" s="117">
        <v>0</v>
      </c>
      <c r="M220" s="117"/>
      <c r="N220" s="118">
        <f t="shared" si="101"/>
        <v>3514020</v>
      </c>
      <c r="O220" s="205">
        <v>1737012.12</v>
      </c>
      <c r="P220" s="135">
        <v>2086160.47</v>
      </c>
      <c r="Q220" s="130">
        <f t="shared" si="94"/>
        <v>0.59366778504390982</v>
      </c>
      <c r="R220" s="131">
        <v>0.62036572643297416</v>
      </c>
      <c r="S220" s="130">
        <f t="shared" si="95"/>
        <v>-2.6697941389064339E-2</v>
      </c>
      <c r="T220" s="130">
        <f t="shared" si="86"/>
        <v>0.59366778504390982</v>
      </c>
      <c r="U220" s="135">
        <v>2086160.47</v>
      </c>
      <c r="V220" s="130">
        <f t="shared" si="96"/>
        <v>0.59366778504390982</v>
      </c>
      <c r="W220" s="130">
        <v>0.62036572643297416</v>
      </c>
      <c r="X220" s="130">
        <f t="shared" si="97"/>
        <v>-2.6697941389064339E-2</v>
      </c>
      <c r="Y220" s="130">
        <f t="shared" si="102"/>
        <v>0.59366778504390982</v>
      </c>
      <c r="Z220" s="134">
        <v>1803118.71</v>
      </c>
      <c r="AA220" s="134"/>
      <c r="AB220" s="134">
        <v>205770.35</v>
      </c>
      <c r="AC220" s="134">
        <v>44940.580000000104</v>
      </c>
      <c r="AD220" s="134">
        <v>0</v>
      </c>
      <c r="AE220" s="134">
        <f t="shared" si="111"/>
        <v>2008889.06</v>
      </c>
      <c r="AF220" s="135">
        <f t="shared" si="112"/>
        <v>1848059.29</v>
      </c>
      <c r="AG220" s="284">
        <f t="shared" si="117"/>
        <v>2008889.06</v>
      </c>
      <c r="AH220" s="120">
        <f t="shared" si="99"/>
        <v>0.57167832283253939</v>
      </c>
      <c r="AI220" s="120">
        <v>0.52723908230459704</v>
      </c>
      <c r="AJ220" s="120">
        <f t="shared" si="100"/>
        <v>4.4439240527942347E-2</v>
      </c>
      <c r="AK220" s="125">
        <f t="shared" si="104"/>
        <v>0.57167832283253939</v>
      </c>
      <c r="AL220" s="117"/>
      <c r="AM220" s="126"/>
      <c r="AN220" s="126"/>
      <c r="AO220" s="126"/>
      <c r="AP220" s="117"/>
      <c r="AQ220" s="126"/>
      <c r="AR220" s="126"/>
      <c r="AS220" s="127"/>
    </row>
    <row r="221" spans="1:45" s="204" customFormat="1" ht="33">
      <c r="A221" s="104" t="s">
        <v>821</v>
      </c>
      <c r="B221" s="105" t="s">
        <v>822</v>
      </c>
      <c r="C221" s="106" t="s">
        <v>617</v>
      </c>
      <c r="D221" s="106" t="s">
        <v>535</v>
      </c>
      <c r="E221" s="109"/>
      <c r="F221" s="107">
        <f>F222+F226</f>
        <v>12109723.357535999</v>
      </c>
      <c r="G221" s="107"/>
      <c r="H221" s="107">
        <f>H222+H226</f>
        <v>12109723.357535999</v>
      </c>
      <c r="I221" s="107"/>
      <c r="J221" s="107">
        <f>J222+J226</f>
        <v>12109723.357535999</v>
      </c>
      <c r="K221" s="107" t="s">
        <v>469</v>
      </c>
      <c r="L221" s="107">
        <f>L222+L226</f>
        <v>0</v>
      </c>
      <c r="M221" s="107">
        <f>M222+M226</f>
        <v>0</v>
      </c>
      <c r="N221" s="86">
        <f t="shared" si="101"/>
        <v>12109723.357535999</v>
      </c>
      <c r="O221" s="207">
        <f t="shared" ref="O221" si="120">O222+O226</f>
        <v>9757659</v>
      </c>
      <c r="P221" s="137">
        <f>P222+P226</f>
        <v>11675183.879999999</v>
      </c>
      <c r="Q221" s="138">
        <f t="shared" si="94"/>
        <v>0.9641164818793666</v>
      </c>
      <c r="R221" s="138">
        <v>0.9641164818793666</v>
      </c>
      <c r="S221" s="138">
        <f t="shared" si="95"/>
        <v>0</v>
      </c>
      <c r="T221" s="138">
        <f t="shared" si="86"/>
        <v>0.9641164818793666</v>
      </c>
      <c r="U221" s="137">
        <f>U222+U226</f>
        <v>11675183.879999999</v>
      </c>
      <c r="V221" s="138">
        <f t="shared" si="96"/>
        <v>0.9641164818793666</v>
      </c>
      <c r="W221" s="186">
        <v>0.9641164818793666</v>
      </c>
      <c r="X221" s="138">
        <f t="shared" si="97"/>
        <v>0</v>
      </c>
      <c r="Y221" s="138">
        <f t="shared" si="102"/>
        <v>0.9641164818793666</v>
      </c>
      <c r="Z221" s="137">
        <f t="shared" ref="Z221:AD221" si="121">Z222+Z226</f>
        <v>5463500.5099999998</v>
      </c>
      <c r="AA221" s="137">
        <f t="shared" si="121"/>
        <v>0</v>
      </c>
      <c r="AB221" s="137">
        <f t="shared" si="121"/>
        <v>1912448.65</v>
      </c>
      <c r="AC221" s="137">
        <f t="shared" si="121"/>
        <v>1417099.3499999992</v>
      </c>
      <c r="AD221" s="137">
        <f t="shared" si="121"/>
        <v>171917.71</v>
      </c>
      <c r="AE221" s="144">
        <f t="shared" si="111"/>
        <v>7204031.4500000002</v>
      </c>
      <c r="AF221" s="135">
        <f t="shared" si="112"/>
        <v>6880599.8599999994</v>
      </c>
      <c r="AG221" s="279">
        <f>AG222+AG226</f>
        <v>7375949.1600000001</v>
      </c>
      <c r="AH221" s="110">
        <f t="shared" si="99"/>
        <v>0.60909311816853973</v>
      </c>
      <c r="AI221" s="110">
        <v>0.58294630286553306</v>
      </c>
      <c r="AJ221" s="110">
        <f t="shared" si="100"/>
        <v>2.6146815303006665E-2</v>
      </c>
      <c r="AK221" s="89">
        <f t="shared" si="104"/>
        <v>0.60909311816853973</v>
      </c>
      <c r="AL221" s="117"/>
      <c r="AM221" s="126"/>
      <c r="AN221" s="126"/>
      <c r="AO221" s="126"/>
      <c r="AP221" s="117"/>
      <c r="AQ221" s="126"/>
      <c r="AR221" s="126"/>
      <c r="AS221" s="127"/>
    </row>
    <row r="222" spans="1:45" s="204" customFormat="1" ht="82.5">
      <c r="A222" s="139" t="s">
        <v>823</v>
      </c>
      <c r="B222" s="140" t="s">
        <v>824</v>
      </c>
      <c r="C222" s="141" t="s">
        <v>617</v>
      </c>
      <c r="D222" s="141" t="s">
        <v>535</v>
      </c>
      <c r="E222" s="145"/>
      <c r="F222" s="117">
        <f>F223+F224+F225</f>
        <v>12109723.357535999</v>
      </c>
      <c r="G222" s="117"/>
      <c r="H222" s="117">
        <f>H223+H224+H225</f>
        <v>12109723.357535999</v>
      </c>
      <c r="I222" s="117"/>
      <c r="J222" s="117">
        <f>J223+J224+J225</f>
        <v>12109723.357535999</v>
      </c>
      <c r="K222" s="107" t="s">
        <v>469</v>
      </c>
      <c r="L222" s="117">
        <f>L223+L224+L225</f>
        <v>0</v>
      </c>
      <c r="M222" s="117">
        <f>M223+M224+M225</f>
        <v>0</v>
      </c>
      <c r="N222" s="118">
        <f t="shared" si="101"/>
        <v>12109723.357535999</v>
      </c>
      <c r="O222" s="208">
        <f t="shared" ref="O222" si="122">O223+O224+O225</f>
        <v>9757659</v>
      </c>
      <c r="P222" s="143">
        <f>P223+P224+P225</f>
        <v>11675183.879999999</v>
      </c>
      <c r="Q222" s="130">
        <f t="shared" si="94"/>
        <v>0.9641164818793666</v>
      </c>
      <c r="R222" s="130">
        <v>0.9641164818793666</v>
      </c>
      <c r="S222" s="130">
        <f>Q222-R222</f>
        <v>0</v>
      </c>
      <c r="T222" s="130">
        <f t="shared" si="86"/>
        <v>0.9641164818793666</v>
      </c>
      <c r="U222" s="144">
        <f>U223+U224+U225</f>
        <v>11675183.879999999</v>
      </c>
      <c r="V222" s="130">
        <f t="shared" si="96"/>
        <v>0.9641164818793666</v>
      </c>
      <c r="W222" s="131">
        <v>0.9641164818793666</v>
      </c>
      <c r="X222" s="130">
        <f t="shared" si="97"/>
        <v>0</v>
      </c>
      <c r="Y222" s="130">
        <f t="shared" si="102"/>
        <v>0.9641164818793666</v>
      </c>
      <c r="Z222" s="144">
        <f t="shared" ref="Z222:AB222" si="123">Z223+Z224+Z225</f>
        <v>5463500.5099999998</v>
      </c>
      <c r="AA222" s="144">
        <f t="shared" si="123"/>
        <v>0</v>
      </c>
      <c r="AB222" s="144">
        <f t="shared" si="123"/>
        <v>1912448.65</v>
      </c>
      <c r="AC222" s="144">
        <f>AC223+AC224+AC225</f>
        <v>1417099.3499999992</v>
      </c>
      <c r="AD222" s="144">
        <f>AD223+AD224+AD225</f>
        <v>171917.71</v>
      </c>
      <c r="AE222" s="144">
        <f>AG222-AD222</f>
        <v>7204031.4500000002</v>
      </c>
      <c r="AF222" s="135">
        <f t="shared" si="112"/>
        <v>6880599.8599999994</v>
      </c>
      <c r="AG222" s="283">
        <f>AG223+AG224+AG225</f>
        <v>7375949.1600000001</v>
      </c>
      <c r="AH222" s="120">
        <f t="shared" si="99"/>
        <v>0.60909311816853973</v>
      </c>
      <c r="AI222" s="120">
        <v>0.58294630286553306</v>
      </c>
      <c r="AJ222" s="120">
        <f t="shared" si="100"/>
        <v>2.6146815303006665E-2</v>
      </c>
      <c r="AK222" s="125">
        <f t="shared" si="104"/>
        <v>0.60909311816853973</v>
      </c>
      <c r="AL222" s="117"/>
      <c r="AM222" s="126"/>
      <c r="AN222" s="126"/>
      <c r="AO222" s="126"/>
      <c r="AP222" s="117"/>
      <c r="AQ222" s="126"/>
      <c r="AR222" s="126"/>
      <c r="AS222" s="127"/>
    </row>
    <row r="223" spans="1:45" s="56" customFormat="1" ht="165">
      <c r="A223" s="114" t="s">
        <v>74</v>
      </c>
      <c r="B223" s="115" t="s">
        <v>825</v>
      </c>
      <c r="C223" s="116" t="s">
        <v>617</v>
      </c>
      <c r="D223" s="116" t="s">
        <v>535</v>
      </c>
      <c r="E223" s="206">
        <v>11049900</v>
      </c>
      <c r="F223" s="122">
        <f>E223*$E$5</f>
        <v>7765913.9195999997</v>
      </c>
      <c r="G223" s="122">
        <v>11049900</v>
      </c>
      <c r="H223" s="122">
        <f>G223*$G$5</f>
        <v>7765913.9195999997</v>
      </c>
      <c r="I223" s="206">
        <v>11049900</v>
      </c>
      <c r="J223" s="117">
        <f>I223*$I$5</f>
        <v>7765913.9195999997</v>
      </c>
      <c r="K223" s="107" t="s">
        <v>469</v>
      </c>
      <c r="L223" s="117">
        <v>0</v>
      </c>
      <c r="M223" s="117"/>
      <c r="N223" s="118">
        <f t="shared" si="101"/>
        <v>7765913.9195999997</v>
      </c>
      <c r="O223" s="205">
        <v>6362886.1299999999</v>
      </c>
      <c r="P223" s="135">
        <v>7387592.3499999996</v>
      </c>
      <c r="Q223" s="130">
        <f t="shared" si="94"/>
        <v>0.95128434675986129</v>
      </c>
      <c r="R223" s="131">
        <v>0.95128434675986129</v>
      </c>
      <c r="S223" s="130">
        <f t="shared" si="95"/>
        <v>0</v>
      </c>
      <c r="T223" s="130">
        <f t="shared" si="86"/>
        <v>0.95128434675986129</v>
      </c>
      <c r="U223" s="135">
        <v>7387592.3499999996</v>
      </c>
      <c r="V223" s="130">
        <f t="shared" si="96"/>
        <v>0.95128434675986129</v>
      </c>
      <c r="W223" s="130">
        <v>0.95128434675986129</v>
      </c>
      <c r="X223" s="130">
        <f t="shared" si="97"/>
        <v>0</v>
      </c>
      <c r="Y223" s="130">
        <f t="shared" si="102"/>
        <v>0.95128434675986129</v>
      </c>
      <c r="Z223" s="134">
        <v>3984021.58</v>
      </c>
      <c r="AA223" s="134"/>
      <c r="AB223" s="134">
        <v>994844.9</v>
      </c>
      <c r="AC223" s="134">
        <v>763657.03999999899</v>
      </c>
      <c r="AD223" s="134">
        <v>139998.29999999999</v>
      </c>
      <c r="AE223" s="134">
        <f t="shared" si="111"/>
        <v>4838868.1800000006</v>
      </c>
      <c r="AF223" s="135">
        <f t="shared" si="112"/>
        <v>4747678.6199999992</v>
      </c>
      <c r="AG223" s="284">
        <f>SUM(Z223:AB223)</f>
        <v>4978866.4800000004</v>
      </c>
      <c r="AH223" s="120">
        <f t="shared" si="99"/>
        <v>0.64111790724773421</v>
      </c>
      <c r="AI223" s="120">
        <v>0.63890109153509156</v>
      </c>
      <c r="AJ223" s="120">
        <f t="shared" si="100"/>
        <v>2.2168157126426502E-3</v>
      </c>
      <c r="AK223" s="125">
        <f t="shared" si="104"/>
        <v>0.64111790724773421</v>
      </c>
      <c r="AL223" s="117"/>
      <c r="AM223" s="126"/>
      <c r="AN223" s="126"/>
      <c r="AO223" s="126"/>
      <c r="AP223" s="117"/>
      <c r="AQ223" s="126"/>
      <c r="AR223" s="126"/>
      <c r="AS223" s="127"/>
    </row>
    <row r="224" spans="1:45" s="56" customFormat="1" ht="66">
      <c r="A224" s="114" t="s">
        <v>75</v>
      </c>
      <c r="B224" s="115" t="s">
        <v>826</v>
      </c>
      <c r="C224" s="116" t="s">
        <v>617</v>
      </c>
      <c r="D224" s="116" t="s">
        <v>535</v>
      </c>
      <c r="E224" s="206">
        <v>6180684</v>
      </c>
      <c r="F224" s="122">
        <f>E224*$E$5</f>
        <v>4343809.4379359996</v>
      </c>
      <c r="G224" s="122">
        <v>6180684</v>
      </c>
      <c r="H224" s="122">
        <f>G224*$G$5</f>
        <v>4343809.4379359996</v>
      </c>
      <c r="I224" s="206">
        <v>6180684</v>
      </c>
      <c r="J224" s="117">
        <f>I224*$I$5</f>
        <v>4343809.4379359996</v>
      </c>
      <c r="K224" s="107" t="s">
        <v>469</v>
      </c>
      <c r="L224" s="117">
        <v>0</v>
      </c>
      <c r="M224" s="117"/>
      <c r="N224" s="118">
        <f t="shared" si="101"/>
        <v>4343809.4379359996</v>
      </c>
      <c r="O224" s="205">
        <v>3394772.87</v>
      </c>
      <c r="P224" s="135">
        <v>4287591.53</v>
      </c>
      <c r="Q224" s="130">
        <f t="shared" si="94"/>
        <v>0.9870579249068735</v>
      </c>
      <c r="R224" s="131">
        <v>0.9870579249068735</v>
      </c>
      <c r="S224" s="130">
        <f t="shared" si="95"/>
        <v>0</v>
      </c>
      <c r="T224" s="130">
        <f t="shared" si="86"/>
        <v>0.9870579249068735</v>
      </c>
      <c r="U224" s="135">
        <v>4287591.53</v>
      </c>
      <c r="V224" s="130">
        <f t="shared" si="96"/>
        <v>0.9870579249068735</v>
      </c>
      <c r="W224" s="130">
        <v>0.9870579249068735</v>
      </c>
      <c r="X224" s="130">
        <f t="shared" si="97"/>
        <v>0</v>
      </c>
      <c r="Y224" s="130">
        <f t="shared" si="102"/>
        <v>0.9870579249068735</v>
      </c>
      <c r="Z224" s="134">
        <v>1479478.9300000002</v>
      </c>
      <c r="AA224" s="134"/>
      <c r="AB224" s="134">
        <v>917603.75</v>
      </c>
      <c r="AC224" s="134">
        <v>653442.31000000006</v>
      </c>
      <c r="AD224" s="134">
        <v>31919.41</v>
      </c>
      <c r="AE224" s="134">
        <f t="shared" si="111"/>
        <v>2365163.27</v>
      </c>
      <c r="AF224" s="135">
        <f t="shared" si="112"/>
        <v>2132921.2400000002</v>
      </c>
      <c r="AG224" s="284">
        <f>SUM(Z224:AB224)</f>
        <v>2397082.6800000002</v>
      </c>
      <c r="AH224" s="120">
        <f t="shared" si="99"/>
        <v>0.55183882125800521</v>
      </c>
      <c r="AI224" s="120">
        <v>0.48290966948972003</v>
      </c>
      <c r="AJ224" s="120">
        <f t="shared" si="100"/>
        <v>6.892915176828518E-2</v>
      </c>
      <c r="AK224" s="125">
        <f t="shared" si="104"/>
        <v>0.55183882125800521</v>
      </c>
      <c r="AL224" s="117"/>
      <c r="AM224" s="126"/>
      <c r="AN224" s="126"/>
      <c r="AO224" s="126"/>
      <c r="AP224" s="117"/>
      <c r="AQ224" s="126"/>
      <c r="AR224" s="126"/>
      <c r="AS224" s="127"/>
    </row>
    <row r="225" spans="1:45" s="56" customFormat="1" ht="115.5">
      <c r="A225" s="114" t="s">
        <v>76</v>
      </c>
      <c r="B225" s="115" t="s">
        <v>827</v>
      </c>
      <c r="C225" s="116" t="s">
        <v>617</v>
      </c>
      <c r="D225" s="116" t="s">
        <v>535</v>
      </c>
      <c r="E225" s="206">
        <v>0</v>
      </c>
      <c r="F225" s="122">
        <f>E225*$E$5</f>
        <v>0</v>
      </c>
      <c r="G225" s="122">
        <v>0</v>
      </c>
      <c r="H225" s="122">
        <f>G225*$G$5</f>
        <v>0</v>
      </c>
      <c r="I225" s="206">
        <v>0</v>
      </c>
      <c r="J225" s="117">
        <f>I225*$I$5</f>
        <v>0</v>
      </c>
      <c r="K225" s="107" t="s">
        <v>469</v>
      </c>
      <c r="L225" s="117">
        <v>0</v>
      </c>
      <c r="M225" s="117"/>
      <c r="N225" s="118">
        <f t="shared" si="101"/>
        <v>0</v>
      </c>
      <c r="O225" s="205">
        <v>0</v>
      </c>
      <c r="P225" s="135">
        <v>0</v>
      </c>
      <c r="Q225" s="130"/>
      <c r="R225" s="131"/>
      <c r="S225" s="130"/>
      <c r="T225" s="130" t="e">
        <f t="shared" si="86"/>
        <v>#DIV/0!</v>
      </c>
      <c r="U225" s="135">
        <v>0</v>
      </c>
      <c r="V225" s="130"/>
      <c r="W225" s="131"/>
      <c r="X225" s="130"/>
      <c r="Y225" s="130" t="e">
        <f t="shared" si="102"/>
        <v>#DIV/0!</v>
      </c>
      <c r="Z225" s="134">
        <v>0</v>
      </c>
      <c r="AA225" s="134">
        <v>0</v>
      </c>
      <c r="AB225" s="134">
        <v>0</v>
      </c>
      <c r="AC225" s="134">
        <v>0</v>
      </c>
      <c r="AD225" s="134">
        <v>0</v>
      </c>
      <c r="AE225" s="134">
        <f t="shared" si="111"/>
        <v>0</v>
      </c>
      <c r="AF225" s="135">
        <f t="shared" si="112"/>
        <v>0</v>
      </c>
      <c r="AG225" s="284">
        <f>SUM(Z225:AB225)</f>
        <v>0</v>
      </c>
      <c r="AH225" s="120"/>
      <c r="AI225" s="120"/>
      <c r="AJ225" s="120"/>
      <c r="AK225" s="125" t="e">
        <f t="shared" si="104"/>
        <v>#DIV/0!</v>
      </c>
      <c r="AL225" s="117"/>
      <c r="AM225" s="126"/>
      <c r="AN225" s="126"/>
      <c r="AO225" s="126"/>
      <c r="AP225" s="117"/>
      <c r="AQ225" s="126"/>
      <c r="AR225" s="126"/>
      <c r="AS225" s="127"/>
    </row>
    <row r="226" spans="1:45" s="56" customFormat="1" ht="49.5">
      <c r="A226" s="114" t="s">
        <v>77</v>
      </c>
      <c r="B226" s="115" t="s">
        <v>828</v>
      </c>
      <c r="C226" s="116" t="s">
        <v>617</v>
      </c>
      <c r="D226" s="116" t="s">
        <v>535</v>
      </c>
      <c r="E226" s="206">
        <v>0</v>
      </c>
      <c r="F226" s="122">
        <f>E226*$E$5</f>
        <v>0</v>
      </c>
      <c r="G226" s="122">
        <v>0</v>
      </c>
      <c r="H226" s="122">
        <f>G226*$G$5</f>
        <v>0</v>
      </c>
      <c r="I226" s="206">
        <v>0</v>
      </c>
      <c r="J226" s="117">
        <f>I226*$I$5</f>
        <v>0</v>
      </c>
      <c r="K226" s="107" t="s">
        <v>469</v>
      </c>
      <c r="L226" s="117">
        <v>0</v>
      </c>
      <c r="M226" s="117"/>
      <c r="N226" s="118">
        <f t="shared" si="101"/>
        <v>0</v>
      </c>
      <c r="O226" s="205">
        <v>0</v>
      </c>
      <c r="P226" s="135">
        <v>0</v>
      </c>
      <c r="Q226" s="130"/>
      <c r="R226" s="131"/>
      <c r="S226" s="130"/>
      <c r="T226" s="130" t="e">
        <f t="shared" si="86"/>
        <v>#DIV/0!</v>
      </c>
      <c r="U226" s="135">
        <v>0</v>
      </c>
      <c r="V226" s="130"/>
      <c r="W226" s="131"/>
      <c r="X226" s="130"/>
      <c r="Y226" s="130" t="e">
        <f t="shared" si="102"/>
        <v>#DIV/0!</v>
      </c>
      <c r="Z226" s="134">
        <v>0</v>
      </c>
      <c r="AA226" s="134">
        <v>0</v>
      </c>
      <c r="AB226" s="134">
        <v>0</v>
      </c>
      <c r="AC226" s="134">
        <v>0</v>
      </c>
      <c r="AD226" s="134">
        <v>0</v>
      </c>
      <c r="AE226" s="134">
        <f t="shared" si="111"/>
        <v>0</v>
      </c>
      <c r="AF226" s="135">
        <f t="shared" si="112"/>
        <v>0</v>
      </c>
      <c r="AG226" s="284">
        <f>SUM(Z226:AB226)</f>
        <v>0</v>
      </c>
      <c r="AH226" s="120"/>
      <c r="AI226" s="120"/>
      <c r="AJ226" s="120"/>
      <c r="AK226" s="125" t="e">
        <f t="shared" si="104"/>
        <v>#DIV/0!</v>
      </c>
      <c r="AL226" s="117"/>
      <c r="AM226" s="126"/>
      <c r="AN226" s="126"/>
      <c r="AO226" s="126"/>
      <c r="AP226" s="117"/>
      <c r="AQ226" s="126"/>
      <c r="AR226" s="126"/>
      <c r="AS226" s="127"/>
    </row>
    <row r="227" spans="1:45" s="204" customFormat="1" ht="82.5">
      <c r="A227" s="104" t="s">
        <v>829</v>
      </c>
      <c r="B227" s="105" t="s">
        <v>830</v>
      </c>
      <c r="C227" s="106" t="s">
        <v>617</v>
      </c>
      <c r="D227" s="106" t="s">
        <v>831</v>
      </c>
      <c r="E227" s="109"/>
      <c r="F227" s="107">
        <f>F228+F229+F230</f>
        <v>25335213.425843999</v>
      </c>
      <c r="G227" s="107"/>
      <c r="H227" s="107">
        <f>H228+H229+H230</f>
        <v>25335213.425843999</v>
      </c>
      <c r="I227" s="107"/>
      <c r="J227" s="107">
        <f>J228+J229+J230</f>
        <v>25335213.425843999</v>
      </c>
      <c r="K227" s="107" t="s">
        <v>469</v>
      </c>
      <c r="L227" s="107">
        <f>L228+L229+L230</f>
        <v>12000000</v>
      </c>
      <c r="M227" s="107">
        <f>M228+M229+M230</f>
        <v>12000000</v>
      </c>
      <c r="N227" s="86">
        <f t="shared" si="101"/>
        <v>37335213.425843999</v>
      </c>
      <c r="O227" s="207">
        <f t="shared" ref="O227" si="124">O228+O229+O230</f>
        <v>12337360.879999999</v>
      </c>
      <c r="P227" s="137">
        <f>P228+P229+P230</f>
        <v>32263636.369999997</v>
      </c>
      <c r="Q227" s="138">
        <f t="shared" ref="Q227:Q247" si="125">P227/J227</f>
        <v>1.2734700840170716</v>
      </c>
      <c r="R227" s="138">
        <v>0.95775450090536007</v>
      </c>
      <c r="S227" s="138">
        <f t="shared" si="95"/>
        <v>0.31571558311171155</v>
      </c>
      <c r="T227" s="138">
        <f t="shared" si="86"/>
        <v>0.86416102680336149</v>
      </c>
      <c r="U227" s="137">
        <f>U228+U229+U230</f>
        <v>24264577.300000001</v>
      </c>
      <c r="V227" s="138">
        <f t="shared" ref="V227:V245" si="126">U227/J227</f>
        <v>0.95774118386735752</v>
      </c>
      <c r="W227" s="138">
        <v>0.95775450090536007</v>
      </c>
      <c r="X227" s="138">
        <f t="shared" si="97"/>
        <v>-1.3317038002558235E-5</v>
      </c>
      <c r="Y227" s="138">
        <f t="shared" si="102"/>
        <v>0.64991130553451437</v>
      </c>
      <c r="Z227" s="137">
        <f t="shared" ref="Z227:AC227" si="127">Z228+Z229+Z230</f>
        <v>7680039.9399999995</v>
      </c>
      <c r="AA227" s="137">
        <f t="shared" si="127"/>
        <v>37443.14</v>
      </c>
      <c r="AB227" s="137">
        <f t="shared" si="127"/>
        <v>3977828.5500000003</v>
      </c>
      <c r="AC227" s="137">
        <f t="shared" si="127"/>
        <v>331083.510000001</v>
      </c>
      <c r="AD227" s="137">
        <f>AD228+AD229+AD230</f>
        <v>92364.94</v>
      </c>
      <c r="AE227" s="144">
        <f t="shared" si="111"/>
        <v>11602946.690000001</v>
      </c>
      <c r="AF227" s="135">
        <f t="shared" si="112"/>
        <v>8048566.5899999999</v>
      </c>
      <c r="AG227" s="279">
        <f>AG228+AG229+AG230</f>
        <v>11695311.630000001</v>
      </c>
      <c r="AH227" s="110">
        <f t="shared" ref="AH227:AH245" si="128">AG227/J227</f>
        <v>0.4616227790711967</v>
      </c>
      <c r="AI227" s="110">
        <v>0.37718027432333184</v>
      </c>
      <c r="AJ227" s="110">
        <f t="shared" si="100"/>
        <v>8.4442504747864855E-2</v>
      </c>
      <c r="AK227" s="89">
        <f t="shared" si="104"/>
        <v>0.31325150057678069</v>
      </c>
      <c r="AL227" s="117"/>
      <c r="AM227" s="126"/>
      <c r="AN227" s="126"/>
      <c r="AO227" s="126"/>
      <c r="AP227" s="117"/>
      <c r="AQ227" s="126"/>
      <c r="AR227" s="126"/>
      <c r="AS227" s="127"/>
    </row>
    <row r="228" spans="1:45" s="56" customFormat="1" ht="115.5">
      <c r="A228" s="114" t="s">
        <v>114</v>
      </c>
      <c r="B228" s="115" t="s">
        <v>832</v>
      </c>
      <c r="C228" s="116" t="s">
        <v>617</v>
      </c>
      <c r="D228" s="116" t="s">
        <v>831</v>
      </c>
      <c r="E228" s="206">
        <v>21186764</v>
      </c>
      <c r="F228" s="122">
        <f>E228*$E$5</f>
        <v>14890142.486256</v>
      </c>
      <c r="G228" s="122">
        <v>21186764</v>
      </c>
      <c r="H228" s="122">
        <f>G228*$G$5</f>
        <v>14890142.486256</v>
      </c>
      <c r="I228" s="206">
        <v>21186764</v>
      </c>
      <c r="J228" s="117">
        <f>I228*$I$5</f>
        <v>14890142.486256</v>
      </c>
      <c r="K228" s="107" t="s">
        <v>469</v>
      </c>
      <c r="L228" s="117">
        <v>0</v>
      </c>
      <c r="M228" s="117"/>
      <c r="N228" s="118">
        <f t="shared" si="101"/>
        <v>14890142.486256</v>
      </c>
      <c r="O228" s="205">
        <v>6124509.04</v>
      </c>
      <c r="P228" s="135">
        <v>14889924.199999999</v>
      </c>
      <c r="Q228" s="130">
        <f t="shared" si="125"/>
        <v>0.99998534021711327</v>
      </c>
      <c r="R228" s="131">
        <v>0.99998534021711327</v>
      </c>
      <c r="S228" s="130">
        <f t="shared" si="95"/>
        <v>0</v>
      </c>
      <c r="T228" s="130">
        <f t="shared" si="86"/>
        <v>0.99998534021711327</v>
      </c>
      <c r="U228" s="135">
        <v>14889924.199999999</v>
      </c>
      <c r="V228" s="130">
        <f t="shared" si="126"/>
        <v>0.99998534021711327</v>
      </c>
      <c r="W228" s="130">
        <v>0.99998534021711327</v>
      </c>
      <c r="X228" s="130">
        <f t="shared" si="97"/>
        <v>0</v>
      </c>
      <c r="Y228" s="130">
        <f t="shared" si="102"/>
        <v>0.99998534021711327</v>
      </c>
      <c r="Z228" s="134">
        <v>3849325.22</v>
      </c>
      <c r="AA228" s="134"/>
      <c r="AB228" s="134">
        <v>2928628.7</v>
      </c>
      <c r="AC228" s="134">
        <v>0</v>
      </c>
      <c r="AD228" s="134">
        <v>0</v>
      </c>
      <c r="AE228" s="134">
        <f t="shared" si="111"/>
        <v>6777953.9199999999</v>
      </c>
      <c r="AF228" s="135">
        <f t="shared" si="112"/>
        <v>3849325.22</v>
      </c>
      <c r="AG228" s="284">
        <f>SUM(Z228:AB228)</f>
        <v>6777953.9199999999</v>
      </c>
      <c r="AH228" s="120">
        <f t="shared" si="128"/>
        <v>0.45519738486426392</v>
      </c>
      <c r="AI228" s="120">
        <v>0.33777500951669059</v>
      </c>
      <c r="AJ228" s="120">
        <f t="shared" si="100"/>
        <v>0.11742237534757333</v>
      </c>
      <c r="AK228" s="125">
        <f t="shared" si="104"/>
        <v>0.45519738486426392</v>
      </c>
      <c r="AL228" s="117"/>
      <c r="AM228" s="126"/>
      <c r="AN228" s="126"/>
      <c r="AO228" s="126"/>
      <c r="AP228" s="117"/>
      <c r="AQ228" s="126"/>
      <c r="AR228" s="126"/>
      <c r="AS228" s="127"/>
    </row>
    <row r="229" spans="1:45" s="56" customFormat="1" ht="82.5">
      <c r="A229" s="114" t="s">
        <v>115</v>
      </c>
      <c r="B229" s="115" t="s">
        <v>833</v>
      </c>
      <c r="C229" s="116" t="s">
        <v>617</v>
      </c>
      <c r="D229" s="116" t="s">
        <v>831</v>
      </c>
      <c r="E229" s="206">
        <v>9170511</v>
      </c>
      <c r="F229" s="122">
        <f>E229*$E$5</f>
        <v>6445071.8128439998</v>
      </c>
      <c r="G229" s="122">
        <v>9170511</v>
      </c>
      <c r="H229" s="122">
        <f>G229*$G$5</f>
        <v>6445071.8128439998</v>
      </c>
      <c r="I229" s="206">
        <v>9170511</v>
      </c>
      <c r="J229" s="117">
        <f>I229*$I$5</f>
        <v>6445071.8128439998</v>
      </c>
      <c r="K229" s="107" t="s">
        <v>469</v>
      </c>
      <c r="L229" s="117">
        <v>8000000</v>
      </c>
      <c r="M229" s="117">
        <v>8000000</v>
      </c>
      <c r="N229" s="118">
        <f t="shared" si="101"/>
        <v>14445071.812844001</v>
      </c>
      <c r="O229" s="205">
        <v>4436236.7699999996</v>
      </c>
      <c r="P229" s="135">
        <v>14218934.529999999</v>
      </c>
      <c r="Q229" s="130">
        <f t="shared" si="125"/>
        <v>2.2061716211856526</v>
      </c>
      <c r="R229" s="131">
        <v>0.96511148837847049</v>
      </c>
      <c r="S229" s="130">
        <f t="shared" si="95"/>
        <v>1.2410601328071822</v>
      </c>
      <c r="T229" s="130">
        <f t="shared" si="86"/>
        <v>0.98434502190269979</v>
      </c>
      <c r="U229" s="135">
        <v>6219875.46</v>
      </c>
      <c r="V229" s="130">
        <f t="shared" si="126"/>
        <v>0.96505913985392378</v>
      </c>
      <c r="W229" s="130">
        <v>0.96511148837847049</v>
      </c>
      <c r="X229" s="130">
        <f t="shared" si="97"/>
        <v>-5.2348524546719233E-5</v>
      </c>
      <c r="Y229" s="130">
        <f t="shared" si="102"/>
        <v>0.43058806079936041</v>
      </c>
      <c r="Z229" s="134">
        <v>2136490.13</v>
      </c>
      <c r="AA229" s="134"/>
      <c r="AB229" s="134">
        <v>1049199.8500000001</v>
      </c>
      <c r="AC229" s="134">
        <v>331083.510000001</v>
      </c>
      <c r="AD229" s="134">
        <v>87066</v>
      </c>
      <c r="AE229" s="134">
        <f t="shared" si="111"/>
        <v>3098623.98</v>
      </c>
      <c r="AF229" s="135">
        <f t="shared" si="112"/>
        <v>2467573.6400000011</v>
      </c>
      <c r="AG229" s="284">
        <f>SUM(Z229:AB229)</f>
        <v>3185689.98</v>
      </c>
      <c r="AH229" s="120">
        <f t="shared" si="128"/>
        <v>0.49428308520184805</v>
      </c>
      <c r="AI229" s="120">
        <v>0.45672246725534643</v>
      </c>
      <c r="AJ229" s="120">
        <f t="shared" si="100"/>
        <v>3.7560617946501618E-2</v>
      </c>
      <c r="AK229" s="125">
        <f t="shared" si="104"/>
        <v>0.22053818916756143</v>
      </c>
      <c r="AL229" s="117"/>
      <c r="AM229" s="126"/>
      <c r="AN229" s="126"/>
      <c r="AO229" s="126"/>
      <c r="AP229" s="117"/>
      <c r="AQ229" s="126"/>
      <c r="AR229" s="126"/>
      <c r="AS229" s="127"/>
    </row>
    <row r="230" spans="1:45" s="56" customFormat="1" ht="165">
      <c r="A230" s="114" t="s">
        <v>116</v>
      </c>
      <c r="B230" s="115" t="s">
        <v>834</v>
      </c>
      <c r="C230" s="116" t="s">
        <v>617</v>
      </c>
      <c r="D230" s="116" t="s">
        <v>831</v>
      </c>
      <c r="E230" s="206">
        <v>5691486</v>
      </c>
      <c r="F230" s="122">
        <f>E230*$E$5</f>
        <v>3999999.1267439998</v>
      </c>
      <c r="G230" s="122">
        <v>5691486</v>
      </c>
      <c r="H230" s="122">
        <f>G230*$G$5</f>
        <v>3999999.1267439998</v>
      </c>
      <c r="I230" s="206">
        <v>5691486</v>
      </c>
      <c r="J230" s="117">
        <f>I230*$I$5</f>
        <v>3999999.1267439998</v>
      </c>
      <c r="K230" s="107" t="s">
        <v>469</v>
      </c>
      <c r="L230" s="117">
        <v>4000000</v>
      </c>
      <c r="M230" s="117">
        <v>4000000</v>
      </c>
      <c r="N230" s="118">
        <f t="shared" si="101"/>
        <v>7999999.1267440002</v>
      </c>
      <c r="O230" s="205">
        <v>1776615.0699999998</v>
      </c>
      <c r="P230" s="135">
        <v>3154777.64</v>
      </c>
      <c r="Q230" s="130">
        <f t="shared" si="125"/>
        <v>0.78869458218306909</v>
      </c>
      <c r="R230" s="131">
        <v>0.78869458218306909</v>
      </c>
      <c r="S230" s="130">
        <f t="shared" si="95"/>
        <v>0</v>
      </c>
      <c r="T230" s="130">
        <f t="shared" si="86"/>
        <v>0.39434724804576254</v>
      </c>
      <c r="U230" s="135">
        <v>3154777.64</v>
      </c>
      <c r="V230" s="130">
        <f t="shared" si="126"/>
        <v>0.78869458218306909</v>
      </c>
      <c r="W230" s="131">
        <v>0.78869458218306909</v>
      </c>
      <c r="X230" s="130">
        <f t="shared" si="97"/>
        <v>0</v>
      </c>
      <c r="Y230" s="130">
        <f t="shared" si="102"/>
        <v>0.39434724804576254</v>
      </c>
      <c r="Z230" s="134">
        <v>1694224.59</v>
      </c>
      <c r="AA230" s="134">
        <v>37443.14</v>
      </c>
      <c r="AB230" s="134"/>
      <c r="AC230" s="134">
        <v>0</v>
      </c>
      <c r="AD230" s="134">
        <v>5298.94</v>
      </c>
      <c r="AE230" s="134">
        <f t="shared" si="111"/>
        <v>1726368.79</v>
      </c>
      <c r="AF230" s="135">
        <f t="shared" si="112"/>
        <v>1731667.73</v>
      </c>
      <c r="AG230" s="284">
        <f>SUM(Z230:AB230)</f>
        <v>1731667.73</v>
      </c>
      <c r="AH230" s="120">
        <f t="shared" si="128"/>
        <v>0.43291702701184787</v>
      </c>
      <c r="AI230" s="120">
        <v>0.39570399388772171</v>
      </c>
      <c r="AJ230" s="120">
        <f t="shared" si="100"/>
        <v>3.721303312412616E-2</v>
      </c>
      <c r="AK230" s="125">
        <f t="shared" si="104"/>
        <v>0.21645848987795938</v>
      </c>
      <c r="AL230" s="117"/>
      <c r="AM230" s="126"/>
      <c r="AN230" s="126"/>
      <c r="AO230" s="126"/>
      <c r="AP230" s="117"/>
      <c r="AQ230" s="126"/>
      <c r="AR230" s="126"/>
      <c r="AS230" s="127"/>
    </row>
    <row r="231" spans="1:45" s="204" customFormat="1" ht="66">
      <c r="A231" s="104" t="s">
        <v>835</v>
      </c>
      <c r="B231" s="105" t="s">
        <v>836</v>
      </c>
      <c r="C231" s="106" t="s">
        <v>617</v>
      </c>
      <c r="D231" s="106" t="s">
        <v>535</v>
      </c>
      <c r="E231" s="109"/>
      <c r="F231" s="107">
        <f>F232+F233</f>
        <v>52611651.619343996</v>
      </c>
      <c r="G231" s="107"/>
      <c r="H231" s="107">
        <f>H232+H233</f>
        <v>52611651.619343996</v>
      </c>
      <c r="I231" s="107"/>
      <c r="J231" s="107">
        <f>J232+J233</f>
        <v>52611651.619343996</v>
      </c>
      <c r="K231" s="107" t="s">
        <v>469</v>
      </c>
      <c r="L231" s="107">
        <f>L232+L233</f>
        <v>15000000</v>
      </c>
      <c r="M231" s="107">
        <f>M232+M233</f>
        <v>15000000</v>
      </c>
      <c r="N231" s="86">
        <f t="shared" si="101"/>
        <v>67611651.619343996</v>
      </c>
      <c r="O231" s="207">
        <f t="shared" ref="O231" si="129">O232+O233</f>
        <v>15492301.199999999</v>
      </c>
      <c r="P231" s="137">
        <f>P232+P233</f>
        <v>48557654.93</v>
      </c>
      <c r="Q231" s="138">
        <f t="shared" si="125"/>
        <v>0.92294488835523569</v>
      </c>
      <c r="R231" s="138">
        <v>0.90927360342382813</v>
      </c>
      <c r="S231" s="138">
        <f t="shared" si="95"/>
        <v>1.3671284931407568E-2</v>
      </c>
      <c r="T231" s="138">
        <f t="shared" si="86"/>
        <v>0.7181847176782683</v>
      </c>
      <c r="U231" s="137">
        <f>U232+U233</f>
        <v>43182718.460000001</v>
      </c>
      <c r="V231" s="138">
        <f t="shared" si="126"/>
        <v>0.82078241474789182</v>
      </c>
      <c r="W231" s="186">
        <v>0.80875061113564295</v>
      </c>
      <c r="X231" s="138">
        <f t="shared" si="97"/>
        <v>1.203180361224887E-2</v>
      </c>
      <c r="Y231" s="138">
        <f t="shared" si="102"/>
        <v>0.63868752538571671</v>
      </c>
      <c r="Z231" s="137">
        <f t="shared" ref="Z231:AD231" si="130">Z232+Z233</f>
        <v>8624348</v>
      </c>
      <c r="AA231" s="137">
        <f t="shared" si="130"/>
        <v>0</v>
      </c>
      <c r="AB231" s="137">
        <f t="shared" si="130"/>
        <v>984779.47</v>
      </c>
      <c r="AC231" s="137">
        <f t="shared" si="130"/>
        <v>574852.47000000102</v>
      </c>
      <c r="AD231" s="137">
        <f t="shared" si="130"/>
        <v>24997.66</v>
      </c>
      <c r="AE231" s="144">
        <f t="shared" si="111"/>
        <v>9584129.8100000005</v>
      </c>
      <c r="AF231" s="135">
        <f t="shared" si="112"/>
        <v>9199200.4700000007</v>
      </c>
      <c r="AG231" s="279">
        <f>AG232+AG233</f>
        <v>9609127.4700000007</v>
      </c>
      <c r="AH231" s="110">
        <f t="shared" si="128"/>
        <v>0.1826425739211533</v>
      </c>
      <c r="AI231" s="110">
        <v>0.16759595942352101</v>
      </c>
      <c r="AJ231" s="110">
        <f t="shared" si="100"/>
        <v>1.5046614497632282E-2</v>
      </c>
      <c r="AK231" s="89">
        <f t="shared" si="104"/>
        <v>0.14212235967995177</v>
      </c>
      <c r="AL231" s="117"/>
      <c r="AM231" s="126"/>
      <c r="AN231" s="126"/>
      <c r="AO231" s="126"/>
      <c r="AP231" s="117"/>
      <c r="AQ231" s="126"/>
      <c r="AR231" s="126"/>
      <c r="AS231" s="127"/>
    </row>
    <row r="232" spans="1:45" s="56" customFormat="1" ht="82.5">
      <c r="A232" s="114" t="s">
        <v>78</v>
      </c>
      <c r="B232" s="115" t="s">
        <v>837</v>
      </c>
      <c r="C232" s="116" t="s">
        <v>617</v>
      </c>
      <c r="D232" s="116" t="s">
        <v>535</v>
      </c>
      <c r="E232" s="206">
        <v>67956285</v>
      </c>
      <c r="F232" s="122">
        <f>E232*$E$5</f>
        <v>47759948.923139997</v>
      </c>
      <c r="G232" s="122">
        <v>67956285</v>
      </c>
      <c r="H232" s="122">
        <f>G232*$G$5</f>
        <v>47759948.923139997</v>
      </c>
      <c r="I232" s="206">
        <v>67956285</v>
      </c>
      <c r="J232" s="117">
        <f>I232*$I$5</f>
        <v>47759948.923139997</v>
      </c>
      <c r="K232" s="107" t="s">
        <v>469</v>
      </c>
      <c r="L232" s="117">
        <v>15000000</v>
      </c>
      <c r="M232" s="117">
        <f>L232</f>
        <v>15000000</v>
      </c>
      <c r="N232" s="118">
        <f t="shared" si="101"/>
        <v>62759948.923139997</v>
      </c>
      <c r="O232" s="205">
        <v>12586021.629999999</v>
      </c>
      <c r="P232" s="135">
        <v>44299079.869999997</v>
      </c>
      <c r="Q232" s="130">
        <f t="shared" si="125"/>
        <v>0.92753616510960746</v>
      </c>
      <c r="R232" s="131">
        <v>0.91219312692547405</v>
      </c>
      <c r="S232" s="130">
        <f t="shared" si="95"/>
        <v>1.5343038184133406E-2</v>
      </c>
      <c r="T232" s="130">
        <f t="shared" si="86"/>
        <v>0.70584952075489404</v>
      </c>
      <c r="U232" s="135">
        <v>38924143.399999999</v>
      </c>
      <c r="V232" s="130">
        <f t="shared" si="126"/>
        <v>0.81499549889889022</v>
      </c>
      <c r="W232" s="131">
        <v>0.80145848902812067</v>
      </c>
      <c r="X232" s="130">
        <f t="shared" si="97"/>
        <v>1.3537009870769556E-2</v>
      </c>
      <c r="Y232" s="130">
        <f t="shared" si="102"/>
        <v>0.62020674120798103</v>
      </c>
      <c r="Z232" s="134">
        <v>7087848.3900000006</v>
      </c>
      <c r="AA232" s="134"/>
      <c r="AB232" s="134">
        <v>471066.31</v>
      </c>
      <c r="AC232" s="134">
        <v>132547.640000001</v>
      </c>
      <c r="AD232" s="134">
        <v>0</v>
      </c>
      <c r="AE232" s="134">
        <f t="shared" si="111"/>
        <v>7558914.7000000002</v>
      </c>
      <c r="AF232" s="135">
        <f t="shared" si="112"/>
        <v>7220396.0300000012</v>
      </c>
      <c r="AG232" s="284">
        <f>SUM(Z232:AB232)</f>
        <v>7558914.7000000002</v>
      </c>
      <c r="AH232" s="120">
        <f t="shared" si="128"/>
        <v>0.15826890251002046</v>
      </c>
      <c r="AI232" s="120">
        <v>0.14501964231884357</v>
      </c>
      <c r="AJ232" s="120">
        <f t="shared" si="100"/>
        <v>1.3249260191176893E-2</v>
      </c>
      <c r="AK232" s="125">
        <f t="shared" si="104"/>
        <v>0.12044169617246103</v>
      </c>
      <c r="AL232" s="117"/>
      <c r="AM232" s="126"/>
      <c r="AN232" s="126"/>
      <c r="AO232" s="126"/>
      <c r="AP232" s="117"/>
      <c r="AQ232" s="126"/>
      <c r="AR232" s="126"/>
      <c r="AS232" s="127"/>
    </row>
    <row r="233" spans="1:45" s="56" customFormat="1" ht="85.5">
      <c r="A233" s="114" t="s">
        <v>838</v>
      </c>
      <c r="B233" s="115" t="s">
        <v>839</v>
      </c>
      <c r="C233" s="116" t="s">
        <v>617</v>
      </c>
      <c r="D233" s="116" t="s">
        <v>535</v>
      </c>
      <c r="E233" s="206">
        <v>6903351</v>
      </c>
      <c r="F233" s="122">
        <f>E233*$E$5</f>
        <v>4851702.6962040002</v>
      </c>
      <c r="G233" s="122">
        <v>6903351</v>
      </c>
      <c r="H233" s="122">
        <f>G233*$G$5</f>
        <v>4851702.6962040002</v>
      </c>
      <c r="I233" s="206">
        <v>6903351</v>
      </c>
      <c r="J233" s="117">
        <f>I233*$I$5</f>
        <v>4851702.6962040002</v>
      </c>
      <c r="K233" s="107" t="s">
        <v>469</v>
      </c>
      <c r="L233" s="117">
        <v>0</v>
      </c>
      <c r="M233" s="117"/>
      <c r="N233" s="118">
        <f t="shared" si="101"/>
        <v>4851702.6962040002</v>
      </c>
      <c r="O233" s="205">
        <v>2906279.57</v>
      </c>
      <c r="P233" s="135">
        <v>4258575.0599999996</v>
      </c>
      <c r="Q233" s="130">
        <f t="shared" si="125"/>
        <v>0.87774856100146714</v>
      </c>
      <c r="R233" s="131">
        <v>0.88053394189683287</v>
      </c>
      <c r="S233" s="130">
        <f t="shared" si="95"/>
        <v>-2.78538089536573E-3</v>
      </c>
      <c r="T233" s="130">
        <f t="shared" si="86"/>
        <v>0.87774856100146714</v>
      </c>
      <c r="U233" s="135">
        <v>4258575.0599999996</v>
      </c>
      <c r="V233" s="130">
        <f t="shared" si="126"/>
        <v>0.87774856100146714</v>
      </c>
      <c r="W233" s="130">
        <v>0.88053394189683287</v>
      </c>
      <c r="X233" s="130">
        <f t="shared" si="97"/>
        <v>-2.78538089536573E-3</v>
      </c>
      <c r="Y233" s="130">
        <f t="shared" si="102"/>
        <v>0.87774856100146714</v>
      </c>
      <c r="Z233" s="134">
        <v>1536499.6099999999</v>
      </c>
      <c r="AA233" s="134"/>
      <c r="AB233" s="134">
        <v>513713.16</v>
      </c>
      <c r="AC233" s="134">
        <v>442304.83</v>
      </c>
      <c r="AD233" s="134">
        <v>24997.66</v>
      </c>
      <c r="AE233" s="134">
        <f t="shared" si="111"/>
        <v>2025215.1099999999</v>
      </c>
      <c r="AF233" s="135">
        <f t="shared" si="112"/>
        <v>1978804.44</v>
      </c>
      <c r="AG233" s="284">
        <f>SUM(Z233:AB233)</f>
        <v>2050212.7699999998</v>
      </c>
      <c r="AH233" s="120">
        <f t="shared" si="128"/>
        <v>0.42257592815901474</v>
      </c>
      <c r="AI233" s="120">
        <v>0.38983623656078886</v>
      </c>
      <c r="AJ233" s="120">
        <f t="shared" si="100"/>
        <v>3.2739691598225873E-2</v>
      </c>
      <c r="AK233" s="125">
        <f t="shared" si="104"/>
        <v>0.42257592815901474</v>
      </c>
      <c r="AL233" s="117"/>
      <c r="AM233" s="126"/>
      <c r="AN233" s="126"/>
      <c r="AO233" s="126"/>
      <c r="AP233" s="117"/>
      <c r="AQ233" s="126"/>
      <c r="AR233" s="126"/>
      <c r="AS233" s="127"/>
    </row>
    <row r="234" spans="1:45" s="204" customFormat="1" ht="132">
      <c r="A234" s="104" t="s">
        <v>840</v>
      </c>
      <c r="B234" s="105" t="s">
        <v>841</v>
      </c>
      <c r="C234" s="106" t="s">
        <v>724</v>
      </c>
      <c r="D234" s="106" t="s">
        <v>770</v>
      </c>
      <c r="E234" s="109"/>
      <c r="F234" s="107">
        <f>F235+F243</f>
        <v>471307462.12600803</v>
      </c>
      <c r="G234" s="107"/>
      <c r="H234" s="107">
        <f>H235+H243</f>
        <v>471307462.12600803</v>
      </c>
      <c r="I234" s="107"/>
      <c r="J234" s="107">
        <f>J235+J243</f>
        <v>471307462.12600803</v>
      </c>
      <c r="K234" s="107" t="s">
        <v>469</v>
      </c>
      <c r="L234" s="117">
        <f>L235+L243</f>
        <v>11912839</v>
      </c>
      <c r="M234" s="117">
        <f>M235+M243</f>
        <v>11899804</v>
      </c>
      <c r="N234" s="86">
        <f t="shared" si="101"/>
        <v>483207266.12600803</v>
      </c>
      <c r="O234" s="207">
        <f t="shared" ref="O234" si="131">O235+O243</f>
        <v>301779201.22999996</v>
      </c>
      <c r="P234" s="137">
        <f>P235+P243</f>
        <v>424057167.83000004</v>
      </c>
      <c r="Q234" s="138">
        <f t="shared" si="125"/>
        <v>0.89974634799358377</v>
      </c>
      <c r="R234" s="138">
        <v>0.90037036692736716</v>
      </c>
      <c r="S234" s="138">
        <f t="shared" si="95"/>
        <v>-6.2401893378338791E-4</v>
      </c>
      <c r="T234" s="138">
        <f t="shared" si="86"/>
        <v>0.87758855786621559</v>
      </c>
      <c r="U234" s="137">
        <f>U235+U243</f>
        <v>404144269.28000003</v>
      </c>
      <c r="V234" s="138">
        <f t="shared" si="126"/>
        <v>0.85749601217208959</v>
      </c>
      <c r="W234" s="186">
        <v>0.85784930311989016</v>
      </c>
      <c r="X234" s="138">
        <f t="shared" si="97"/>
        <v>-3.5329094780056636E-4</v>
      </c>
      <c r="Y234" s="138">
        <f t="shared" si="102"/>
        <v>0.83637870870635789</v>
      </c>
      <c r="Z234" s="137">
        <f t="shared" ref="Z234:AD234" si="132">Z235+Z243</f>
        <v>149732805.53</v>
      </c>
      <c r="AA234" s="137">
        <f t="shared" si="132"/>
        <v>9941639.7599999998</v>
      </c>
      <c r="AB234" s="137">
        <f t="shared" si="132"/>
        <v>131405127.58</v>
      </c>
      <c r="AC234" s="137">
        <f t="shared" si="132"/>
        <v>61386469.320000105</v>
      </c>
      <c r="AD234" s="137">
        <f t="shared" si="132"/>
        <v>3350747.6</v>
      </c>
      <c r="AE234" s="144">
        <f t="shared" si="111"/>
        <v>287728825.27000004</v>
      </c>
      <c r="AF234" s="135">
        <f t="shared" si="112"/>
        <v>221060914.6100001</v>
      </c>
      <c r="AG234" s="279">
        <f>AG235+AG243</f>
        <v>291079572.87000006</v>
      </c>
      <c r="AH234" s="110">
        <f t="shared" si="128"/>
        <v>0.61760017878133544</v>
      </c>
      <c r="AI234" s="110">
        <v>0.59129625029253607</v>
      </c>
      <c r="AJ234" s="110">
        <f t="shared" si="100"/>
        <v>2.6303928488799366E-2</v>
      </c>
      <c r="AK234" s="89">
        <f t="shared" si="104"/>
        <v>0.60239071983262349</v>
      </c>
      <c r="AL234" s="117"/>
      <c r="AM234" s="126"/>
      <c r="AN234" s="126"/>
      <c r="AO234" s="126"/>
      <c r="AP234" s="117"/>
      <c r="AQ234" s="126"/>
      <c r="AR234" s="126"/>
      <c r="AS234" s="127"/>
    </row>
    <row r="235" spans="1:45" s="204" customFormat="1" ht="66">
      <c r="A235" s="104" t="s">
        <v>842</v>
      </c>
      <c r="B235" s="105" t="s">
        <v>843</v>
      </c>
      <c r="C235" s="106" t="s">
        <v>724</v>
      </c>
      <c r="D235" s="106" t="s">
        <v>606</v>
      </c>
      <c r="E235" s="109"/>
      <c r="F235" s="107">
        <f>F236+F237+F241+F242</f>
        <v>394611362.60073602</v>
      </c>
      <c r="G235" s="107"/>
      <c r="H235" s="107">
        <f>H236+H237+H241+H242</f>
        <v>394611362.60073602</v>
      </c>
      <c r="I235" s="107"/>
      <c r="J235" s="107">
        <f>J236+J237+J241+J242</f>
        <v>394611362.60073602</v>
      </c>
      <c r="K235" s="107" t="s">
        <v>469</v>
      </c>
      <c r="L235" s="107">
        <f>L236+L237+L241+L242</f>
        <v>11912839</v>
      </c>
      <c r="M235" s="107">
        <f>M236+M237+M241+M242</f>
        <v>11899804</v>
      </c>
      <c r="N235" s="86">
        <f t="shared" si="101"/>
        <v>406511166.60073602</v>
      </c>
      <c r="O235" s="224">
        <f t="shared" ref="O235" si="133">O236+O237+O241+O242</f>
        <v>276580824.39999998</v>
      </c>
      <c r="P235" s="218">
        <f>P236+P237+P241+P242</f>
        <v>352419407.30000001</v>
      </c>
      <c r="Q235" s="138">
        <f t="shared" si="125"/>
        <v>0.89307972527028978</v>
      </c>
      <c r="R235" s="138">
        <v>0.89349877810472966</v>
      </c>
      <c r="S235" s="138">
        <f t="shared" si="95"/>
        <v>-4.1905283443988139E-4</v>
      </c>
      <c r="T235" s="138">
        <f t="shared" si="86"/>
        <v>0.86693659671626333</v>
      </c>
      <c r="U235" s="218">
        <f>U236+U237+U241+U242</f>
        <v>348559420.41000003</v>
      </c>
      <c r="V235" s="138">
        <f t="shared" si="126"/>
        <v>0.8832979823813869</v>
      </c>
      <c r="W235" s="186">
        <v>0.88371703521582678</v>
      </c>
      <c r="X235" s="138">
        <f t="shared" si="97"/>
        <v>-4.1905283443988139E-4</v>
      </c>
      <c r="Y235" s="138">
        <f t="shared" si="102"/>
        <v>0.85744119484999393</v>
      </c>
      <c r="Z235" s="218">
        <f t="shared" ref="Z235:AD235" si="134">Z236+Z237+Z241+Z242</f>
        <v>136445788.31</v>
      </c>
      <c r="AA235" s="218">
        <f t="shared" si="134"/>
        <v>727566.69</v>
      </c>
      <c r="AB235" s="218">
        <f t="shared" si="134"/>
        <v>131405127.58</v>
      </c>
      <c r="AC235" s="218">
        <f t="shared" si="134"/>
        <v>58837863.260000102</v>
      </c>
      <c r="AD235" s="218">
        <f t="shared" si="134"/>
        <v>3350747.6</v>
      </c>
      <c r="AE235" s="144">
        <f t="shared" si="111"/>
        <v>265227734.98000005</v>
      </c>
      <c r="AF235" s="135">
        <f t="shared" si="112"/>
        <v>196011218.26000011</v>
      </c>
      <c r="AG235" s="289">
        <f>AG236+AG237+AG241+AG242</f>
        <v>268578482.58000004</v>
      </c>
      <c r="AH235" s="110">
        <f t="shared" si="128"/>
        <v>0.68061517744927469</v>
      </c>
      <c r="AI235" s="110">
        <v>0.65081990667321188</v>
      </c>
      <c r="AJ235" s="110">
        <f t="shared" si="100"/>
        <v>2.979527077606281E-2</v>
      </c>
      <c r="AK235" s="89">
        <f t="shared" si="104"/>
        <v>0.66069152497301598</v>
      </c>
      <c r="AL235" s="117"/>
      <c r="AM235" s="126"/>
      <c r="AN235" s="126"/>
      <c r="AO235" s="126"/>
      <c r="AP235" s="117"/>
      <c r="AQ235" s="126"/>
      <c r="AR235" s="126"/>
      <c r="AS235" s="127"/>
    </row>
    <row r="236" spans="1:45" s="56" customFormat="1" ht="132">
      <c r="A236" s="114" t="s">
        <v>844</v>
      </c>
      <c r="B236" s="115" t="s">
        <v>845</v>
      </c>
      <c r="C236" s="116" t="s">
        <v>724</v>
      </c>
      <c r="D236" s="116" t="s">
        <v>606</v>
      </c>
      <c r="E236" s="206">
        <v>429510102</v>
      </c>
      <c r="F236" s="122">
        <f>E236*$E$5</f>
        <v>301861417.726008</v>
      </c>
      <c r="G236" s="122">
        <v>429510102</v>
      </c>
      <c r="H236" s="122">
        <f>G236*$G$5</f>
        <v>301861417.726008</v>
      </c>
      <c r="I236" s="206">
        <v>429510102</v>
      </c>
      <c r="J236" s="117">
        <f>I236*$I$5</f>
        <v>301861417.726008</v>
      </c>
      <c r="K236" s="107" t="s">
        <v>469</v>
      </c>
      <c r="L236" s="117">
        <v>11000000</v>
      </c>
      <c r="M236" s="117">
        <f>L236</f>
        <v>11000000</v>
      </c>
      <c r="N236" s="118">
        <f t="shared" si="101"/>
        <v>312861417.726008</v>
      </c>
      <c r="O236" s="205">
        <v>238922295.56</v>
      </c>
      <c r="P236" s="135">
        <v>297739088.58999997</v>
      </c>
      <c r="Q236" s="130">
        <f>P236/J236</f>
        <v>0.98634363686799564</v>
      </c>
      <c r="R236" s="131">
        <v>0.98689070482800212</v>
      </c>
      <c r="S236" s="130">
        <f>Q236-R236</f>
        <v>-5.470679600064754E-4</v>
      </c>
      <c r="T236" s="130">
        <f t="shared" si="86"/>
        <v>0.95166444860499999</v>
      </c>
      <c r="U236" s="135">
        <v>297739088.58999997</v>
      </c>
      <c r="V236" s="130">
        <f>U236/J236</f>
        <v>0.98634363686799564</v>
      </c>
      <c r="W236" s="130">
        <v>0.98689070482800212</v>
      </c>
      <c r="X236" s="130">
        <f>V236-W236</f>
        <v>-5.470679600064754E-4</v>
      </c>
      <c r="Y236" s="130">
        <f t="shared" si="102"/>
        <v>0.95166444860499999</v>
      </c>
      <c r="Z236" s="134">
        <v>118517162.7</v>
      </c>
      <c r="AA236" s="134"/>
      <c r="AB236" s="134">
        <v>118454104.17</v>
      </c>
      <c r="AC236" s="134">
        <v>49971213.3400001</v>
      </c>
      <c r="AD236" s="134">
        <v>3233550.27</v>
      </c>
      <c r="AE236" s="134">
        <f t="shared" si="111"/>
        <v>233737716.59999999</v>
      </c>
      <c r="AF236" s="135">
        <f t="shared" si="112"/>
        <v>168488376.04000011</v>
      </c>
      <c r="AG236" s="284">
        <f>SUM(Z236:AB236)</f>
        <v>236971266.87</v>
      </c>
      <c r="AH236" s="120">
        <f t="shared" si="128"/>
        <v>0.78503330652575432</v>
      </c>
      <c r="AI236" s="120">
        <v>0.7512489504234563</v>
      </c>
      <c r="AJ236" s="120">
        <f t="shared" si="100"/>
        <v>3.3784356102298019E-2</v>
      </c>
      <c r="AK236" s="125">
        <f t="shared" si="104"/>
        <v>0.75743205599589247</v>
      </c>
      <c r="AL236" s="117"/>
      <c r="AM236" s="126"/>
      <c r="AN236" s="126"/>
      <c r="AO236" s="126"/>
      <c r="AP236" s="117"/>
      <c r="AQ236" s="126"/>
      <c r="AR236" s="126"/>
      <c r="AS236" s="127"/>
    </row>
    <row r="237" spans="1:45" s="204" customFormat="1" ht="82.5">
      <c r="A237" s="139" t="s">
        <v>846</v>
      </c>
      <c r="B237" s="140" t="s">
        <v>847</v>
      </c>
      <c r="C237" s="141" t="s">
        <v>724</v>
      </c>
      <c r="D237" s="141" t="s">
        <v>606</v>
      </c>
      <c r="E237" s="145"/>
      <c r="F237" s="117">
        <f>F238+F239+F240</f>
        <v>81013118.074727997</v>
      </c>
      <c r="G237" s="117"/>
      <c r="H237" s="117">
        <f>H238+H239+H240</f>
        <v>81013118.074727997</v>
      </c>
      <c r="I237" s="117"/>
      <c r="J237" s="117">
        <f>J238+J239+J240</f>
        <v>81013118.074727997</v>
      </c>
      <c r="K237" s="107" t="s">
        <v>469</v>
      </c>
      <c r="L237" s="117">
        <f>L238+L239+L240</f>
        <v>782839</v>
      </c>
      <c r="M237" s="117">
        <f>M238+M239+M240</f>
        <v>782839</v>
      </c>
      <c r="N237" s="118">
        <f t="shared" si="101"/>
        <v>81795957.074727997</v>
      </c>
      <c r="O237" s="208">
        <f t="shared" ref="O237" si="135">O238+O239+O240</f>
        <v>31755864.98</v>
      </c>
      <c r="P237" s="143">
        <v>43261883.990000002</v>
      </c>
      <c r="Q237" s="130">
        <f t="shared" si="125"/>
        <v>0.53401084933052989</v>
      </c>
      <c r="R237" s="130">
        <v>0.53401361801793912</v>
      </c>
      <c r="S237" s="130">
        <f>Q237-R237</f>
        <v>-2.7686874092269775E-6</v>
      </c>
      <c r="T237" s="130">
        <f t="shared" si="86"/>
        <v>0.52890002803532654</v>
      </c>
      <c r="U237" s="144">
        <v>39401897.100000001</v>
      </c>
      <c r="V237" s="130">
        <f t="shared" si="126"/>
        <v>0.48636440660949459</v>
      </c>
      <c r="W237" s="130">
        <v>0.48636717529690382</v>
      </c>
      <c r="X237" s="130">
        <f t="shared" si="97"/>
        <v>-2.7686874092269775E-6</v>
      </c>
      <c r="Y237" s="130">
        <f t="shared" si="102"/>
        <v>0.48170959188120765</v>
      </c>
      <c r="Z237" s="144">
        <f t="shared" ref="Z237:AD237" si="136">Z238+Z239+Z240</f>
        <v>14776203.450000001</v>
      </c>
      <c r="AA237" s="144">
        <f t="shared" si="136"/>
        <v>727566.69</v>
      </c>
      <c r="AB237" s="144">
        <f>AB238+AB239+AB240</f>
        <v>12951023.41</v>
      </c>
      <c r="AC237" s="144">
        <f t="shared" si="136"/>
        <v>8866649.9199999999</v>
      </c>
      <c r="AD237" s="144">
        <f t="shared" si="136"/>
        <v>117197.33</v>
      </c>
      <c r="AE237" s="144">
        <f t="shared" si="111"/>
        <v>28337596.220000006</v>
      </c>
      <c r="AF237" s="135">
        <f t="shared" si="112"/>
        <v>24370420.060000002</v>
      </c>
      <c r="AG237" s="286">
        <f>AG238+AG239+AG240</f>
        <v>28454793.550000004</v>
      </c>
      <c r="AH237" s="120">
        <f t="shared" si="128"/>
        <v>0.35123686417985761</v>
      </c>
      <c r="AI237" s="120">
        <v>0.33735498792664831</v>
      </c>
      <c r="AJ237" s="120">
        <f t="shared" si="100"/>
        <v>1.3881876253209302E-2</v>
      </c>
      <c r="AK237" s="125">
        <f t="shared" si="104"/>
        <v>0.34787530542620804</v>
      </c>
      <c r="AL237" s="117"/>
      <c r="AM237" s="126"/>
      <c r="AN237" s="126"/>
      <c r="AO237" s="126"/>
      <c r="AP237" s="117"/>
      <c r="AQ237" s="126"/>
      <c r="AR237" s="126"/>
      <c r="AS237" s="127"/>
    </row>
    <row r="238" spans="1:45" s="56" customFormat="1" ht="82.5">
      <c r="A238" s="114" t="s">
        <v>124</v>
      </c>
      <c r="B238" s="115" t="s">
        <v>848</v>
      </c>
      <c r="C238" s="116" t="s">
        <v>724</v>
      </c>
      <c r="D238" s="116" t="s">
        <v>606</v>
      </c>
      <c r="E238" s="206">
        <v>19600000</v>
      </c>
      <c r="F238" s="122">
        <f>E238*$E$5</f>
        <v>13774958.4</v>
      </c>
      <c r="G238" s="206">
        <v>19600000</v>
      </c>
      <c r="H238" s="122">
        <f>G238*$G$5</f>
        <v>13774958.4</v>
      </c>
      <c r="I238" s="206">
        <v>19600000</v>
      </c>
      <c r="J238" s="117">
        <f>I238*$I$5</f>
        <v>13774958.4</v>
      </c>
      <c r="K238" s="107" t="s">
        <v>469</v>
      </c>
      <c r="L238" s="117">
        <v>782839</v>
      </c>
      <c r="M238" s="117">
        <f>L238</f>
        <v>782839</v>
      </c>
      <c r="N238" s="118">
        <f t="shared" si="101"/>
        <v>14557797.4</v>
      </c>
      <c r="O238" s="205">
        <v>5364292.75</v>
      </c>
      <c r="P238" s="135">
        <v>10664149.109999999</v>
      </c>
      <c r="Q238" s="130">
        <f t="shared" si="125"/>
        <v>0.7741692425002169</v>
      </c>
      <c r="R238" s="131">
        <v>0.77418552567098864</v>
      </c>
      <c r="S238" s="130">
        <f t="shared" si="95"/>
        <v>-1.6283170771735911E-5</v>
      </c>
      <c r="T238" s="130">
        <f t="shared" si="86"/>
        <v>0.73253864008301139</v>
      </c>
      <c r="U238" s="135">
        <v>6804162.2199999997</v>
      </c>
      <c r="V238" s="130">
        <f t="shared" si="126"/>
        <v>0.49395156213321117</v>
      </c>
      <c r="W238" s="131">
        <v>0.49396784530398286</v>
      </c>
      <c r="X238" s="130">
        <f t="shared" si="97"/>
        <v>-1.62831707716804E-5</v>
      </c>
      <c r="Y238" s="130">
        <f t="shared" si="102"/>
        <v>0.46738953929939975</v>
      </c>
      <c r="Z238" s="134">
        <v>2829527.04</v>
      </c>
      <c r="AA238" s="134"/>
      <c r="AB238" s="134">
        <v>2167677.0099999998</v>
      </c>
      <c r="AC238" s="134">
        <v>1425129.5</v>
      </c>
      <c r="AD238" s="134">
        <v>112615.38</v>
      </c>
      <c r="AE238" s="134">
        <f t="shared" si="111"/>
        <v>4884588.67</v>
      </c>
      <c r="AF238" s="135">
        <f t="shared" si="112"/>
        <v>4254656.54</v>
      </c>
      <c r="AG238" s="284">
        <f>SUM(Z238:AB238)</f>
        <v>4997204.05</v>
      </c>
      <c r="AH238" s="120">
        <f t="shared" si="128"/>
        <v>0.36277452932271648</v>
      </c>
      <c r="AI238" s="120">
        <v>0.32249052672275219</v>
      </c>
      <c r="AJ238" s="120">
        <f t="shared" si="100"/>
        <v>4.0284002599964286E-2</v>
      </c>
      <c r="AK238" s="125">
        <f t="shared" si="104"/>
        <v>0.3432664923609941</v>
      </c>
      <c r="AL238" s="117"/>
      <c r="AM238" s="126"/>
      <c r="AN238" s="126"/>
      <c r="AO238" s="126"/>
      <c r="AP238" s="117"/>
      <c r="AQ238" s="126"/>
      <c r="AR238" s="126"/>
      <c r="AS238" s="127"/>
    </row>
    <row r="239" spans="1:45" s="56" customFormat="1" ht="82.5">
      <c r="A239" s="114" t="s">
        <v>125</v>
      </c>
      <c r="B239" s="115" t="s">
        <v>849</v>
      </c>
      <c r="C239" s="116" t="s">
        <v>724</v>
      </c>
      <c r="D239" s="116" t="s">
        <v>606</v>
      </c>
      <c r="E239" s="206">
        <v>40100000</v>
      </c>
      <c r="F239" s="122">
        <f>E239*$E$5</f>
        <v>28182440.399999999</v>
      </c>
      <c r="G239" s="206">
        <v>40100000</v>
      </c>
      <c r="H239" s="122">
        <f>G239*$G$5</f>
        <v>28182440.399999999</v>
      </c>
      <c r="I239" s="206">
        <v>40100000</v>
      </c>
      <c r="J239" s="117">
        <f>I239*$I$5</f>
        <v>28182440.399999999</v>
      </c>
      <c r="K239" s="107" t="s">
        <v>469</v>
      </c>
      <c r="L239" s="117">
        <v>0</v>
      </c>
      <c r="M239" s="117"/>
      <c r="N239" s="118">
        <f t="shared" si="101"/>
        <v>28182440.399999999</v>
      </c>
      <c r="O239" s="205">
        <v>21627848.82</v>
      </c>
      <c r="P239" s="135">
        <v>27987493.890000001</v>
      </c>
      <c r="Q239" s="130">
        <f t="shared" si="125"/>
        <v>0.99308269591869702</v>
      </c>
      <c r="R239" s="131">
        <v>0.99308269591869702</v>
      </c>
      <c r="S239" s="130">
        <f t="shared" si="95"/>
        <v>0</v>
      </c>
      <c r="T239" s="130">
        <f t="shared" si="86"/>
        <v>0.99308269591869702</v>
      </c>
      <c r="U239" s="135">
        <v>27987493.890000001</v>
      </c>
      <c r="V239" s="130">
        <f t="shared" si="126"/>
        <v>0.99308269591869702</v>
      </c>
      <c r="W239" s="130">
        <v>0.99308269591869702</v>
      </c>
      <c r="X239" s="130">
        <f t="shared" si="97"/>
        <v>0</v>
      </c>
      <c r="Y239" s="130">
        <f t="shared" si="102"/>
        <v>0.99308269591869702</v>
      </c>
      <c r="Z239" s="134">
        <v>9893938.4400000013</v>
      </c>
      <c r="AA239" s="134"/>
      <c r="AB239" s="134">
        <v>10783346.4</v>
      </c>
      <c r="AC239" s="134">
        <v>6754273.0199999996</v>
      </c>
      <c r="AD239" s="134">
        <v>4581.95</v>
      </c>
      <c r="AE239" s="134">
        <f t="shared" si="111"/>
        <v>20672702.890000004</v>
      </c>
      <c r="AF239" s="135">
        <f t="shared" si="112"/>
        <v>16648211.460000001</v>
      </c>
      <c r="AG239" s="284">
        <f>SUM(Z239:AB239)</f>
        <v>20677284.840000004</v>
      </c>
      <c r="AH239" s="120">
        <f t="shared" si="128"/>
        <v>0.7336939082110151</v>
      </c>
      <c r="AI239" s="120">
        <v>0.71376312854723534</v>
      </c>
      <c r="AJ239" s="120">
        <f t="shared" si="100"/>
        <v>1.9930779663779763E-2</v>
      </c>
      <c r="AK239" s="125">
        <f t="shared" si="104"/>
        <v>0.7336939082110151</v>
      </c>
      <c r="AL239" s="117"/>
      <c r="AM239" s="126"/>
      <c r="AN239" s="126"/>
      <c r="AO239" s="126"/>
      <c r="AP239" s="117"/>
      <c r="AQ239" s="126"/>
      <c r="AR239" s="126"/>
      <c r="AS239" s="127"/>
    </row>
    <row r="240" spans="1:45" s="56" customFormat="1" ht="82.5">
      <c r="A240" s="114" t="s">
        <v>126</v>
      </c>
      <c r="B240" s="115" t="s">
        <v>850</v>
      </c>
      <c r="C240" s="116" t="s">
        <v>724</v>
      </c>
      <c r="D240" s="116" t="s">
        <v>606</v>
      </c>
      <c r="E240" s="206">
        <v>55571282</v>
      </c>
      <c r="F240" s="122">
        <f>E240*$E$5</f>
        <v>39055719.274728</v>
      </c>
      <c r="G240" s="206">
        <v>55571282</v>
      </c>
      <c r="H240" s="122">
        <f>G240*$G$5</f>
        <v>39055719.274728</v>
      </c>
      <c r="I240" s="206">
        <v>55571282</v>
      </c>
      <c r="J240" s="117">
        <f>I240*$I$5</f>
        <v>39055719.274728</v>
      </c>
      <c r="K240" s="107" t="s">
        <v>469</v>
      </c>
      <c r="L240" s="117">
        <v>0</v>
      </c>
      <c r="M240" s="117"/>
      <c r="N240" s="118">
        <f t="shared" si="101"/>
        <v>39055719.274728</v>
      </c>
      <c r="O240" s="205">
        <v>4763723.41</v>
      </c>
      <c r="P240" s="135">
        <v>4610240.99</v>
      </c>
      <c r="Q240" s="130">
        <f t="shared" si="125"/>
        <v>0.11804265996409838</v>
      </c>
      <c r="R240" s="131">
        <v>0.11804265996409838</v>
      </c>
      <c r="S240" s="130">
        <f>Q240-R240</f>
        <v>0</v>
      </c>
      <c r="T240" s="130">
        <f t="shared" si="86"/>
        <v>0.11804265996409838</v>
      </c>
      <c r="U240" s="135">
        <v>4610240.99</v>
      </c>
      <c r="V240" s="130">
        <f t="shared" si="126"/>
        <v>0.11804265996409838</v>
      </c>
      <c r="W240" s="131">
        <v>0.11804265996409838</v>
      </c>
      <c r="X240" s="130">
        <f t="shared" si="97"/>
        <v>0</v>
      </c>
      <c r="Y240" s="130">
        <f t="shared" si="102"/>
        <v>0.11804265996409838</v>
      </c>
      <c r="Z240" s="134">
        <v>2052737.97</v>
      </c>
      <c r="AA240" s="134">
        <v>727566.69</v>
      </c>
      <c r="AB240" s="134">
        <v>0</v>
      </c>
      <c r="AC240" s="134">
        <v>687247.4</v>
      </c>
      <c r="AD240" s="134">
        <v>0</v>
      </c>
      <c r="AE240" s="134">
        <f t="shared" si="111"/>
        <v>2780304.66</v>
      </c>
      <c r="AF240" s="135">
        <f t="shared" si="112"/>
        <v>3467552.06</v>
      </c>
      <c r="AG240" s="284">
        <f>SUM(Z240:AB240)</f>
        <v>2780304.66</v>
      </c>
      <c r="AH240" s="120">
        <f t="shared" si="128"/>
        <v>7.1188156603713276E-2</v>
      </c>
      <c r="AI240" s="120">
        <v>7.0983177406078055E-2</v>
      </c>
      <c r="AJ240" s="120">
        <f t="shared" si="100"/>
        <v>2.0497919763522165E-4</v>
      </c>
      <c r="AK240" s="125">
        <f t="shared" si="104"/>
        <v>7.1188156603713276E-2</v>
      </c>
      <c r="AL240" s="117"/>
      <c r="AM240" s="126"/>
      <c r="AN240" s="126"/>
      <c r="AO240" s="126"/>
      <c r="AP240" s="117"/>
      <c r="AQ240" s="126"/>
      <c r="AR240" s="126"/>
      <c r="AS240" s="127"/>
    </row>
    <row r="241" spans="1:45" s="56" customFormat="1" ht="82.5">
      <c r="A241" s="114" t="s">
        <v>140</v>
      </c>
      <c r="B241" s="115" t="s">
        <v>851</v>
      </c>
      <c r="C241" s="116" t="s">
        <v>724</v>
      </c>
      <c r="D241" s="116" t="s">
        <v>606</v>
      </c>
      <c r="E241" s="206">
        <v>6500000</v>
      </c>
      <c r="F241" s="122">
        <f>E241*$E$5</f>
        <v>4568226</v>
      </c>
      <c r="G241" s="206">
        <v>6500000</v>
      </c>
      <c r="H241" s="122">
        <f>G241*$G$5</f>
        <v>4568226</v>
      </c>
      <c r="I241" s="206">
        <v>6500000</v>
      </c>
      <c r="J241" s="117">
        <f>I241*$I$5</f>
        <v>4568226</v>
      </c>
      <c r="K241" s="107" t="s">
        <v>469</v>
      </c>
      <c r="L241" s="117">
        <v>0</v>
      </c>
      <c r="M241" s="117"/>
      <c r="N241" s="118">
        <f t="shared" si="101"/>
        <v>4568226</v>
      </c>
      <c r="O241" s="205">
        <v>1891071.71</v>
      </c>
      <c r="P241" s="135">
        <v>4408072</v>
      </c>
      <c r="Q241" s="130">
        <f t="shared" si="125"/>
        <v>0.96494175200613985</v>
      </c>
      <c r="R241" s="131">
        <v>0.96494175200613985</v>
      </c>
      <c r="S241" s="130">
        <f t="shared" si="95"/>
        <v>0</v>
      </c>
      <c r="T241" s="130">
        <f t="shared" si="86"/>
        <v>0.96494175200613985</v>
      </c>
      <c r="U241" s="135">
        <v>4408072</v>
      </c>
      <c r="V241" s="130">
        <f t="shared" si="126"/>
        <v>0.96494175200613985</v>
      </c>
      <c r="W241" s="131">
        <v>0.96494175200613985</v>
      </c>
      <c r="X241" s="130">
        <f t="shared" si="97"/>
        <v>0</v>
      </c>
      <c r="Y241" s="130">
        <f t="shared" si="102"/>
        <v>0.96494175200613985</v>
      </c>
      <c r="Z241" s="134">
        <v>321947.71000000002</v>
      </c>
      <c r="AA241" s="134"/>
      <c r="AB241" s="134"/>
      <c r="AC241" s="134">
        <v>0</v>
      </c>
      <c r="AD241" s="134">
        <v>0</v>
      </c>
      <c r="AE241" s="134">
        <f t="shared" si="111"/>
        <v>321947.71000000002</v>
      </c>
      <c r="AF241" s="135">
        <f t="shared" si="112"/>
        <v>321947.71000000002</v>
      </c>
      <c r="AG241" s="284">
        <f>SUM(Z241:AB241)</f>
        <v>321947.71000000002</v>
      </c>
      <c r="AH241" s="120">
        <f t="shared" si="128"/>
        <v>7.047543400873775E-2</v>
      </c>
      <c r="AI241" s="120">
        <v>7.047543400873775E-2</v>
      </c>
      <c r="AJ241" s="120">
        <f t="shared" si="100"/>
        <v>0</v>
      </c>
      <c r="AK241" s="125">
        <f t="shared" si="104"/>
        <v>7.047543400873775E-2</v>
      </c>
      <c r="AL241" s="117"/>
      <c r="AM241" s="126"/>
      <c r="AN241" s="126"/>
      <c r="AO241" s="126"/>
      <c r="AP241" s="117"/>
      <c r="AQ241" s="126"/>
      <c r="AR241" s="126"/>
      <c r="AS241" s="127"/>
    </row>
    <row r="242" spans="1:45" s="56" customFormat="1" ht="82.5">
      <c r="A242" s="114" t="s">
        <v>141</v>
      </c>
      <c r="B242" s="115" t="s">
        <v>852</v>
      </c>
      <c r="C242" s="116" t="s">
        <v>724</v>
      </c>
      <c r="D242" s="116" t="s">
        <v>606</v>
      </c>
      <c r="E242" s="206">
        <v>10200000</v>
      </c>
      <c r="F242" s="122">
        <f>E242*$E$5</f>
        <v>7168600.7999999998</v>
      </c>
      <c r="G242" s="206">
        <v>10200000</v>
      </c>
      <c r="H242" s="122">
        <f>G242*$G$5</f>
        <v>7168600.7999999998</v>
      </c>
      <c r="I242" s="206">
        <v>10200000</v>
      </c>
      <c r="J242" s="117">
        <f>I242*$I$5</f>
        <v>7168600.7999999998</v>
      </c>
      <c r="K242" s="107" t="s">
        <v>469</v>
      </c>
      <c r="L242" s="117">
        <v>130000</v>
      </c>
      <c r="M242" s="117">
        <f>L242*0.899730769230769</f>
        <v>116964.99999999997</v>
      </c>
      <c r="N242" s="118">
        <f t="shared" si="101"/>
        <v>7285565.7999999998</v>
      </c>
      <c r="O242" s="205">
        <f>3900410.15+111182</f>
        <v>4011592.15</v>
      </c>
      <c r="P242" s="135">
        <v>7010362.7199999997</v>
      </c>
      <c r="Q242" s="130">
        <f t="shared" si="125"/>
        <v>0.97792622515679772</v>
      </c>
      <c r="R242" s="131">
        <v>0.97792622515679772</v>
      </c>
      <c r="S242" s="130">
        <f t="shared" si="95"/>
        <v>0</v>
      </c>
      <c r="T242" s="130">
        <f t="shared" si="86"/>
        <v>0.9622262583916269</v>
      </c>
      <c r="U242" s="135">
        <v>7010362.7199999997</v>
      </c>
      <c r="V242" s="130">
        <f t="shared" si="126"/>
        <v>0.97792622515679772</v>
      </c>
      <c r="W242" s="131">
        <v>0.97792622515679772</v>
      </c>
      <c r="X242" s="130">
        <f>V242-W242</f>
        <v>0</v>
      </c>
      <c r="Y242" s="130">
        <f t="shared" si="102"/>
        <v>0.9622262583916269</v>
      </c>
      <c r="Z242" s="134">
        <v>2830474.45</v>
      </c>
      <c r="AA242" s="134"/>
      <c r="AB242" s="134"/>
      <c r="AC242" s="134">
        <v>0</v>
      </c>
      <c r="AD242" s="134">
        <v>0</v>
      </c>
      <c r="AE242" s="134">
        <f t="shared" si="111"/>
        <v>2830474.45</v>
      </c>
      <c r="AF242" s="135">
        <f t="shared" si="112"/>
        <v>2830474.45</v>
      </c>
      <c r="AG242" s="284">
        <f>SUM(Z242:AB242)</f>
        <v>2830474.45</v>
      </c>
      <c r="AH242" s="120">
        <f t="shared" si="128"/>
        <v>0.39484336329622377</v>
      </c>
      <c r="AI242" s="120">
        <v>0.33419768052923238</v>
      </c>
      <c r="AJ242" s="120">
        <f t="shared" si="100"/>
        <v>6.0645682766991393E-2</v>
      </c>
      <c r="AK242" s="125">
        <f t="shared" si="104"/>
        <v>0.388504411009506</v>
      </c>
      <c r="AL242" s="117"/>
      <c r="AM242" s="126"/>
      <c r="AN242" s="126"/>
      <c r="AO242" s="126"/>
      <c r="AP242" s="117"/>
      <c r="AQ242" s="126"/>
      <c r="AR242" s="126"/>
      <c r="AS242" s="127"/>
    </row>
    <row r="243" spans="1:45" s="204" customFormat="1" ht="49.5">
      <c r="A243" s="104" t="s">
        <v>853</v>
      </c>
      <c r="B243" s="105" t="s">
        <v>854</v>
      </c>
      <c r="C243" s="106" t="s">
        <v>724</v>
      </c>
      <c r="D243" s="106" t="s">
        <v>770</v>
      </c>
      <c r="E243" s="109"/>
      <c r="F243" s="107">
        <f>F244+F247+F248+F249</f>
        <v>76696099.525271997</v>
      </c>
      <c r="G243" s="107"/>
      <c r="H243" s="107">
        <f>H244+H247+H248+H249</f>
        <v>76696099.525271997</v>
      </c>
      <c r="I243" s="107"/>
      <c r="J243" s="107">
        <f>J244+J247+J248+J249</f>
        <v>76696099.525271997</v>
      </c>
      <c r="K243" s="107" t="s">
        <v>469</v>
      </c>
      <c r="L243" s="107">
        <f>L244+L247+L248+L249</f>
        <v>0</v>
      </c>
      <c r="M243" s="107">
        <f>M244+M247+M248+M249</f>
        <v>0</v>
      </c>
      <c r="N243" s="86">
        <f t="shared" si="101"/>
        <v>76696099.525271997</v>
      </c>
      <c r="O243" s="207">
        <f>O245+O247+O248+O249</f>
        <v>25198376.829999998</v>
      </c>
      <c r="P243" s="137">
        <f>P245+P247+P248+P249</f>
        <v>71637760.530000001</v>
      </c>
      <c r="Q243" s="138">
        <f t="shared" si="125"/>
        <v>0.93404698509335238</v>
      </c>
      <c r="R243" s="138">
        <v>0.93572558114708748</v>
      </c>
      <c r="S243" s="138">
        <f t="shared" si="95"/>
        <v>-1.6785960537351041E-3</v>
      </c>
      <c r="T243" s="138">
        <f t="shared" si="86"/>
        <v>0.93404698509335238</v>
      </c>
      <c r="U243" s="137">
        <f>U245+U247+U248+U249</f>
        <v>55584848.869999997</v>
      </c>
      <c r="V243" s="138">
        <f t="shared" si="126"/>
        <v>0.72474153462894586</v>
      </c>
      <c r="W243" s="186">
        <v>0.7247564721551969</v>
      </c>
      <c r="X243" s="138">
        <f t="shared" si="97"/>
        <v>-1.4937526251035393E-5</v>
      </c>
      <c r="Y243" s="138">
        <f t="shared" si="102"/>
        <v>0.72474153462894586</v>
      </c>
      <c r="Z243" s="137">
        <f>Z245+Z247+Z248+Z249</f>
        <v>13287017.219999999</v>
      </c>
      <c r="AA243" s="137">
        <f>AA245+AA247+AA248+AA249</f>
        <v>9214073.0700000003</v>
      </c>
      <c r="AB243" s="137">
        <f>AB245+AB247+AB248+AB249</f>
        <v>0</v>
      </c>
      <c r="AC243" s="137">
        <f>AC245+AC247+AC248+AC249</f>
        <v>2548606.06</v>
      </c>
      <c r="AD243" s="137">
        <f>AD245+AD247+AD248+AD249</f>
        <v>0</v>
      </c>
      <c r="AE243" s="137">
        <f t="shared" si="111"/>
        <v>22501090.289999999</v>
      </c>
      <c r="AF243" s="135">
        <f t="shared" si="112"/>
        <v>25049696.349999998</v>
      </c>
      <c r="AG243" s="279">
        <f>AG245+AG247+AG248+AG249</f>
        <v>22501090.289999999</v>
      </c>
      <c r="AH243" s="110">
        <f t="shared" si="128"/>
        <v>0.2933798515084291</v>
      </c>
      <c r="AI243" s="110">
        <v>0.28503933114351515</v>
      </c>
      <c r="AJ243" s="110">
        <f t="shared" si="100"/>
        <v>8.3405203649139503E-3</v>
      </c>
      <c r="AK243" s="89">
        <f t="shared" si="104"/>
        <v>0.2933798515084291</v>
      </c>
      <c r="AL243" s="117"/>
      <c r="AM243" s="126"/>
      <c r="AN243" s="126"/>
      <c r="AO243" s="126"/>
      <c r="AP243" s="117"/>
      <c r="AQ243" s="126"/>
      <c r="AR243" s="126"/>
      <c r="AS243" s="127"/>
    </row>
    <row r="244" spans="1:45" s="204" customFormat="1" ht="99">
      <c r="A244" s="114" t="s">
        <v>855</v>
      </c>
      <c r="B244" s="115" t="s">
        <v>856</v>
      </c>
      <c r="C244" s="116" t="s">
        <v>724</v>
      </c>
      <c r="D244" s="116" t="s">
        <v>535</v>
      </c>
      <c r="E244" s="145"/>
      <c r="F244" s="145">
        <f>F245+F246</f>
        <v>55330599.293399997</v>
      </c>
      <c r="G244" s="145"/>
      <c r="H244" s="145">
        <f t="shared" ref="H244" si="137">H245+H246</f>
        <v>55330599.293399997</v>
      </c>
      <c r="I244" s="145"/>
      <c r="J244" s="145">
        <f>J245+J246</f>
        <v>55330599.293399997</v>
      </c>
      <c r="K244" s="107" t="s">
        <v>469</v>
      </c>
      <c r="L244" s="145">
        <f>L245+L246</f>
        <v>0</v>
      </c>
      <c r="M244" s="145">
        <f>M245+M246</f>
        <v>0</v>
      </c>
      <c r="N244" s="118">
        <f t="shared" si="101"/>
        <v>55330599.293399997</v>
      </c>
      <c r="O244" s="225">
        <f t="shared" ref="O244" si="138">O245+O246</f>
        <v>13541638.85</v>
      </c>
      <c r="P244" s="144">
        <v>50277421.640000001</v>
      </c>
      <c r="Q244" s="130">
        <f t="shared" si="125"/>
        <v>0.90867299978797167</v>
      </c>
      <c r="R244" s="131">
        <v>0.91099977324866244</v>
      </c>
      <c r="S244" s="130">
        <f t="shared" si="95"/>
        <v>-2.3267734606907675E-3</v>
      </c>
      <c r="T244" s="130">
        <f t="shared" si="86"/>
        <v>0.90867299978797167</v>
      </c>
      <c r="U244" s="134">
        <v>34224509.979999997</v>
      </c>
      <c r="V244" s="130">
        <f t="shared" si="126"/>
        <v>0.61854580317336993</v>
      </c>
      <c r="W244" s="131">
        <v>0.61856650871451058</v>
      </c>
      <c r="X244" s="130">
        <f t="shared" si="97"/>
        <v>-2.0705541140642048E-5</v>
      </c>
      <c r="Y244" s="130">
        <f t="shared" si="102"/>
        <v>0.61854580317336993</v>
      </c>
      <c r="Z244" s="144">
        <f>Z245+Z246</f>
        <v>6660772.6499999994</v>
      </c>
      <c r="AA244" s="144">
        <f>AA245+AA246</f>
        <v>5849488.2599999998</v>
      </c>
      <c r="AB244" s="144">
        <f t="shared" ref="AB244:AC244" si="139">AB245+AB246</f>
        <v>0</v>
      </c>
      <c r="AC244" s="144">
        <f t="shared" si="139"/>
        <v>1848606.06</v>
      </c>
      <c r="AD244" s="144">
        <v>0</v>
      </c>
      <c r="AE244" s="144">
        <f t="shared" si="111"/>
        <v>12510260.91</v>
      </c>
      <c r="AF244" s="135">
        <f t="shared" si="112"/>
        <v>14358866.970000001</v>
      </c>
      <c r="AG244" s="284">
        <f t="shared" ref="AG244:AG249" si="140">SUM(Z244:AB244)</f>
        <v>12510260.91</v>
      </c>
      <c r="AH244" s="120">
        <f t="shared" si="128"/>
        <v>0.2261002242838939</v>
      </c>
      <c r="AI244" s="120">
        <v>0.22190316817089961</v>
      </c>
      <c r="AJ244" s="120">
        <f t="shared" si="100"/>
        <v>4.1970561129942852E-3</v>
      </c>
      <c r="AK244" s="125">
        <f t="shared" si="104"/>
        <v>0.2261002242838939</v>
      </c>
      <c r="AL244" s="117"/>
      <c r="AM244" s="126"/>
      <c r="AN244" s="126"/>
      <c r="AO244" s="126"/>
      <c r="AP244" s="117"/>
      <c r="AQ244" s="126"/>
      <c r="AR244" s="126"/>
      <c r="AS244" s="127"/>
    </row>
    <row r="245" spans="1:45" s="56" customFormat="1" ht="115.5">
      <c r="A245" s="114" t="s">
        <v>857</v>
      </c>
      <c r="B245" s="115" t="s">
        <v>858</v>
      </c>
      <c r="C245" s="116" t="s">
        <v>724</v>
      </c>
      <c r="D245" s="116" t="s">
        <v>535</v>
      </c>
      <c r="E245" s="206">
        <v>77896838</v>
      </c>
      <c r="F245" s="122">
        <f>E245*$E$5</f>
        <v>54746209.333751999</v>
      </c>
      <c r="G245" s="206">
        <v>77896838</v>
      </c>
      <c r="H245" s="122">
        <f>G245*$G$5</f>
        <v>54746209.333751999</v>
      </c>
      <c r="I245" s="206">
        <v>77896838</v>
      </c>
      <c r="J245" s="117">
        <f>I245*$I$5</f>
        <v>54746209.333751999</v>
      </c>
      <c r="K245" s="107" t="s">
        <v>469</v>
      </c>
      <c r="L245" s="117">
        <v>0</v>
      </c>
      <c r="M245" s="117"/>
      <c r="N245" s="118">
        <f t="shared" si="101"/>
        <v>54746209.333751999</v>
      </c>
      <c r="O245" s="205">
        <v>13541638.85</v>
      </c>
      <c r="P245" s="135">
        <v>50277421.640000001</v>
      </c>
      <c r="Q245" s="130">
        <f t="shared" si="125"/>
        <v>0.91837265541968927</v>
      </c>
      <c r="R245" s="131">
        <v>0.92072426608948266</v>
      </c>
      <c r="S245" s="130">
        <f t="shared" si="95"/>
        <v>-2.3516106697933914E-3</v>
      </c>
      <c r="T245" s="130">
        <f t="shared" si="86"/>
        <v>0.91837265541968927</v>
      </c>
      <c r="U245" s="135">
        <v>34224509.979999997</v>
      </c>
      <c r="V245" s="130">
        <f t="shared" si="126"/>
        <v>0.62514848784059984</v>
      </c>
      <c r="W245" s="131">
        <v>0.62516941440362495</v>
      </c>
      <c r="X245" s="130">
        <f t="shared" si="97"/>
        <v>-2.0926563025103206E-5</v>
      </c>
      <c r="Y245" s="130">
        <f t="shared" si="102"/>
        <v>0.62514848784059984</v>
      </c>
      <c r="Z245" s="134">
        <v>6660772.6499999994</v>
      </c>
      <c r="AA245" s="134">
        <v>5849488.2599999998</v>
      </c>
      <c r="AB245" s="134"/>
      <c r="AC245" s="134">
        <v>1848606.06</v>
      </c>
      <c r="AD245" s="134">
        <f t="shared" ref="AD245" si="141">AD244</f>
        <v>0</v>
      </c>
      <c r="AE245" s="134">
        <f t="shared" si="111"/>
        <v>12510260.91</v>
      </c>
      <c r="AF245" s="135">
        <f>Z245+AA245+AC245</f>
        <v>14358866.970000001</v>
      </c>
      <c r="AG245" s="284">
        <f>SUM(Z245:AB245)</f>
        <v>12510260.91</v>
      </c>
      <c r="AH245" s="120">
        <f t="shared" si="128"/>
        <v>0.22851373752168089</v>
      </c>
      <c r="AI245" s="120">
        <v>0.22427187981452398</v>
      </c>
      <c r="AJ245" s="120">
        <f t="shared" si="100"/>
        <v>4.2418577071569041E-3</v>
      </c>
      <c r="AK245" s="125">
        <f t="shared" si="104"/>
        <v>0.22851373752168089</v>
      </c>
      <c r="AL245" s="117"/>
      <c r="AM245" s="126"/>
      <c r="AN245" s="126"/>
      <c r="AO245" s="126"/>
      <c r="AP245" s="117"/>
      <c r="AQ245" s="126"/>
      <c r="AR245" s="126"/>
      <c r="AS245" s="127"/>
    </row>
    <row r="246" spans="1:45" s="56" customFormat="1" ht="115.5">
      <c r="A246" s="114" t="s">
        <v>149</v>
      </c>
      <c r="B246" s="115" t="s">
        <v>859</v>
      </c>
      <c r="C246" s="116" t="s">
        <v>724</v>
      </c>
      <c r="D246" s="116" t="s">
        <v>535</v>
      </c>
      <c r="E246" s="206">
        <v>831512</v>
      </c>
      <c r="F246" s="122">
        <f>E246*$E$5</f>
        <v>584389.95964799996</v>
      </c>
      <c r="G246" s="206">
        <v>831512</v>
      </c>
      <c r="H246" s="122">
        <f>G246*$G$5</f>
        <v>584389.95964799996</v>
      </c>
      <c r="I246" s="206">
        <v>831512</v>
      </c>
      <c r="J246" s="117">
        <f>I246*$I$5</f>
        <v>584389.95964799996</v>
      </c>
      <c r="K246" s="107" t="s">
        <v>469</v>
      </c>
      <c r="L246" s="117">
        <v>0</v>
      </c>
      <c r="M246" s="117"/>
      <c r="N246" s="118">
        <f t="shared" si="101"/>
        <v>584389.95964799996</v>
      </c>
      <c r="O246" s="205">
        <v>0</v>
      </c>
      <c r="P246" s="135">
        <v>0</v>
      </c>
      <c r="Q246" s="130">
        <f t="shared" si="125"/>
        <v>0</v>
      </c>
      <c r="R246" s="131">
        <v>0</v>
      </c>
      <c r="S246" s="130">
        <f t="shared" si="95"/>
        <v>0</v>
      </c>
      <c r="T246" s="130">
        <f t="shared" si="86"/>
        <v>0</v>
      </c>
      <c r="U246" s="135">
        <v>0</v>
      </c>
      <c r="V246" s="130">
        <v>0</v>
      </c>
      <c r="W246" s="131">
        <v>0</v>
      </c>
      <c r="X246" s="130">
        <v>0</v>
      </c>
      <c r="Y246" s="130">
        <f t="shared" si="102"/>
        <v>0</v>
      </c>
      <c r="Z246" s="134">
        <v>0</v>
      </c>
      <c r="AA246" s="134">
        <v>0</v>
      </c>
      <c r="AB246" s="134">
        <v>0</v>
      </c>
      <c r="AC246" s="134">
        <v>0</v>
      </c>
      <c r="AD246" s="134">
        <v>0</v>
      </c>
      <c r="AE246" s="134">
        <v>0</v>
      </c>
      <c r="AF246" s="135">
        <f t="shared" si="112"/>
        <v>0</v>
      </c>
      <c r="AG246" s="284">
        <f t="shared" si="140"/>
        <v>0</v>
      </c>
      <c r="AH246" s="120">
        <v>0</v>
      </c>
      <c r="AI246" s="120">
        <v>0</v>
      </c>
      <c r="AJ246" s="120">
        <v>0</v>
      </c>
      <c r="AK246" s="125">
        <f t="shared" si="104"/>
        <v>0</v>
      </c>
      <c r="AL246" s="117"/>
      <c r="AM246" s="126"/>
      <c r="AN246" s="126"/>
      <c r="AO246" s="126"/>
      <c r="AP246" s="117"/>
      <c r="AQ246" s="126"/>
      <c r="AR246" s="126"/>
      <c r="AS246" s="127"/>
    </row>
    <row r="247" spans="1:45" s="56" customFormat="1" ht="115.5">
      <c r="A247" s="114" t="s">
        <v>133</v>
      </c>
      <c r="B247" s="115" t="s">
        <v>860</v>
      </c>
      <c r="C247" s="116" t="s">
        <v>724</v>
      </c>
      <c r="D247" s="116" t="s">
        <v>535</v>
      </c>
      <c r="E247" s="206">
        <v>30400368</v>
      </c>
      <c r="F247" s="122">
        <f>E247*$E$5</f>
        <v>21365500.231872</v>
      </c>
      <c r="G247" s="206">
        <v>30400368</v>
      </c>
      <c r="H247" s="122">
        <f>G247*$G$5</f>
        <v>21365500.231872</v>
      </c>
      <c r="I247" s="206">
        <v>30400368</v>
      </c>
      <c r="J247" s="117">
        <f>I247*$I$5</f>
        <v>21365500.231872</v>
      </c>
      <c r="K247" s="107" t="s">
        <v>469</v>
      </c>
      <c r="L247" s="117">
        <v>0</v>
      </c>
      <c r="M247" s="117"/>
      <c r="N247" s="118">
        <f t="shared" si="101"/>
        <v>21365500.231872</v>
      </c>
      <c r="O247" s="205">
        <v>11656737.98</v>
      </c>
      <c r="P247" s="135">
        <v>21360338.890000001</v>
      </c>
      <c r="Q247" s="130">
        <f t="shared" si="125"/>
        <v>0.99975842635014467</v>
      </c>
      <c r="R247" s="131">
        <v>0.99975842635014467</v>
      </c>
      <c r="S247" s="130">
        <f t="shared" si="95"/>
        <v>0</v>
      </c>
      <c r="T247" s="130">
        <f t="shared" si="86"/>
        <v>0.99975842635014467</v>
      </c>
      <c r="U247" s="135">
        <v>21360338.890000001</v>
      </c>
      <c r="V247" s="130">
        <f>U247/J247</f>
        <v>0.99975842635014467</v>
      </c>
      <c r="W247" s="130">
        <v>0.99975842635014467</v>
      </c>
      <c r="X247" s="130">
        <f t="shared" si="97"/>
        <v>0</v>
      </c>
      <c r="Y247" s="130">
        <f t="shared" si="102"/>
        <v>0.99975842635014467</v>
      </c>
      <c r="Z247" s="134">
        <v>6626244.5700000003</v>
      </c>
      <c r="AA247" s="134">
        <v>3364584.81</v>
      </c>
      <c r="AB247" s="134">
        <v>0</v>
      </c>
      <c r="AC247" s="134">
        <v>700000</v>
      </c>
      <c r="AD247" s="134">
        <v>0</v>
      </c>
      <c r="AE247" s="134">
        <f t="shared" ref="AE247:AE261" si="142">AG247-AD247</f>
        <v>9990829.3800000008</v>
      </c>
      <c r="AF247" s="135">
        <f t="shared" si="112"/>
        <v>10690829.380000001</v>
      </c>
      <c r="AG247" s="284">
        <f t="shared" si="140"/>
        <v>9990829.3800000008</v>
      </c>
      <c r="AH247" s="120">
        <f>AG247/J247</f>
        <v>0.46761504629300343</v>
      </c>
      <c r="AI247" s="120">
        <v>0.4485441260909025</v>
      </c>
      <c r="AJ247" s="120">
        <f t="shared" si="100"/>
        <v>1.9070920202100938E-2</v>
      </c>
      <c r="AK247" s="125">
        <f t="shared" si="104"/>
        <v>0.46761504629300343</v>
      </c>
      <c r="AL247" s="117"/>
      <c r="AM247" s="126"/>
      <c r="AN247" s="126"/>
      <c r="AO247" s="126"/>
      <c r="AP247" s="117"/>
      <c r="AQ247" s="126"/>
      <c r="AR247" s="126"/>
      <c r="AS247" s="127"/>
    </row>
    <row r="248" spans="1:45" s="56" customFormat="1" ht="49.5">
      <c r="A248" s="114" t="s">
        <v>134</v>
      </c>
      <c r="B248" s="115" t="s">
        <v>861</v>
      </c>
      <c r="C248" s="116" t="s">
        <v>724</v>
      </c>
      <c r="D248" s="116" t="s">
        <v>535</v>
      </c>
      <c r="E248" s="206">
        <v>0</v>
      </c>
      <c r="F248" s="122">
        <f>E248*$E$5</f>
        <v>0</v>
      </c>
      <c r="G248" s="206">
        <v>0</v>
      </c>
      <c r="H248" s="122">
        <f>G248*$G$5</f>
        <v>0</v>
      </c>
      <c r="I248" s="206">
        <v>0</v>
      </c>
      <c r="J248" s="117">
        <f>I248*$I$5</f>
        <v>0</v>
      </c>
      <c r="K248" s="107" t="s">
        <v>469</v>
      </c>
      <c r="L248" s="117">
        <v>0</v>
      </c>
      <c r="M248" s="117"/>
      <c r="N248" s="118">
        <f t="shared" si="101"/>
        <v>0</v>
      </c>
      <c r="O248" s="205">
        <v>0</v>
      </c>
      <c r="P248" s="135">
        <v>0</v>
      </c>
      <c r="Q248" s="130"/>
      <c r="R248" s="131"/>
      <c r="S248" s="130"/>
      <c r="T248" s="130" t="e">
        <f t="shared" si="86"/>
        <v>#DIV/0!</v>
      </c>
      <c r="U248" s="135">
        <v>0</v>
      </c>
      <c r="V248" s="130"/>
      <c r="W248" s="131"/>
      <c r="X248" s="130"/>
      <c r="Y248" s="130" t="e">
        <f t="shared" si="102"/>
        <v>#DIV/0!</v>
      </c>
      <c r="Z248" s="134">
        <v>0</v>
      </c>
      <c r="AA248" s="134">
        <v>0</v>
      </c>
      <c r="AB248" s="134">
        <v>0</v>
      </c>
      <c r="AC248" s="134">
        <v>0</v>
      </c>
      <c r="AD248" s="134">
        <v>0</v>
      </c>
      <c r="AE248" s="134">
        <f t="shared" si="142"/>
        <v>0</v>
      </c>
      <c r="AF248" s="135">
        <f t="shared" si="112"/>
        <v>0</v>
      </c>
      <c r="AG248" s="284">
        <f t="shared" si="140"/>
        <v>0</v>
      </c>
      <c r="AH248" s="120"/>
      <c r="AI248" s="120"/>
      <c r="AJ248" s="120"/>
      <c r="AK248" s="125" t="e">
        <f t="shared" si="104"/>
        <v>#DIV/0!</v>
      </c>
      <c r="AL248" s="117"/>
      <c r="AM248" s="126"/>
      <c r="AN248" s="126"/>
      <c r="AO248" s="126"/>
      <c r="AP248" s="117"/>
      <c r="AQ248" s="126"/>
      <c r="AR248" s="126"/>
      <c r="AS248" s="127"/>
    </row>
    <row r="249" spans="1:45" s="56" customFormat="1" ht="99">
      <c r="A249" s="114" t="s">
        <v>135</v>
      </c>
      <c r="B249" s="115" t="s">
        <v>862</v>
      </c>
      <c r="C249" s="116" t="s">
        <v>724</v>
      </c>
      <c r="D249" s="116" t="s">
        <v>535</v>
      </c>
      <c r="E249" s="206">
        <v>0</v>
      </c>
      <c r="F249" s="122">
        <f>E249*$E$5</f>
        <v>0</v>
      </c>
      <c r="G249" s="206">
        <v>0</v>
      </c>
      <c r="H249" s="122">
        <f>G249*$G$5</f>
        <v>0</v>
      </c>
      <c r="I249" s="206">
        <v>0</v>
      </c>
      <c r="J249" s="117">
        <f>I249*$I$5</f>
        <v>0</v>
      </c>
      <c r="K249" s="107" t="s">
        <v>469</v>
      </c>
      <c r="L249" s="117">
        <v>0</v>
      </c>
      <c r="M249" s="117"/>
      <c r="N249" s="118">
        <f t="shared" si="101"/>
        <v>0</v>
      </c>
      <c r="O249" s="205">
        <v>0</v>
      </c>
      <c r="P249" s="135">
        <v>0</v>
      </c>
      <c r="Q249" s="130"/>
      <c r="R249" s="131"/>
      <c r="S249" s="130"/>
      <c r="T249" s="130" t="e">
        <f t="shared" si="86"/>
        <v>#DIV/0!</v>
      </c>
      <c r="U249" s="135">
        <v>0</v>
      </c>
      <c r="V249" s="130"/>
      <c r="W249" s="131"/>
      <c r="X249" s="130"/>
      <c r="Y249" s="130" t="e">
        <f t="shared" si="102"/>
        <v>#DIV/0!</v>
      </c>
      <c r="Z249" s="134">
        <v>0</v>
      </c>
      <c r="AA249" s="134">
        <v>0</v>
      </c>
      <c r="AB249" s="134">
        <v>0</v>
      </c>
      <c r="AC249" s="134">
        <v>0</v>
      </c>
      <c r="AD249" s="134">
        <v>0</v>
      </c>
      <c r="AE249" s="134">
        <f t="shared" si="142"/>
        <v>0</v>
      </c>
      <c r="AF249" s="135">
        <f t="shared" si="112"/>
        <v>0</v>
      </c>
      <c r="AG249" s="284">
        <f t="shared" si="140"/>
        <v>0</v>
      </c>
      <c r="AH249" s="120"/>
      <c r="AI249" s="120"/>
      <c r="AJ249" s="120"/>
      <c r="AK249" s="125" t="e">
        <f t="shared" si="104"/>
        <v>#DIV/0!</v>
      </c>
      <c r="AL249" s="117"/>
      <c r="AM249" s="126"/>
      <c r="AN249" s="126"/>
      <c r="AO249" s="126"/>
      <c r="AP249" s="117"/>
      <c r="AQ249" s="126"/>
      <c r="AR249" s="126"/>
      <c r="AS249" s="127"/>
    </row>
    <row r="250" spans="1:45" s="204" customFormat="1" ht="49.5">
      <c r="A250" s="104" t="s">
        <v>863</v>
      </c>
      <c r="B250" s="105" t="s">
        <v>864</v>
      </c>
      <c r="C250" s="106" t="s">
        <v>617</v>
      </c>
      <c r="D250" s="106" t="s">
        <v>770</v>
      </c>
      <c r="E250" s="109"/>
      <c r="F250" s="107">
        <f>F251+F254</f>
        <v>192923990.024028</v>
      </c>
      <c r="G250" s="107"/>
      <c r="H250" s="107">
        <f>H251+H254</f>
        <v>192923990.024028</v>
      </c>
      <c r="I250" s="107"/>
      <c r="J250" s="107">
        <f>J251+J254</f>
        <v>192923990.024028</v>
      </c>
      <c r="K250" s="107" t="s">
        <v>469</v>
      </c>
      <c r="L250" s="107">
        <f>L251+L254</f>
        <v>43561543</v>
      </c>
      <c r="M250" s="107">
        <f>M251+M254</f>
        <v>43561543</v>
      </c>
      <c r="N250" s="86">
        <f t="shared" si="101"/>
        <v>236485533.024028</v>
      </c>
      <c r="O250" s="207">
        <f t="shared" ref="O250" si="143">O251+O254</f>
        <v>159074958.99000001</v>
      </c>
      <c r="P250" s="137">
        <f>P251+P254</f>
        <v>184928551.69</v>
      </c>
      <c r="Q250" s="138">
        <f>P250/J250</f>
        <v>0.95855653652491735</v>
      </c>
      <c r="R250" s="138">
        <v>0.89841485347889016</v>
      </c>
      <c r="S250" s="138">
        <f t="shared" ref="S250:S261" si="144">Q250-R250</f>
        <v>6.0141683046027183E-2</v>
      </c>
      <c r="T250" s="138">
        <f t="shared" si="86"/>
        <v>0.78198674280515257</v>
      </c>
      <c r="U250" s="137">
        <f>U251+U254</f>
        <v>180652059.44</v>
      </c>
      <c r="V250" s="138">
        <f>U250/J250</f>
        <v>0.9363898155822945</v>
      </c>
      <c r="W250" s="186">
        <v>0.89841485347889016</v>
      </c>
      <c r="X250" s="138">
        <f t="shared" si="97"/>
        <v>3.7974962103404342E-2</v>
      </c>
      <c r="Y250" s="138">
        <f t="shared" si="102"/>
        <v>0.76390321695342323</v>
      </c>
      <c r="Z250" s="137">
        <f t="shared" ref="Z250:AD250" si="145">Z251+Z254</f>
        <v>59215312.680000007</v>
      </c>
      <c r="AA250" s="137">
        <f t="shared" si="145"/>
        <v>0</v>
      </c>
      <c r="AB250" s="137">
        <f t="shared" si="145"/>
        <v>89705228.890000015</v>
      </c>
      <c r="AC250" s="137">
        <f t="shared" si="145"/>
        <v>53336643.020000003</v>
      </c>
      <c r="AD250" s="137">
        <f t="shared" si="145"/>
        <v>3753024.69</v>
      </c>
      <c r="AE250" s="137">
        <f t="shared" si="142"/>
        <v>145167516.88</v>
      </c>
      <c r="AF250" s="135">
        <f t="shared" si="112"/>
        <v>112551955.70000002</v>
      </c>
      <c r="AG250" s="279">
        <f>AG251+AG254</f>
        <v>148920541.56999999</v>
      </c>
      <c r="AH250" s="110">
        <f>AG250/J250</f>
        <v>0.77191302933063155</v>
      </c>
      <c r="AI250" s="110">
        <v>0.72896465324236981</v>
      </c>
      <c r="AJ250" s="110">
        <f t="shared" si="100"/>
        <v>4.2948376088261742E-2</v>
      </c>
      <c r="AK250" s="89">
        <f t="shared" si="104"/>
        <v>0.62972368612023721</v>
      </c>
      <c r="AL250" s="117"/>
      <c r="AM250" s="126"/>
      <c r="AN250" s="126"/>
      <c r="AO250" s="126"/>
      <c r="AP250" s="117"/>
      <c r="AQ250" s="126"/>
      <c r="AR250" s="126"/>
      <c r="AS250" s="127"/>
    </row>
    <row r="251" spans="1:45" s="204" customFormat="1" ht="115.5">
      <c r="A251" s="104" t="s">
        <v>865</v>
      </c>
      <c r="B251" s="105" t="s">
        <v>866</v>
      </c>
      <c r="C251" s="106" t="s">
        <v>617</v>
      </c>
      <c r="D251" s="106" t="s">
        <v>770</v>
      </c>
      <c r="E251" s="109"/>
      <c r="F251" s="107">
        <f>F252+F253</f>
        <v>184862251.14194399</v>
      </c>
      <c r="G251" s="107"/>
      <c r="H251" s="107">
        <f>H252+H253</f>
        <v>184862251.14194399</v>
      </c>
      <c r="I251" s="107"/>
      <c r="J251" s="107">
        <f>J252+J253</f>
        <v>184862251.14194399</v>
      </c>
      <c r="K251" s="107" t="s">
        <v>469</v>
      </c>
      <c r="L251" s="107">
        <f>L252+L253</f>
        <v>25685543</v>
      </c>
      <c r="M251" s="107">
        <f>M252+M253</f>
        <v>25685543</v>
      </c>
      <c r="N251" s="86">
        <f t="shared" si="101"/>
        <v>210547794.14194399</v>
      </c>
      <c r="O251" s="207">
        <f t="shared" ref="O251" si="146">O252+O253</f>
        <v>156964587.99000001</v>
      </c>
      <c r="P251" s="137">
        <f>P252+P253</f>
        <v>180084989.03</v>
      </c>
      <c r="Q251" s="138">
        <f>P251/J251</f>
        <v>0.97415771969434783</v>
      </c>
      <c r="R251" s="138">
        <v>0.91360979927869956</v>
      </c>
      <c r="S251" s="138">
        <f t="shared" si="144"/>
        <v>6.0547920415648271E-2</v>
      </c>
      <c r="T251" s="138">
        <f t="shared" si="86"/>
        <v>0.85531643664997492</v>
      </c>
      <c r="U251" s="137">
        <f>U252+U253</f>
        <v>175808496.78</v>
      </c>
      <c r="V251" s="138">
        <f>U251/J251</f>
        <v>0.95102432050883023</v>
      </c>
      <c r="W251" s="186">
        <v>0.91360979927869956</v>
      </c>
      <c r="X251" s="138">
        <f t="shared" si="97"/>
        <v>3.7414521230130671E-2</v>
      </c>
      <c r="Y251" s="138">
        <f t="shared" si="102"/>
        <v>0.83500517066199242</v>
      </c>
      <c r="Z251" s="137">
        <f t="shared" ref="Z251:AD251" si="147">Z252+Z253</f>
        <v>58686882.090000004</v>
      </c>
      <c r="AA251" s="137">
        <f t="shared" si="147"/>
        <v>0</v>
      </c>
      <c r="AB251" s="137">
        <f t="shared" si="147"/>
        <v>87093636.600000009</v>
      </c>
      <c r="AC251" s="137">
        <f t="shared" si="147"/>
        <v>52997719.240000002</v>
      </c>
      <c r="AD251" s="137">
        <f t="shared" si="147"/>
        <v>3753024.69</v>
      </c>
      <c r="AE251" s="137">
        <f t="shared" si="142"/>
        <v>142027494</v>
      </c>
      <c r="AF251" s="135">
        <f t="shared" si="112"/>
        <v>111684601.33000001</v>
      </c>
      <c r="AG251" s="279">
        <f>AG252+AG253</f>
        <v>145780518.69</v>
      </c>
      <c r="AH251" s="110">
        <f>AG251/J251</f>
        <v>0.78858997869751346</v>
      </c>
      <c r="AI251" s="110">
        <v>0.74894398280204799</v>
      </c>
      <c r="AJ251" s="110">
        <f t="shared" si="100"/>
        <v>3.9645995895465469E-2</v>
      </c>
      <c r="AK251" s="89">
        <f t="shared" si="104"/>
        <v>0.69238682496820581</v>
      </c>
      <c r="AL251" s="117"/>
      <c r="AM251" s="126"/>
      <c r="AN251" s="126"/>
      <c r="AO251" s="126"/>
      <c r="AP251" s="117"/>
      <c r="AQ251" s="126"/>
      <c r="AR251" s="126"/>
      <c r="AS251" s="127"/>
    </row>
    <row r="252" spans="1:45" s="56" customFormat="1" ht="132">
      <c r="A252" s="114" t="s">
        <v>107</v>
      </c>
      <c r="B252" s="115" t="s">
        <v>867</v>
      </c>
      <c r="C252" s="116" t="s">
        <v>617</v>
      </c>
      <c r="D252" s="116" t="s">
        <v>606</v>
      </c>
      <c r="E252" s="206">
        <v>253035286</v>
      </c>
      <c r="F252" s="122">
        <f>E252*$E$5</f>
        <v>177834211.14194399</v>
      </c>
      <c r="G252" s="206">
        <v>253035286</v>
      </c>
      <c r="H252" s="122">
        <f>G252*$G$5</f>
        <v>177834211.14194399</v>
      </c>
      <c r="I252" s="206">
        <v>253035286</v>
      </c>
      <c r="J252" s="117">
        <f>I252*$I$5</f>
        <v>177834211.14194399</v>
      </c>
      <c r="K252" s="107" t="s">
        <v>469</v>
      </c>
      <c r="L252" s="117">
        <v>25685543</v>
      </c>
      <c r="M252" s="117">
        <f>L252</f>
        <v>25685543</v>
      </c>
      <c r="N252" s="118">
        <f t="shared" si="101"/>
        <v>203519754.14194399</v>
      </c>
      <c r="O252" s="205">
        <v>155422838.99000001</v>
      </c>
      <c r="P252" s="135">
        <v>173056949.03</v>
      </c>
      <c r="Q252" s="130">
        <f>P252/J252</f>
        <v>0.97313642813006962</v>
      </c>
      <c r="R252" s="131">
        <v>0.91019564301271139</v>
      </c>
      <c r="S252" s="130">
        <f t="shared" si="144"/>
        <v>6.2940785117358233E-2</v>
      </c>
      <c r="T252" s="130">
        <f t="shared" si="86"/>
        <v>0.85032015569998265</v>
      </c>
      <c r="U252" s="135">
        <v>168780456.78</v>
      </c>
      <c r="V252" s="130">
        <f>U252/J252</f>
        <v>0.94908879284921477</v>
      </c>
      <c r="W252" s="130">
        <v>0.91019564301271139</v>
      </c>
      <c r="X252" s="130">
        <f t="shared" si="97"/>
        <v>3.8893149836503382E-2</v>
      </c>
      <c r="Y252" s="130">
        <f t="shared" si="102"/>
        <v>0.82930749150907868</v>
      </c>
      <c r="Z252" s="134">
        <v>58127278.920000002</v>
      </c>
      <c r="AA252" s="134"/>
      <c r="AB252" s="134">
        <v>86116942.650000006</v>
      </c>
      <c r="AC252" s="134">
        <v>52983335.630000003</v>
      </c>
      <c r="AD252" s="134">
        <v>3753024.69</v>
      </c>
      <c r="AE252" s="134">
        <f t="shared" si="142"/>
        <v>140491196.88</v>
      </c>
      <c r="AF252" s="135">
        <f t="shared" si="112"/>
        <v>111110614.55000001</v>
      </c>
      <c r="AG252" s="284">
        <f>SUM(Z252:AB252)</f>
        <v>144244221.56999999</v>
      </c>
      <c r="AH252" s="120">
        <f>AG252/J252</f>
        <v>0.81111626747041887</v>
      </c>
      <c r="AI252" s="120">
        <v>0.77305022361681675</v>
      </c>
      <c r="AJ252" s="120">
        <f t="shared" si="100"/>
        <v>3.8066043853602127E-2</v>
      </c>
      <c r="AK252" s="125">
        <f t="shared" si="104"/>
        <v>0.70874801405959575</v>
      </c>
      <c r="AL252" s="117"/>
      <c r="AM252" s="126"/>
      <c r="AN252" s="126"/>
      <c r="AO252" s="126"/>
      <c r="AP252" s="117"/>
      <c r="AQ252" s="126"/>
      <c r="AR252" s="126"/>
      <c r="AS252" s="127"/>
    </row>
    <row r="253" spans="1:45" s="56" customFormat="1" ht="49.5">
      <c r="A253" s="114" t="s">
        <v>108</v>
      </c>
      <c r="B253" s="115" t="s">
        <v>868</v>
      </c>
      <c r="C253" s="116" t="s">
        <v>617</v>
      </c>
      <c r="D253" s="116" t="s">
        <v>606</v>
      </c>
      <c r="E253" s="206">
        <v>10000000</v>
      </c>
      <c r="F253" s="122">
        <f>E253*$E$5</f>
        <v>7028040</v>
      </c>
      <c r="G253" s="206">
        <v>10000000</v>
      </c>
      <c r="H253" s="122">
        <f>G253*$G$5</f>
        <v>7028040</v>
      </c>
      <c r="I253" s="206">
        <v>10000000</v>
      </c>
      <c r="J253" s="117">
        <f>I253*$I$5</f>
        <v>7028040</v>
      </c>
      <c r="K253" s="107" t="s">
        <v>469</v>
      </c>
      <c r="L253" s="117">
        <v>0</v>
      </c>
      <c r="M253" s="117"/>
      <c r="N253" s="118">
        <f t="shared" si="101"/>
        <v>7028040</v>
      </c>
      <c r="O253" s="205">
        <v>1541749</v>
      </c>
      <c r="P253" s="135">
        <v>7028040</v>
      </c>
      <c r="Q253" s="130">
        <f>P253/J253</f>
        <v>1</v>
      </c>
      <c r="R253" s="131">
        <v>1</v>
      </c>
      <c r="S253" s="130">
        <f t="shared" si="144"/>
        <v>0</v>
      </c>
      <c r="T253" s="130">
        <f t="shared" si="86"/>
        <v>1</v>
      </c>
      <c r="U253" s="135">
        <v>7028040</v>
      </c>
      <c r="V253" s="130">
        <f>U253/J253</f>
        <v>1</v>
      </c>
      <c r="W253" s="130">
        <v>1</v>
      </c>
      <c r="X253" s="130">
        <f t="shared" si="97"/>
        <v>0</v>
      </c>
      <c r="Y253" s="130">
        <f t="shared" si="102"/>
        <v>1</v>
      </c>
      <c r="Z253" s="134">
        <v>559603.17000000004</v>
      </c>
      <c r="AA253" s="134"/>
      <c r="AB253" s="134">
        <v>976693.95</v>
      </c>
      <c r="AC253" s="134">
        <v>14383.61</v>
      </c>
      <c r="AD253" s="134">
        <v>0</v>
      </c>
      <c r="AE253" s="134">
        <f t="shared" si="142"/>
        <v>1536297.12</v>
      </c>
      <c r="AF253" s="135">
        <f t="shared" si="112"/>
        <v>573986.78</v>
      </c>
      <c r="AG253" s="284">
        <f>SUM(Z253:AB253)</f>
        <v>1536297.12</v>
      </c>
      <c r="AH253" s="120">
        <f>AG253/J253</f>
        <v>0.21859538648044122</v>
      </c>
      <c r="AI253" s="120">
        <v>0.1389710289070637</v>
      </c>
      <c r="AJ253" s="120">
        <f t="shared" si="100"/>
        <v>7.9624357573377519E-2</v>
      </c>
      <c r="AK253" s="125">
        <f t="shared" si="104"/>
        <v>0.21859538648044122</v>
      </c>
      <c r="AL253" s="117"/>
      <c r="AM253" s="126"/>
      <c r="AN253" s="126"/>
      <c r="AO253" s="126"/>
      <c r="AP253" s="117"/>
      <c r="AQ253" s="126"/>
      <c r="AR253" s="126"/>
      <c r="AS253" s="127"/>
    </row>
    <row r="254" spans="1:45" s="204" customFormat="1" ht="82.5">
      <c r="A254" s="104" t="s">
        <v>869</v>
      </c>
      <c r="B254" s="105" t="s">
        <v>870</v>
      </c>
      <c r="C254" s="106" t="s">
        <v>617</v>
      </c>
      <c r="D254" s="106" t="s">
        <v>871</v>
      </c>
      <c r="E254" s="109"/>
      <c r="F254" s="107">
        <f>F255</f>
        <v>8061738.8820839999</v>
      </c>
      <c r="G254" s="107"/>
      <c r="H254" s="107">
        <f>H255</f>
        <v>8061738.8820839999</v>
      </c>
      <c r="I254" s="107"/>
      <c r="J254" s="107">
        <f>J255</f>
        <v>8061738.8820839999</v>
      </c>
      <c r="K254" s="107" t="s">
        <v>469</v>
      </c>
      <c r="L254" s="226">
        <f>L255</f>
        <v>17876000</v>
      </c>
      <c r="M254" s="226">
        <f>M255</f>
        <v>17876000</v>
      </c>
      <c r="N254" s="86">
        <f t="shared" si="101"/>
        <v>25937738.882084001</v>
      </c>
      <c r="O254" s="207">
        <f t="shared" ref="O254:AJ254" si="148">O255</f>
        <v>2110371</v>
      </c>
      <c r="P254" s="137">
        <f t="shared" si="148"/>
        <v>4843562.66</v>
      </c>
      <c r="Q254" s="138">
        <f t="shared" si="148"/>
        <v>0.60080867550350558</v>
      </c>
      <c r="R254" s="138">
        <v>0.54998234684250125</v>
      </c>
      <c r="S254" s="138">
        <f t="shared" si="148"/>
        <v>5.0826328661004339E-2</v>
      </c>
      <c r="T254" s="138">
        <f t="shared" si="86"/>
        <v>0.18673804536391561</v>
      </c>
      <c r="U254" s="137">
        <f t="shared" si="148"/>
        <v>4843562.66</v>
      </c>
      <c r="V254" s="138">
        <f t="shared" si="148"/>
        <v>0.60080867550350558</v>
      </c>
      <c r="W254" s="186">
        <v>0.54998234684250125</v>
      </c>
      <c r="X254" s="138">
        <f t="shared" si="97"/>
        <v>5.0826328661004339E-2</v>
      </c>
      <c r="Y254" s="138">
        <f t="shared" si="102"/>
        <v>0.18673804536391561</v>
      </c>
      <c r="Z254" s="137">
        <f t="shared" si="148"/>
        <v>528430.59000000008</v>
      </c>
      <c r="AA254" s="137">
        <f t="shared" si="148"/>
        <v>0</v>
      </c>
      <c r="AB254" s="137">
        <f t="shared" si="148"/>
        <v>2611592.29</v>
      </c>
      <c r="AC254" s="137">
        <f t="shared" si="148"/>
        <v>338923.78</v>
      </c>
      <c r="AD254" s="137">
        <f t="shared" si="148"/>
        <v>0</v>
      </c>
      <c r="AE254" s="137">
        <f t="shared" si="142"/>
        <v>3140022.88</v>
      </c>
      <c r="AF254" s="135">
        <f t="shared" si="112"/>
        <v>867354.37000000011</v>
      </c>
      <c r="AG254" s="279">
        <f t="shared" si="148"/>
        <v>3140022.88</v>
      </c>
      <c r="AH254" s="110">
        <f t="shared" si="148"/>
        <v>0.3894969715501736</v>
      </c>
      <c r="AI254" s="110">
        <v>0.27082232281822632</v>
      </c>
      <c r="AJ254" s="110">
        <f t="shared" si="148"/>
        <v>0.11867464873194727</v>
      </c>
      <c r="AK254" s="89">
        <f t="shared" si="104"/>
        <v>0.1210600081323554</v>
      </c>
      <c r="AL254" s="107"/>
      <c r="AM254" s="112"/>
      <c r="AN254" s="112"/>
      <c r="AO254" s="112"/>
      <c r="AP254" s="107"/>
      <c r="AQ254" s="112"/>
      <c r="AR254" s="112"/>
      <c r="AS254" s="113"/>
    </row>
    <row r="255" spans="1:45" s="56" customFormat="1" ht="82.5">
      <c r="A255" s="114" t="s">
        <v>138</v>
      </c>
      <c r="B255" s="115" t="s">
        <v>872</v>
      </c>
      <c r="C255" s="116" t="s">
        <v>617</v>
      </c>
      <c r="D255" s="116" t="s">
        <v>606</v>
      </c>
      <c r="E255" s="122">
        <v>11470821</v>
      </c>
      <c r="F255" s="122">
        <f>E255*$E$5</f>
        <v>8061738.8820839999</v>
      </c>
      <c r="G255" s="122">
        <v>11470821</v>
      </c>
      <c r="H255" s="122">
        <f>G255*$G$5</f>
        <v>8061738.8820839999</v>
      </c>
      <c r="I255" s="206">
        <v>11470821</v>
      </c>
      <c r="J255" s="117">
        <f>I255*$I$5</f>
        <v>8061738.8820839999</v>
      </c>
      <c r="K255" s="107" t="s">
        <v>469</v>
      </c>
      <c r="L255" s="117">
        <v>17876000</v>
      </c>
      <c r="M255" s="117">
        <f>L255</f>
        <v>17876000</v>
      </c>
      <c r="N255" s="118">
        <f t="shared" si="101"/>
        <v>25937738.882084001</v>
      </c>
      <c r="O255" s="205">
        <v>2110371</v>
      </c>
      <c r="P255" s="135">
        <v>4843562.66</v>
      </c>
      <c r="Q255" s="130">
        <f t="shared" ref="Q255:Q261" si="149">P255/J255</f>
        <v>0.60080867550350558</v>
      </c>
      <c r="R255" s="131">
        <v>0.54998234684250125</v>
      </c>
      <c r="S255" s="130">
        <f t="shared" si="144"/>
        <v>5.0826328661004339E-2</v>
      </c>
      <c r="T255" s="130">
        <f t="shared" ref="T255:T261" si="150">P255/N255</f>
        <v>0.18673804536391561</v>
      </c>
      <c r="U255" s="135">
        <v>4843562.66</v>
      </c>
      <c r="V255" s="130">
        <f t="shared" ref="V255:V261" si="151">U255/J255</f>
        <v>0.60080867550350558</v>
      </c>
      <c r="W255" s="131">
        <v>0.54998234684250125</v>
      </c>
      <c r="X255" s="130">
        <f t="shared" si="97"/>
        <v>5.0826328661004339E-2</v>
      </c>
      <c r="Y255" s="130">
        <f t="shared" si="102"/>
        <v>0.18673804536391561</v>
      </c>
      <c r="Z255" s="134">
        <v>528430.59000000008</v>
      </c>
      <c r="AA255" s="134"/>
      <c r="AB255" s="134">
        <v>2611592.29</v>
      </c>
      <c r="AC255" s="134">
        <v>338923.78</v>
      </c>
      <c r="AD255" s="134">
        <v>0</v>
      </c>
      <c r="AE255" s="134">
        <f t="shared" si="142"/>
        <v>3140022.88</v>
      </c>
      <c r="AF255" s="135">
        <f t="shared" si="112"/>
        <v>867354.37000000011</v>
      </c>
      <c r="AG255" s="284">
        <f>SUM(Z255:AB255)</f>
        <v>3140022.88</v>
      </c>
      <c r="AH255" s="120">
        <f t="shared" ref="AH255:AH261" si="152">AG255/J255</f>
        <v>0.3894969715501736</v>
      </c>
      <c r="AI255" s="120">
        <v>0.27082232281822632</v>
      </c>
      <c r="AJ255" s="120">
        <f t="shared" si="100"/>
        <v>0.11867464873194727</v>
      </c>
      <c r="AK255" s="125">
        <f t="shared" si="104"/>
        <v>0.1210600081323554</v>
      </c>
      <c r="AL255" s="117"/>
      <c r="AM255" s="126"/>
      <c r="AN255" s="126"/>
      <c r="AO255" s="126"/>
      <c r="AP255" s="117"/>
      <c r="AQ255" s="126"/>
      <c r="AR255" s="126"/>
      <c r="AS255" s="127"/>
    </row>
    <row r="256" spans="1:45" s="204" customFormat="1" ht="66">
      <c r="A256" s="104" t="s">
        <v>873</v>
      </c>
      <c r="B256" s="105" t="s">
        <v>874</v>
      </c>
      <c r="C256" s="106" t="s">
        <v>617</v>
      </c>
      <c r="D256" s="106"/>
      <c r="E256" s="109"/>
      <c r="F256" s="107">
        <f t="shared" ref="F256:P257" si="153">F257</f>
        <v>40488570.066179998</v>
      </c>
      <c r="G256" s="107"/>
      <c r="H256" s="107">
        <f t="shared" si="153"/>
        <v>40488570.066179998</v>
      </c>
      <c r="I256" s="107"/>
      <c r="J256" s="107">
        <f t="shared" si="153"/>
        <v>40488570.066179998</v>
      </c>
      <c r="K256" s="107" t="s">
        <v>469</v>
      </c>
      <c r="L256" s="107">
        <f t="shared" si="153"/>
        <v>0</v>
      </c>
      <c r="M256" s="107">
        <f t="shared" si="153"/>
        <v>0</v>
      </c>
      <c r="N256" s="86">
        <f t="shared" si="101"/>
        <v>40488570.066179998</v>
      </c>
      <c r="O256" s="207">
        <f t="shared" si="153"/>
        <v>23295178.7588</v>
      </c>
      <c r="P256" s="137">
        <f t="shared" si="153"/>
        <v>35649053.920000002</v>
      </c>
      <c r="Q256" s="138">
        <f t="shared" si="149"/>
        <v>0.88047204091748277</v>
      </c>
      <c r="R256" s="138">
        <v>0.88047462535056664</v>
      </c>
      <c r="S256" s="138">
        <f t="shared" si="144"/>
        <v>-2.584433083874238E-6</v>
      </c>
      <c r="T256" s="138">
        <f t="shared" si="150"/>
        <v>0.88047204091748277</v>
      </c>
      <c r="U256" s="137">
        <f>U257</f>
        <v>35649053.920000002</v>
      </c>
      <c r="V256" s="138">
        <f t="shared" si="151"/>
        <v>0.88047204091748277</v>
      </c>
      <c r="W256" s="138">
        <v>0.88047462535056664</v>
      </c>
      <c r="X256" s="138">
        <f t="shared" si="97"/>
        <v>-2.584433083874238E-6</v>
      </c>
      <c r="Y256" s="138">
        <f t="shared" si="102"/>
        <v>0.88047204091748277</v>
      </c>
      <c r="Z256" s="137">
        <f t="shared" ref="Z256:AD257" si="154">Z257</f>
        <v>18429341.379999999</v>
      </c>
      <c r="AA256" s="137">
        <f t="shared" si="154"/>
        <v>0</v>
      </c>
      <c r="AB256" s="137">
        <f t="shared" si="154"/>
        <v>0</v>
      </c>
      <c r="AC256" s="137">
        <f t="shared" si="154"/>
        <v>0</v>
      </c>
      <c r="AD256" s="137">
        <f t="shared" si="154"/>
        <v>0</v>
      </c>
      <c r="AE256" s="137">
        <f t="shared" si="142"/>
        <v>18429341.379999999</v>
      </c>
      <c r="AF256" s="135">
        <f t="shared" si="112"/>
        <v>18429341.379999999</v>
      </c>
      <c r="AG256" s="279">
        <f>AG257</f>
        <v>18429341.379999999</v>
      </c>
      <c r="AH256" s="110">
        <f t="shared" si="152"/>
        <v>0.4551739256258393</v>
      </c>
      <c r="AI256" s="110">
        <v>0.43089662888769009</v>
      </c>
      <c r="AJ256" s="110">
        <f t="shared" si="100"/>
        <v>2.4277296738149212E-2</v>
      </c>
      <c r="AK256" s="89">
        <f t="shared" si="104"/>
        <v>0.4551739256258393</v>
      </c>
      <c r="AL256" s="109">
        <f>AL257</f>
        <v>7331927.46</v>
      </c>
      <c r="AM256" s="126">
        <f t="shared" ref="AM256:AM261" si="155">AL256/J256</f>
        <v>0.18108635222275585</v>
      </c>
      <c r="AN256" s="112">
        <v>0.18108635222275585</v>
      </c>
      <c r="AO256" s="89">
        <f t="shared" ref="AO256:AO261" si="156">AM256-AN256</f>
        <v>0</v>
      </c>
      <c r="AP256" s="107"/>
      <c r="AQ256" s="112"/>
      <c r="AR256" s="112"/>
      <c r="AS256" s="113"/>
    </row>
    <row r="257" spans="1:45" s="204" customFormat="1" ht="132">
      <c r="A257" s="104" t="s">
        <v>875</v>
      </c>
      <c r="B257" s="105" t="s">
        <v>876</v>
      </c>
      <c r="C257" s="106" t="s">
        <v>617</v>
      </c>
      <c r="D257" s="106" t="s">
        <v>770</v>
      </c>
      <c r="E257" s="109"/>
      <c r="F257" s="107">
        <f t="shared" si="153"/>
        <v>40488570.066179998</v>
      </c>
      <c r="G257" s="107"/>
      <c r="H257" s="107">
        <f t="shared" si="153"/>
        <v>40488570.066179998</v>
      </c>
      <c r="I257" s="107"/>
      <c r="J257" s="107">
        <f t="shared" si="153"/>
        <v>40488570.066179998</v>
      </c>
      <c r="K257" s="107" t="s">
        <v>469</v>
      </c>
      <c r="L257" s="107">
        <f t="shared" si="153"/>
        <v>0</v>
      </c>
      <c r="M257" s="107">
        <f t="shared" si="153"/>
        <v>0</v>
      </c>
      <c r="N257" s="86">
        <f t="shared" si="101"/>
        <v>40488570.066179998</v>
      </c>
      <c r="O257" s="207">
        <f t="shared" si="153"/>
        <v>23295178.7588</v>
      </c>
      <c r="P257" s="137">
        <f>P258</f>
        <v>35649053.920000002</v>
      </c>
      <c r="Q257" s="138">
        <f t="shared" si="149"/>
        <v>0.88047204091748277</v>
      </c>
      <c r="R257" s="138">
        <v>0.88047462535056664</v>
      </c>
      <c r="S257" s="138">
        <f t="shared" si="144"/>
        <v>-2.584433083874238E-6</v>
      </c>
      <c r="T257" s="138">
        <f t="shared" si="150"/>
        <v>0.88047204091748277</v>
      </c>
      <c r="U257" s="137">
        <f>U258</f>
        <v>35649053.920000002</v>
      </c>
      <c r="V257" s="138">
        <f t="shared" si="151"/>
        <v>0.88047204091748277</v>
      </c>
      <c r="W257" s="186">
        <v>0.88047462535056664</v>
      </c>
      <c r="X257" s="138">
        <f t="shared" si="97"/>
        <v>-2.584433083874238E-6</v>
      </c>
      <c r="Y257" s="138">
        <f t="shared" si="102"/>
        <v>0.88047204091748277</v>
      </c>
      <c r="Z257" s="137">
        <f t="shared" si="154"/>
        <v>18429341.379999999</v>
      </c>
      <c r="AA257" s="137">
        <f t="shared" si="154"/>
        <v>0</v>
      </c>
      <c r="AB257" s="137">
        <f t="shared" si="154"/>
        <v>0</v>
      </c>
      <c r="AC257" s="137">
        <f t="shared" si="154"/>
        <v>0</v>
      </c>
      <c r="AD257" s="137">
        <v>0</v>
      </c>
      <c r="AE257" s="137">
        <f t="shared" si="142"/>
        <v>18429341.379999999</v>
      </c>
      <c r="AF257" s="135">
        <f t="shared" si="112"/>
        <v>18429341.379999999</v>
      </c>
      <c r="AG257" s="279">
        <f>AG258</f>
        <v>18429341.379999999</v>
      </c>
      <c r="AH257" s="110">
        <f t="shared" si="152"/>
        <v>0.4551739256258393</v>
      </c>
      <c r="AI257" s="110">
        <v>0.43089662888769009</v>
      </c>
      <c r="AJ257" s="110">
        <f t="shared" si="100"/>
        <v>2.4277296738149212E-2</v>
      </c>
      <c r="AK257" s="89">
        <f t="shared" si="104"/>
        <v>0.4551739256258393</v>
      </c>
      <c r="AL257" s="107">
        <f>AL258</f>
        <v>7331927.46</v>
      </c>
      <c r="AM257" s="126">
        <f t="shared" si="155"/>
        <v>0.18108635222275585</v>
      </c>
      <c r="AN257" s="126">
        <v>0.18108635222275585</v>
      </c>
      <c r="AO257" s="89">
        <f t="shared" si="156"/>
        <v>0</v>
      </c>
      <c r="AP257" s="107"/>
      <c r="AQ257" s="112"/>
      <c r="AR257" s="112"/>
      <c r="AS257" s="113"/>
    </row>
    <row r="258" spans="1:45" s="56" customFormat="1" ht="66">
      <c r="A258" s="114" t="s">
        <v>89</v>
      </c>
      <c r="B258" s="115" t="s">
        <v>877</v>
      </c>
      <c r="C258" s="116" t="s">
        <v>617</v>
      </c>
      <c r="D258" s="116" t="s">
        <v>713</v>
      </c>
      <c r="E258" s="206">
        <v>57610045</v>
      </c>
      <c r="F258" s="122">
        <f>E258*$E$5</f>
        <v>40488570.066179998</v>
      </c>
      <c r="G258" s="206">
        <v>57610045</v>
      </c>
      <c r="H258" s="122">
        <f>G258*$G$5</f>
        <v>40488570.066179998</v>
      </c>
      <c r="I258" s="206">
        <v>57610045</v>
      </c>
      <c r="J258" s="117">
        <f>I258*$I$5</f>
        <v>40488570.066179998</v>
      </c>
      <c r="K258" s="107" t="s">
        <v>469</v>
      </c>
      <c r="L258" s="117">
        <v>0</v>
      </c>
      <c r="M258" s="117"/>
      <c r="N258" s="118">
        <f t="shared" si="101"/>
        <v>40488570.066179998</v>
      </c>
      <c r="O258" s="119">
        <f>0.52*44798420.69</f>
        <v>23295178.7588</v>
      </c>
      <c r="P258" s="117">
        <v>35649053.920000002</v>
      </c>
      <c r="Q258" s="120">
        <f t="shared" si="149"/>
        <v>0.88047204091748277</v>
      </c>
      <c r="R258" s="121">
        <v>0.88047462535056664</v>
      </c>
      <c r="S258" s="120">
        <f t="shared" si="144"/>
        <v>-2.584433083874238E-6</v>
      </c>
      <c r="T258" s="120">
        <f t="shared" si="150"/>
        <v>0.88047204091748277</v>
      </c>
      <c r="U258" s="122">
        <v>35649053.920000002</v>
      </c>
      <c r="V258" s="120">
        <f t="shared" si="151"/>
        <v>0.88047204091748277</v>
      </c>
      <c r="W258" s="120">
        <v>0.88047462535056664</v>
      </c>
      <c r="X258" s="120">
        <f t="shared" si="97"/>
        <v>-2.584433083874238E-6</v>
      </c>
      <c r="Y258" s="120">
        <f t="shared" si="102"/>
        <v>0.88047204091748277</v>
      </c>
      <c r="Z258" s="227">
        <v>18429341.379999999</v>
      </c>
      <c r="AA258" s="228">
        <v>0</v>
      </c>
      <c r="AB258" s="122">
        <v>0</v>
      </c>
      <c r="AC258" s="122">
        <v>0</v>
      </c>
      <c r="AD258" s="122">
        <v>0</v>
      </c>
      <c r="AE258" s="122">
        <f t="shared" si="142"/>
        <v>18429341.379999999</v>
      </c>
      <c r="AF258" s="117">
        <f t="shared" si="112"/>
        <v>18429341.379999999</v>
      </c>
      <c r="AG258" s="284">
        <f t="shared" ref="AG258" si="157">SUM(Z258:AB258)</f>
        <v>18429341.379999999</v>
      </c>
      <c r="AH258" s="120">
        <f t="shared" si="152"/>
        <v>0.4551739256258393</v>
      </c>
      <c r="AI258" s="120">
        <v>0.43089662888769009</v>
      </c>
      <c r="AJ258" s="120">
        <f t="shared" si="100"/>
        <v>2.4277296738149212E-2</v>
      </c>
      <c r="AK258" s="125">
        <f t="shared" si="104"/>
        <v>0.4551739256258393</v>
      </c>
      <c r="AL258" s="165">
        <v>7331927.46</v>
      </c>
      <c r="AM258" s="166">
        <f t="shared" si="155"/>
        <v>0.18108635222275585</v>
      </c>
      <c r="AN258" s="166">
        <v>0.18108635222275585</v>
      </c>
      <c r="AO258" s="125">
        <f t="shared" si="156"/>
        <v>0</v>
      </c>
      <c r="AP258" s="117"/>
      <c r="AQ258" s="126"/>
      <c r="AR258" s="126"/>
      <c r="AS258" s="127"/>
    </row>
    <row r="259" spans="1:45" s="204" customFormat="1" ht="49.5">
      <c r="A259" s="104" t="s">
        <v>878</v>
      </c>
      <c r="B259" s="105" t="s">
        <v>879</v>
      </c>
      <c r="C259" s="106" t="s">
        <v>724</v>
      </c>
      <c r="D259" s="106"/>
      <c r="E259" s="109"/>
      <c r="F259" s="107">
        <f t="shared" ref="F259:P260" si="158">F260</f>
        <v>8574208.7999999989</v>
      </c>
      <c r="G259" s="107"/>
      <c r="H259" s="107">
        <f t="shared" si="158"/>
        <v>8574208.7999999989</v>
      </c>
      <c r="I259" s="107"/>
      <c r="J259" s="107">
        <f t="shared" si="158"/>
        <v>8574208.7999999989</v>
      </c>
      <c r="K259" s="107" t="s">
        <v>469</v>
      </c>
      <c r="L259" s="107">
        <f t="shared" si="158"/>
        <v>0</v>
      </c>
      <c r="M259" s="107">
        <f t="shared" si="158"/>
        <v>0</v>
      </c>
      <c r="N259" s="86">
        <f t="shared" si="101"/>
        <v>8574208.7999999989</v>
      </c>
      <c r="O259" s="108">
        <f t="shared" si="158"/>
        <v>4927826.2758999998</v>
      </c>
      <c r="P259" s="109">
        <f t="shared" si="158"/>
        <v>6390247.2300000004</v>
      </c>
      <c r="Q259" s="110">
        <f t="shared" si="149"/>
        <v>0.74528710217553851</v>
      </c>
      <c r="R259" s="110">
        <v>0.74528710217553851</v>
      </c>
      <c r="S259" s="110">
        <f t="shared" si="144"/>
        <v>0</v>
      </c>
      <c r="T259" s="110">
        <f t="shared" si="150"/>
        <v>0.74528710217553851</v>
      </c>
      <c r="U259" s="109">
        <f>U260</f>
        <v>6390247.2300000004</v>
      </c>
      <c r="V259" s="110">
        <f t="shared" si="151"/>
        <v>0.74528710217553851</v>
      </c>
      <c r="W259" s="110">
        <v>0.74528710217553851</v>
      </c>
      <c r="X259" s="110">
        <f t="shared" si="97"/>
        <v>0</v>
      </c>
      <c r="Y259" s="110">
        <f t="shared" si="102"/>
        <v>0.74528710217553851</v>
      </c>
      <c r="Z259" s="109">
        <f t="shared" ref="Z259:AD260" si="159">Z260</f>
        <v>2870628.5</v>
      </c>
      <c r="AA259" s="109">
        <f t="shared" si="159"/>
        <v>0</v>
      </c>
      <c r="AB259" s="109">
        <f t="shared" si="159"/>
        <v>0</v>
      </c>
      <c r="AC259" s="109">
        <f t="shared" si="159"/>
        <v>0</v>
      </c>
      <c r="AD259" s="109">
        <f t="shared" si="159"/>
        <v>0</v>
      </c>
      <c r="AE259" s="145">
        <f t="shared" si="142"/>
        <v>2870628.5</v>
      </c>
      <c r="AF259" s="117">
        <f t="shared" si="112"/>
        <v>2870628.5</v>
      </c>
      <c r="AG259" s="279">
        <f>AG260</f>
        <v>2870628.5</v>
      </c>
      <c r="AH259" s="110">
        <f t="shared" si="152"/>
        <v>0.33479806323354294</v>
      </c>
      <c r="AI259" s="110">
        <v>0.31930523781972747</v>
      </c>
      <c r="AJ259" s="110">
        <f t="shared" si="100"/>
        <v>1.549282541381547E-2</v>
      </c>
      <c r="AK259" s="89">
        <f t="shared" si="104"/>
        <v>0.33479806323354294</v>
      </c>
      <c r="AL259" s="107">
        <f>AL260</f>
        <v>963653.28</v>
      </c>
      <c r="AM259" s="126">
        <f t="shared" si="155"/>
        <v>0.11238976125703869</v>
      </c>
      <c r="AN259" s="126">
        <v>0.11238976125703869</v>
      </c>
      <c r="AO259" s="125">
        <f t="shared" si="156"/>
        <v>0</v>
      </c>
      <c r="AP259" s="107"/>
      <c r="AQ259" s="112"/>
      <c r="AR259" s="112"/>
      <c r="AS259" s="113"/>
    </row>
    <row r="260" spans="1:45" s="204" customFormat="1" ht="66">
      <c r="A260" s="104" t="s">
        <v>880</v>
      </c>
      <c r="B260" s="105" t="s">
        <v>881</v>
      </c>
      <c r="C260" s="106" t="s">
        <v>724</v>
      </c>
      <c r="D260" s="106" t="s">
        <v>770</v>
      </c>
      <c r="E260" s="109"/>
      <c r="F260" s="107">
        <f t="shared" si="158"/>
        <v>8574208.7999999989</v>
      </c>
      <c r="G260" s="107"/>
      <c r="H260" s="107">
        <f t="shared" si="158"/>
        <v>8574208.7999999989</v>
      </c>
      <c r="I260" s="107"/>
      <c r="J260" s="107">
        <f t="shared" si="158"/>
        <v>8574208.7999999989</v>
      </c>
      <c r="K260" s="107" t="s">
        <v>469</v>
      </c>
      <c r="L260" s="107">
        <f t="shared" si="158"/>
        <v>0</v>
      </c>
      <c r="M260" s="107">
        <f t="shared" si="158"/>
        <v>0</v>
      </c>
      <c r="N260" s="86">
        <f t="shared" si="101"/>
        <v>8574208.7999999989</v>
      </c>
      <c r="O260" s="108">
        <f t="shared" si="158"/>
        <v>4927826.2758999998</v>
      </c>
      <c r="P260" s="109">
        <f t="shared" si="158"/>
        <v>6390247.2300000004</v>
      </c>
      <c r="Q260" s="110">
        <f t="shared" si="149"/>
        <v>0.74528710217553851</v>
      </c>
      <c r="R260" s="110">
        <v>0.74528710217553851</v>
      </c>
      <c r="S260" s="110">
        <f t="shared" si="144"/>
        <v>0</v>
      </c>
      <c r="T260" s="110">
        <f t="shared" si="150"/>
        <v>0.74528710217553851</v>
      </c>
      <c r="U260" s="109">
        <f>U261</f>
        <v>6390247.2300000004</v>
      </c>
      <c r="V260" s="110">
        <f t="shared" si="151"/>
        <v>0.74528710217553851</v>
      </c>
      <c r="W260" s="188">
        <v>0.74528710217553851</v>
      </c>
      <c r="X260" s="110">
        <f t="shared" si="97"/>
        <v>0</v>
      </c>
      <c r="Y260" s="110">
        <f t="shared" si="102"/>
        <v>0.74528710217553851</v>
      </c>
      <c r="Z260" s="109">
        <f t="shared" si="159"/>
        <v>2870628.5</v>
      </c>
      <c r="AA260" s="109">
        <f t="shared" si="159"/>
        <v>0</v>
      </c>
      <c r="AB260" s="109">
        <f t="shared" si="159"/>
        <v>0</v>
      </c>
      <c r="AC260" s="109">
        <f t="shared" si="159"/>
        <v>0</v>
      </c>
      <c r="AD260" s="109">
        <f t="shared" si="159"/>
        <v>0</v>
      </c>
      <c r="AE260" s="145">
        <f t="shared" si="142"/>
        <v>2870628.5</v>
      </c>
      <c r="AF260" s="117">
        <f t="shared" si="112"/>
        <v>2870628.5</v>
      </c>
      <c r="AG260" s="279">
        <f>AG261</f>
        <v>2870628.5</v>
      </c>
      <c r="AH260" s="110">
        <f t="shared" si="152"/>
        <v>0.33479806323354294</v>
      </c>
      <c r="AI260" s="110">
        <v>0.31930523781972747</v>
      </c>
      <c r="AJ260" s="110">
        <f t="shared" si="100"/>
        <v>1.549282541381547E-2</v>
      </c>
      <c r="AK260" s="89">
        <f t="shared" si="104"/>
        <v>0.33479806323354294</v>
      </c>
      <c r="AL260" s="107">
        <f>AL261</f>
        <v>963653.28</v>
      </c>
      <c r="AM260" s="126">
        <f t="shared" si="155"/>
        <v>0.11238976125703869</v>
      </c>
      <c r="AN260" s="126">
        <v>0.11238976125703869</v>
      </c>
      <c r="AO260" s="125">
        <f t="shared" si="156"/>
        <v>0</v>
      </c>
      <c r="AP260" s="107"/>
      <c r="AQ260" s="112"/>
      <c r="AR260" s="112"/>
      <c r="AS260" s="113"/>
    </row>
    <row r="261" spans="1:45" s="56" customFormat="1" ht="66">
      <c r="A261" s="114" t="s">
        <v>136</v>
      </c>
      <c r="B261" s="115" t="s">
        <v>882</v>
      </c>
      <c r="C261" s="116" t="s">
        <v>724</v>
      </c>
      <c r="D261" s="116" t="s">
        <v>713</v>
      </c>
      <c r="E261" s="206">
        <v>12200000</v>
      </c>
      <c r="F261" s="122">
        <f>E261*$E$5</f>
        <v>8574208.7999999989</v>
      </c>
      <c r="G261" s="206">
        <v>12200000</v>
      </c>
      <c r="H261" s="122">
        <f>G261*$G$5</f>
        <v>8574208.7999999989</v>
      </c>
      <c r="I261" s="206">
        <v>12200000</v>
      </c>
      <c r="J261" s="117">
        <f>I261*$I$5</f>
        <v>8574208.7999999989</v>
      </c>
      <c r="K261" s="107" t="s">
        <v>469</v>
      </c>
      <c r="L261" s="117">
        <v>0</v>
      </c>
      <c r="M261" s="117"/>
      <c r="N261" s="118">
        <f t="shared" si="101"/>
        <v>8574208.7999999989</v>
      </c>
      <c r="O261" s="119">
        <f>0.11*44798420.69</f>
        <v>4927826.2758999998</v>
      </c>
      <c r="P261" s="117">
        <v>6390247.2300000004</v>
      </c>
      <c r="Q261" s="120">
        <f t="shared" si="149"/>
        <v>0.74528710217553851</v>
      </c>
      <c r="R261" s="121">
        <v>0.74528710217553851</v>
      </c>
      <c r="S261" s="120">
        <f t="shared" si="144"/>
        <v>0</v>
      </c>
      <c r="T261" s="120">
        <f t="shared" si="150"/>
        <v>0.74528710217553851</v>
      </c>
      <c r="U261" s="122">
        <v>6390247.2300000004</v>
      </c>
      <c r="V261" s="120">
        <f t="shared" si="151"/>
        <v>0.74528710217553851</v>
      </c>
      <c r="W261" s="120">
        <v>0.74528710217553851</v>
      </c>
      <c r="X261" s="120">
        <f t="shared" si="97"/>
        <v>0</v>
      </c>
      <c r="Y261" s="120">
        <f t="shared" si="102"/>
        <v>0.74528710217553851</v>
      </c>
      <c r="Z261" s="227">
        <v>2870628.5</v>
      </c>
      <c r="AA261" s="228">
        <v>0</v>
      </c>
      <c r="AB261" s="122">
        <v>0</v>
      </c>
      <c r="AC261" s="122">
        <v>0</v>
      </c>
      <c r="AD261" s="122">
        <v>0</v>
      </c>
      <c r="AE261" s="122">
        <f t="shared" si="142"/>
        <v>2870628.5</v>
      </c>
      <c r="AF261" s="117">
        <f t="shared" si="112"/>
        <v>2870628.5</v>
      </c>
      <c r="AG261" s="284">
        <f>SUM(Z261:AB261)</f>
        <v>2870628.5</v>
      </c>
      <c r="AH261" s="120">
        <f t="shared" si="152"/>
        <v>0.33479806323354294</v>
      </c>
      <c r="AI261" s="120">
        <v>0.31930523781972747</v>
      </c>
      <c r="AJ261" s="120">
        <f t="shared" si="100"/>
        <v>1.549282541381547E-2</v>
      </c>
      <c r="AK261" s="125">
        <f t="shared" si="104"/>
        <v>0.33479806323354294</v>
      </c>
      <c r="AL261" s="165">
        <v>963653.28</v>
      </c>
      <c r="AM261" s="166">
        <f t="shared" si="155"/>
        <v>0.11238976125703869</v>
      </c>
      <c r="AN261" s="166">
        <v>0.11238976125703869</v>
      </c>
      <c r="AO261" s="166">
        <f t="shared" si="156"/>
        <v>0</v>
      </c>
      <c r="AP261" s="117"/>
      <c r="AQ261" s="126">
        <f>AP261/J261</f>
        <v>0</v>
      </c>
      <c r="AR261" s="126">
        <v>0</v>
      </c>
      <c r="AS261" s="127">
        <f>AQ261-AR261</f>
        <v>0</v>
      </c>
    </row>
    <row r="262" spans="1:45">
      <c r="A262" s="756" t="s">
        <v>883</v>
      </c>
      <c r="B262" s="756"/>
      <c r="C262" s="756"/>
      <c r="D262" s="756"/>
      <c r="E262" s="229"/>
      <c r="F262" s="230"/>
      <c r="G262" s="229"/>
      <c r="H262" s="231"/>
      <c r="I262" s="229"/>
      <c r="J262" s="117"/>
      <c r="K262" s="117"/>
      <c r="L262" s="117"/>
      <c r="M262" s="117"/>
      <c r="N262" s="117"/>
      <c r="O262" s="232">
        <v>44510767</v>
      </c>
      <c r="P262" s="233"/>
      <c r="Q262" s="152"/>
      <c r="R262" s="234"/>
      <c r="S262" s="152"/>
      <c r="T262" s="152"/>
      <c r="U262" s="151"/>
      <c r="V262" s="152"/>
      <c r="W262" s="234"/>
      <c r="X262" s="152"/>
      <c r="Y262" s="152"/>
      <c r="Z262" s="151"/>
      <c r="AA262" s="151"/>
      <c r="AB262" s="151"/>
      <c r="AC262" s="164"/>
      <c r="AD262" s="164"/>
      <c r="AE262" s="164"/>
      <c r="AF262" s="164"/>
      <c r="AG262" s="290"/>
      <c r="AH262" s="152"/>
      <c r="AI262" s="152"/>
      <c r="AJ262" s="152"/>
      <c r="AK262" s="152"/>
      <c r="AL262" s="235"/>
      <c r="AM262" s="166"/>
      <c r="AN262" s="166"/>
      <c r="AO262" s="166"/>
      <c r="AP262" s="117"/>
      <c r="AQ262" s="126"/>
      <c r="AR262" s="126"/>
      <c r="AS262" s="126"/>
    </row>
    <row r="263" spans="1:45" s="236" customFormat="1">
      <c r="B263" s="237"/>
      <c r="F263" s="238"/>
      <c r="J263" s="238"/>
      <c r="K263" s="238"/>
      <c r="L263" s="238"/>
      <c r="M263" s="238"/>
      <c r="N263" s="238"/>
      <c r="O263" s="239"/>
      <c r="P263" s="240"/>
      <c r="Q263" s="241"/>
      <c r="R263" s="241"/>
      <c r="S263" s="241"/>
      <c r="T263" s="241"/>
      <c r="U263" s="240"/>
      <c r="V263" s="241"/>
      <c r="W263" s="241"/>
      <c r="X263" s="241"/>
      <c r="Y263" s="241"/>
      <c r="Z263" s="241"/>
      <c r="AA263" s="241"/>
      <c r="AB263" s="241"/>
      <c r="AC263" s="241"/>
      <c r="AD263" s="241"/>
      <c r="AE263" s="241"/>
      <c r="AF263" s="241"/>
      <c r="AG263" s="291"/>
      <c r="AH263" s="241"/>
      <c r="AI263" s="241"/>
      <c r="AJ263" s="241"/>
      <c r="AK263" s="241"/>
      <c r="AL263" s="238"/>
      <c r="AM263" s="241"/>
      <c r="AN263" s="241"/>
      <c r="AO263" s="241"/>
      <c r="AP263" s="238"/>
      <c r="AQ263" s="241"/>
      <c r="AR263" s="241"/>
      <c r="AS263" s="241"/>
    </row>
    <row r="264" spans="1:45" s="236" customFormat="1" ht="20.25">
      <c r="A264" s="242" t="s">
        <v>884</v>
      </c>
      <c r="B264" s="243"/>
      <c r="C264" s="244"/>
      <c r="D264" s="244"/>
      <c r="E264" s="244"/>
      <c r="F264" s="244"/>
      <c r="G264" s="244"/>
      <c r="H264" s="244"/>
      <c r="I264" s="244"/>
      <c r="J264" s="245"/>
      <c r="K264" s="245"/>
      <c r="L264" s="245"/>
      <c r="M264" s="245"/>
      <c r="N264" s="245"/>
      <c r="O264" s="246"/>
      <c r="P264" s="247"/>
      <c r="Q264" s="248"/>
      <c r="R264" s="248"/>
      <c r="S264" s="249"/>
      <c r="T264" s="249"/>
      <c r="U264" s="247"/>
      <c r="V264" s="249"/>
      <c r="W264" s="249"/>
      <c r="X264" s="249"/>
      <c r="Y264" s="249"/>
      <c r="Z264" s="249"/>
      <c r="AA264" s="249"/>
      <c r="AB264" s="249"/>
      <c r="AC264" s="249"/>
      <c r="AD264" s="249"/>
      <c r="AE264" s="249"/>
      <c r="AF264" s="249"/>
      <c r="AG264" s="292"/>
      <c r="AH264" s="249"/>
      <c r="AI264" s="250"/>
      <c r="AJ264" s="250"/>
      <c r="AK264" s="250"/>
      <c r="AL264" s="250"/>
      <c r="AM264" s="250"/>
      <c r="AN264" s="250"/>
      <c r="AO264" s="250"/>
      <c r="AP264" s="250"/>
      <c r="AQ264" s="250"/>
      <c r="AR264" s="250"/>
      <c r="AS264" s="250"/>
    </row>
    <row r="265" spans="1:45" s="236" customFormat="1" ht="33.75">
      <c r="A265" s="251">
        <v>2</v>
      </c>
      <c r="B265" s="243" t="s">
        <v>885</v>
      </c>
      <c r="C265" s="244"/>
      <c r="D265" s="244"/>
      <c r="E265" s="244"/>
      <c r="F265" s="244"/>
      <c r="G265" s="244"/>
      <c r="H265" s="244"/>
      <c r="I265" s="244"/>
      <c r="J265" s="245"/>
      <c r="K265" s="245"/>
      <c r="L265" s="245"/>
      <c r="M265" s="245"/>
      <c r="N265" s="245"/>
      <c r="O265" s="246"/>
      <c r="P265" s="247"/>
      <c r="Q265" s="248"/>
      <c r="R265" s="248"/>
      <c r="S265" s="249"/>
      <c r="T265" s="249"/>
      <c r="U265" s="247"/>
      <c r="V265" s="249"/>
      <c r="W265" s="249"/>
      <c r="X265" s="249"/>
      <c r="Y265" s="249"/>
      <c r="Z265" s="252"/>
      <c r="AA265" s="249"/>
      <c r="AB265" s="249"/>
      <c r="AC265" s="249"/>
      <c r="AD265" s="249"/>
      <c r="AE265" s="249"/>
      <c r="AF265" s="249"/>
      <c r="AG265" s="292"/>
      <c r="AH265" s="249"/>
      <c r="AI265" s="250"/>
      <c r="AJ265" s="250"/>
      <c r="AK265" s="250"/>
      <c r="AL265" s="250"/>
      <c r="AM265" s="250"/>
      <c r="AN265" s="250"/>
      <c r="AO265" s="250"/>
      <c r="AP265" s="250"/>
      <c r="AQ265" s="250"/>
      <c r="AR265" s="250"/>
      <c r="AS265" s="250"/>
    </row>
    <row r="266" spans="1:45" s="236" customFormat="1">
      <c r="A266" s="242"/>
      <c r="B266" s="243" t="s">
        <v>886</v>
      </c>
      <c r="C266" s="244"/>
      <c r="D266" s="244"/>
      <c r="E266" s="244"/>
      <c r="F266" s="244"/>
      <c r="G266" s="244"/>
      <c r="H266" s="244"/>
      <c r="I266" s="244"/>
      <c r="J266" s="245"/>
      <c r="K266" s="245"/>
      <c r="L266" s="245"/>
      <c r="M266" s="245"/>
      <c r="N266" s="245"/>
      <c r="O266" s="246"/>
      <c r="P266" s="247"/>
      <c r="Q266" s="248"/>
      <c r="R266" s="248"/>
      <c r="S266" s="249"/>
      <c r="T266" s="249"/>
      <c r="U266" s="247"/>
      <c r="V266" s="249"/>
      <c r="W266" s="249"/>
      <c r="X266" s="249"/>
      <c r="Y266" s="249"/>
      <c r="Z266" s="249"/>
      <c r="AA266" s="249"/>
      <c r="AB266" s="249"/>
      <c r="AC266" s="249"/>
      <c r="AD266" s="249"/>
      <c r="AE266" s="249"/>
      <c r="AF266" s="249"/>
      <c r="AG266" s="292"/>
      <c r="AH266" s="249"/>
      <c r="AI266" s="250"/>
      <c r="AJ266" s="250"/>
      <c r="AK266" s="250"/>
      <c r="AL266" s="250"/>
      <c r="AM266" s="250"/>
      <c r="AN266" s="250"/>
      <c r="AO266" s="250"/>
      <c r="AP266" s="250"/>
      <c r="AQ266" s="250"/>
      <c r="AR266" s="250"/>
      <c r="AS266" s="250"/>
    </row>
    <row r="267" spans="1:45" s="236" customFormat="1">
      <c r="A267" s="242"/>
      <c r="B267" s="243" t="s">
        <v>887</v>
      </c>
      <c r="C267" s="244"/>
      <c r="D267" s="244"/>
      <c r="E267" s="244"/>
      <c r="F267" s="244"/>
      <c r="G267" s="244"/>
      <c r="H267" s="244"/>
      <c r="I267" s="244"/>
      <c r="J267" s="245"/>
      <c r="K267" s="245"/>
      <c r="L267" s="245"/>
      <c r="M267" s="245"/>
      <c r="N267" s="245"/>
      <c r="O267" s="246"/>
      <c r="P267" s="247"/>
      <c r="Q267" s="248"/>
      <c r="R267" s="248"/>
      <c r="S267" s="249"/>
      <c r="T267" s="249"/>
      <c r="U267" s="247"/>
      <c r="V267" s="249"/>
      <c r="W267" s="249"/>
      <c r="X267" s="249"/>
      <c r="Y267" s="249"/>
      <c r="Z267" s="249"/>
      <c r="AA267" s="249"/>
      <c r="AB267" s="249"/>
      <c r="AC267" s="249"/>
      <c r="AD267" s="249"/>
      <c r="AE267" s="249"/>
      <c r="AF267" s="249"/>
      <c r="AG267" s="292"/>
      <c r="AH267" s="249"/>
      <c r="AI267" s="250"/>
      <c r="AJ267" s="250"/>
      <c r="AK267" s="250"/>
      <c r="AL267" s="250"/>
      <c r="AM267" s="250"/>
      <c r="AN267" s="250"/>
      <c r="AO267" s="250"/>
      <c r="AP267" s="250"/>
      <c r="AQ267" s="250"/>
      <c r="AR267" s="250"/>
      <c r="AS267" s="250"/>
    </row>
    <row r="268" spans="1:45" s="236" customFormat="1">
      <c r="A268" s="242"/>
      <c r="B268" s="243" t="s">
        <v>888</v>
      </c>
      <c r="C268" s="244"/>
      <c r="D268" s="244"/>
      <c r="E268" s="244"/>
      <c r="F268" s="244"/>
      <c r="G268" s="244"/>
      <c r="H268" s="244"/>
      <c r="I268" s="244"/>
      <c r="J268" s="245"/>
      <c r="K268" s="245"/>
      <c r="L268" s="245"/>
      <c r="M268" s="245"/>
      <c r="N268" s="245"/>
      <c r="O268" s="253"/>
      <c r="P268" s="247"/>
      <c r="Q268" s="248"/>
      <c r="R268" s="248"/>
      <c r="S268" s="249"/>
      <c r="T268" s="249"/>
      <c r="U268" s="247"/>
      <c r="V268" s="249"/>
      <c r="W268" s="249"/>
      <c r="X268" s="249"/>
      <c r="Y268" s="249"/>
      <c r="Z268" s="249"/>
      <c r="AA268" s="249"/>
      <c r="AB268" s="249"/>
      <c r="AC268" s="249"/>
      <c r="AD268" s="249"/>
      <c r="AE268" s="249"/>
      <c r="AF268" s="249"/>
      <c r="AG268" s="292"/>
      <c r="AH268" s="249"/>
      <c r="AI268" s="250"/>
      <c r="AJ268" s="250"/>
      <c r="AK268" s="250"/>
      <c r="AL268" s="250"/>
      <c r="AM268" s="250"/>
      <c r="AN268" s="250"/>
      <c r="AO268" s="250"/>
      <c r="AP268" s="250"/>
      <c r="AQ268" s="250"/>
      <c r="AR268" s="250"/>
      <c r="AS268" s="250"/>
    </row>
    <row r="269" spans="1:45" s="236" customFormat="1" ht="50.25">
      <c r="A269" s="242"/>
      <c r="B269" s="243" t="s">
        <v>889</v>
      </c>
      <c r="C269" s="244"/>
      <c r="D269" s="244"/>
      <c r="E269" s="244"/>
      <c r="F269" s="244"/>
      <c r="G269" s="244"/>
      <c r="H269" s="244"/>
      <c r="I269" s="244"/>
      <c r="J269" s="245"/>
      <c r="K269" s="245"/>
      <c r="L269" s="245"/>
      <c r="M269" s="245"/>
      <c r="N269" s="245"/>
      <c r="O269" s="253"/>
      <c r="P269" s="247"/>
      <c r="Q269" s="248"/>
      <c r="R269" s="248"/>
      <c r="S269" s="249"/>
      <c r="T269" s="249"/>
      <c r="U269" s="247"/>
      <c r="V269" s="249"/>
      <c r="W269" s="249"/>
      <c r="X269" s="249"/>
      <c r="Y269" s="249"/>
      <c r="Z269" s="249"/>
      <c r="AA269" s="249"/>
      <c r="AB269" s="249"/>
      <c r="AC269" s="249"/>
      <c r="AD269" s="249"/>
      <c r="AE269" s="249"/>
      <c r="AF269" s="249"/>
      <c r="AG269" s="292"/>
      <c r="AH269" s="249"/>
      <c r="AI269" s="250"/>
      <c r="AJ269" s="250"/>
      <c r="AK269" s="250"/>
      <c r="AL269" s="250"/>
      <c r="AM269" s="250"/>
      <c r="AN269" s="250"/>
      <c r="AO269" s="250"/>
      <c r="AP269" s="250"/>
      <c r="AQ269" s="250"/>
      <c r="AR269" s="250"/>
      <c r="AS269" s="250"/>
    </row>
    <row r="270" spans="1:45" s="236" customFormat="1">
      <c r="A270" s="242"/>
      <c r="B270" s="243" t="s">
        <v>890</v>
      </c>
      <c r="C270" s="244"/>
      <c r="D270" s="244"/>
      <c r="E270" s="244"/>
      <c r="F270" s="244"/>
      <c r="G270" s="244"/>
      <c r="H270" s="244"/>
      <c r="I270" s="244"/>
      <c r="J270" s="245"/>
      <c r="K270" s="245"/>
      <c r="L270" s="245"/>
      <c r="M270" s="245"/>
      <c r="N270" s="245"/>
      <c r="O270" s="253"/>
      <c r="P270" s="247"/>
      <c r="Q270" s="254"/>
      <c r="R270" s="254"/>
      <c r="S270" s="254"/>
      <c r="T270" s="254"/>
      <c r="U270" s="247"/>
      <c r="V270" s="254"/>
      <c r="W270" s="254"/>
      <c r="X270" s="254"/>
      <c r="Y270" s="254"/>
      <c r="Z270" s="254"/>
      <c r="AA270" s="254"/>
      <c r="AB270" s="254"/>
      <c r="AC270" s="254"/>
      <c r="AD270" s="254"/>
      <c r="AE270" s="254"/>
      <c r="AF270" s="254"/>
      <c r="AG270" s="293"/>
      <c r="AH270" s="249"/>
      <c r="AI270" s="250"/>
      <c r="AJ270" s="250"/>
      <c r="AK270" s="250"/>
      <c r="AL270" s="250"/>
      <c r="AM270" s="250"/>
      <c r="AN270" s="250"/>
      <c r="AO270" s="250"/>
      <c r="AP270" s="250"/>
      <c r="AQ270" s="250"/>
      <c r="AR270" s="250"/>
      <c r="AS270" s="250"/>
    </row>
    <row r="271" spans="1:45" s="236" customFormat="1">
      <c r="A271" s="242"/>
      <c r="B271" s="243" t="s">
        <v>891</v>
      </c>
      <c r="C271" s="244"/>
      <c r="D271" s="244"/>
      <c r="E271" s="244"/>
      <c r="F271" s="244"/>
      <c r="G271" s="244"/>
      <c r="H271" s="244"/>
      <c r="I271" s="244"/>
      <c r="J271" s="245"/>
      <c r="K271" s="245"/>
      <c r="L271" s="245"/>
      <c r="M271" s="245"/>
      <c r="N271" s="245"/>
      <c r="O271" s="253"/>
      <c r="P271" s="247"/>
      <c r="Q271" s="248"/>
      <c r="R271" s="248"/>
      <c r="S271" s="249"/>
      <c r="T271" s="249"/>
      <c r="U271" s="247"/>
      <c r="V271" s="249"/>
      <c r="W271" s="249"/>
      <c r="X271" s="249"/>
      <c r="Y271" s="249"/>
      <c r="Z271" s="249"/>
      <c r="AA271" s="249"/>
      <c r="AB271" s="249"/>
      <c r="AC271" s="249"/>
      <c r="AD271" s="249"/>
      <c r="AE271" s="249"/>
      <c r="AF271" s="249"/>
      <c r="AG271" s="292"/>
      <c r="AH271" s="249"/>
      <c r="AI271" s="250"/>
      <c r="AJ271" s="250"/>
      <c r="AK271" s="250"/>
      <c r="AL271" s="250"/>
      <c r="AM271" s="250"/>
      <c r="AN271" s="250"/>
      <c r="AO271" s="250"/>
      <c r="AP271" s="250"/>
      <c r="AQ271" s="250"/>
      <c r="AR271" s="250"/>
      <c r="AS271" s="250"/>
    </row>
    <row r="272" spans="1:45" s="236" customFormat="1">
      <c r="A272" s="242"/>
      <c r="B272" s="243" t="s">
        <v>892</v>
      </c>
      <c r="C272" s="244"/>
      <c r="D272" s="244"/>
      <c r="E272" s="244"/>
      <c r="F272" s="244"/>
      <c r="G272" s="244"/>
      <c r="H272" s="244"/>
      <c r="I272" s="244"/>
      <c r="J272" s="245"/>
      <c r="K272" s="245"/>
      <c r="L272" s="245"/>
      <c r="M272" s="245"/>
      <c r="N272" s="245"/>
      <c r="O272" s="253"/>
      <c r="P272" s="247"/>
      <c r="Q272" s="248"/>
      <c r="R272" s="248"/>
      <c r="S272" s="249"/>
      <c r="T272" s="249"/>
      <c r="U272" s="247"/>
      <c r="V272" s="249"/>
      <c r="W272" s="249"/>
      <c r="X272" s="249"/>
      <c r="Y272" s="249"/>
      <c r="Z272" s="249"/>
      <c r="AA272" s="249"/>
      <c r="AB272" s="249"/>
      <c r="AC272" s="249"/>
      <c r="AD272" s="249"/>
      <c r="AE272" s="249"/>
      <c r="AF272" s="249"/>
      <c r="AG272" s="292"/>
      <c r="AH272" s="249"/>
      <c r="AI272" s="250"/>
      <c r="AJ272" s="250"/>
      <c r="AK272" s="250"/>
      <c r="AL272" s="250"/>
      <c r="AM272" s="250"/>
      <c r="AN272" s="250"/>
      <c r="AO272" s="250"/>
      <c r="AP272" s="250"/>
      <c r="AQ272" s="250"/>
      <c r="AR272" s="250"/>
      <c r="AS272" s="250"/>
    </row>
    <row r="273" spans="1:45" s="236" customFormat="1">
      <c r="A273" s="753" t="s">
        <v>893</v>
      </c>
      <c r="B273" s="753"/>
      <c r="C273" s="753"/>
      <c r="D273" s="753"/>
      <c r="E273" s="753"/>
      <c r="F273" s="753"/>
      <c r="G273" s="753"/>
      <c r="H273" s="753"/>
      <c r="I273" s="753"/>
      <c r="J273" s="753"/>
      <c r="K273" s="753"/>
      <c r="L273" s="753"/>
      <c r="M273" s="753"/>
      <c r="N273" s="753"/>
      <c r="O273" s="753"/>
      <c r="P273" s="753"/>
      <c r="Q273" s="753"/>
      <c r="R273" s="753"/>
      <c r="S273" s="753"/>
      <c r="T273" s="753"/>
      <c r="U273" s="753"/>
      <c r="V273" s="753"/>
      <c r="W273" s="753"/>
      <c r="X273" s="753"/>
      <c r="Y273" s="753"/>
      <c r="Z273" s="753"/>
      <c r="AA273" s="753"/>
      <c r="AB273" s="753"/>
      <c r="AC273" s="753"/>
      <c r="AD273" s="753"/>
      <c r="AE273" s="753"/>
      <c r="AF273" s="753"/>
      <c r="AG273" s="753"/>
      <c r="AH273" s="753"/>
      <c r="AI273" s="753"/>
      <c r="AJ273" s="753"/>
      <c r="AK273" s="255"/>
      <c r="AL273" s="256"/>
      <c r="AM273" s="256"/>
      <c r="AN273" s="250"/>
      <c r="AO273" s="250"/>
      <c r="AP273" s="250"/>
      <c r="AQ273" s="250"/>
      <c r="AR273" s="250"/>
      <c r="AS273" s="250"/>
    </row>
    <row r="274" spans="1:45" s="236" customFormat="1">
      <c r="A274" s="753" t="s">
        <v>894</v>
      </c>
      <c r="B274" s="753"/>
      <c r="C274" s="753"/>
      <c r="D274" s="753"/>
      <c r="E274" s="753"/>
      <c r="F274" s="753"/>
      <c r="G274" s="753"/>
      <c r="H274" s="753"/>
      <c r="I274" s="753"/>
      <c r="J274" s="753"/>
      <c r="K274" s="753"/>
      <c r="L274" s="753"/>
      <c r="M274" s="753"/>
      <c r="N274" s="753"/>
      <c r="O274" s="753"/>
      <c r="P274" s="753"/>
      <c r="Q274" s="753"/>
      <c r="R274" s="753"/>
      <c r="S274" s="753"/>
      <c r="T274" s="753"/>
      <c r="U274" s="753"/>
      <c r="V274" s="753"/>
      <c r="W274" s="753"/>
      <c r="X274" s="753"/>
      <c r="Y274" s="753"/>
      <c r="Z274" s="753"/>
      <c r="AA274" s="753"/>
      <c r="AB274" s="753"/>
      <c r="AC274" s="753"/>
      <c r="AD274" s="753"/>
      <c r="AE274" s="753"/>
      <c r="AF274" s="753"/>
      <c r="AG274" s="753"/>
      <c r="AH274" s="753"/>
      <c r="AI274" s="753"/>
      <c r="AJ274" s="753"/>
      <c r="AK274" s="255"/>
      <c r="AL274" s="257"/>
      <c r="AM274" s="257"/>
      <c r="AN274" s="257"/>
      <c r="AO274" s="257"/>
      <c r="AP274" s="257"/>
      <c r="AQ274" s="257"/>
      <c r="AR274" s="257"/>
      <c r="AS274" s="257"/>
    </row>
    <row r="275" spans="1:45" s="236" customFormat="1">
      <c r="B275" s="257"/>
      <c r="C275" s="257"/>
      <c r="D275" s="257"/>
      <c r="E275" s="257"/>
      <c r="F275" s="257"/>
      <c r="G275" s="257"/>
      <c r="H275" s="257"/>
      <c r="I275" s="257"/>
      <c r="J275" s="257"/>
      <c r="K275" s="257"/>
      <c r="L275" s="257"/>
      <c r="M275" s="257"/>
      <c r="N275" s="257"/>
      <c r="O275" s="258"/>
      <c r="P275" s="259"/>
      <c r="Q275" s="257"/>
      <c r="R275" s="257"/>
      <c r="S275" s="257"/>
      <c r="T275" s="257"/>
      <c r="U275" s="259"/>
      <c r="V275" s="257"/>
      <c r="W275" s="257"/>
      <c r="X275" s="257"/>
      <c r="Y275" s="257"/>
      <c r="Z275" s="257"/>
      <c r="AA275" s="257"/>
      <c r="AB275" s="257"/>
      <c r="AC275" s="257"/>
      <c r="AD275" s="257"/>
      <c r="AE275" s="257"/>
      <c r="AF275" s="257"/>
      <c r="AG275" s="294"/>
      <c r="AH275" s="257"/>
      <c r="AI275" s="257"/>
      <c r="AJ275" s="257"/>
      <c r="AK275" s="257"/>
      <c r="AL275" s="257"/>
      <c r="AM275" s="257"/>
      <c r="AN275" s="257"/>
      <c r="AO275" s="257"/>
      <c r="AP275" s="257"/>
      <c r="AQ275" s="257"/>
      <c r="AR275" s="257"/>
      <c r="AS275" s="257"/>
    </row>
    <row r="276" spans="1:45" s="236" customFormat="1">
      <c r="A276" s="753" t="s">
        <v>895</v>
      </c>
      <c r="B276" s="753"/>
      <c r="C276" s="753"/>
      <c r="D276" s="753"/>
      <c r="E276" s="753"/>
      <c r="F276" s="753"/>
      <c r="G276" s="753"/>
      <c r="H276" s="753"/>
      <c r="I276" s="753"/>
      <c r="J276" s="753"/>
      <c r="K276" s="753"/>
      <c r="L276" s="753"/>
      <c r="M276" s="753"/>
      <c r="N276" s="753"/>
      <c r="O276" s="753"/>
      <c r="P276" s="753"/>
      <c r="Q276" s="753"/>
      <c r="R276" s="753"/>
      <c r="S276" s="753"/>
      <c r="T276" s="753"/>
      <c r="U276" s="753"/>
      <c r="V276" s="753"/>
      <c r="W276" s="753"/>
      <c r="X276" s="753"/>
      <c r="Y276" s="753"/>
      <c r="Z276" s="753"/>
      <c r="AA276" s="753"/>
      <c r="AB276" s="753"/>
      <c r="AC276" s="753"/>
      <c r="AD276" s="753"/>
      <c r="AE276" s="753"/>
      <c r="AF276" s="753"/>
      <c r="AG276" s="753"/>
      <c r="AH276" s="753"/>
      <c r="AI276" s="753"/>
      <c r="AJ276" s="753"/>
      <c r="AK276" s="255"/>
      <c r="AL276" s="257"/>
      <c r="AM276" s="257"/>
      <c r="AN276" s="257"/>
      <c r="AO276" s="257"/>
      <c r="AP276" s="257"/>
      <c r="AQ276" s="257"/>
      <c r="AR276" s="257"/>
      <c r="AS276" s="257"/>
    </row>
    <row r="277" spans="1:45" s="236" customFormat="1">
      <c r="A277" s="753" t="s">
        <v>896</v>
      </c>
      <c r="B277" s="753"/>
      <c r="C277" s="753"/>
      <c r="D277" s="753"/>
      <c r="E277" s="753"/>
      <c r="F277" s="753"/>
      <c r="G277" s="753"/>
      <c r="H277" s="753"/>
      <c r="I277" s="753"/>
      <c r="J277" s="753"/>
      <c r="K277" s="753"/>
      <c r="L277" s="753"/>
      <c r="M277" s="753"/>
      <c r="N277" s="753"/>
      <c r="O277" s="753"/>
      <c r="P277" s="753"/>
      <c r="Q277" s="753"/>
      <c r="R277" s="753"/>
      <c r="S277" s="753"/>
      <c r="T277" s="753"/>
      <c r="U277" s="753"/>
      <c r="V277" s="753"/>
      <c r="W277" s="753"/>
      <c r="X277" s="753"/>
      <c r="Y277" s="753"/>
      <c r="Z277" s="753"/>
      <c r="AA277" s="753"/>
      <c r="AB277" s="753"/>
      <c r="AC277" s="753"/>
      <c r="AD277" s="753"/>
      <c r="AE277" s="753"/>
      <c r="AF277" s="753"/>
      <c r="AG277" s="753"/>
      <c r="AH277" s="753"/>
      <c r="AI277" s="753"/>
      <c r="AJ277" s="753"/>
      <c r="AK277" s="255"/>
      <c r="AL277" s="257"/>
      <c r="AM277" s="257"/>
      <c r="AN277" s="257"/>
      <c r="AO277" s="257"/>
      <c r="AP277" s="257"/>
      <c r="AQ277" s="257"/>
      <c r="AR277" s="257"/>
      <c r="AS277" s="257"/>
    </row>
    <row r="278" spans="1:45" s="236" customFormat="1">
      <c r="A278" s="753" t="s">
        <v>897</v>
      </c>
      <c r="B278" s="757"/>
      <c r="C278" s="757"/>
      <c r="D278" s="757"/>
      <c r="E278" s="757"/>
      <c r="F278" s="757"/>
      <c r="G278" s="757"/>
      <c r="H278" s="757"/>
      <c r="I278" s="757"/>
      <c r="J278" s="757"/>
      <c r="K278" s="757"/>
      <c r="L278" s="757"/>
      <c r="M278" s="757"/>
      <c r="N278" s="757"/>
      <c r="O278" s="757"/>
      <c r="P278" s="757"/>
      <c r="Q278" s="255"/>
      <c r="R278" s="255"/>
      <c r="S278" s="255"/>
      <c r="T278" s="255"/>
      <c r="U278" s="255"/>
      <c r="V278" s="255"/>
      <c r="W278" s="255"/>
      <c r="X278" s="255"/>
      <c r="Y278" s="255"/>
      <c r="Z278" s="255"/>
      <c r="AA278" s="255"/>
      <c r="AB278" s="255"/>
      <c r="AC278" s="255"/>
      <c r="AD278" s="255"/>
      <c r="AE278" s="255"/>
      <c r="AF278" s="255"/>
      <c r="AG278" s="295"/>
      <c r="AH278" s="255"/>
      <c r="AI278" s="255"/>
      <c r="AJ278" s="255"/>
      <c r="AK278" s="255"/>
      <c r="AL278" s="257"/>
      <c r="AM278" s="257"/>
      <c r="AN278" s="257"/>
      <c r="AO278" s="257"/>
      <c r="AP278" s="257"/>
      <c r="AQ278" s="257"/>
      <c r="AR278" s="257"/>
      <c r="AS278" s="257"/>
    </row>
    <row r="279" spans="1:45" s="236" customFormat="1">
      <c r="A279" s="260" t="s">
        <v>898</v>
      </c>
      <c r="B279" s="257"/>
      <c r="C279" s="257"/>
      <c r="D279" s="257"/>
      <c r="E279" s="257"/>
      <c r="F279" s="257"/>
      <c r="G279" s="257"/>
      <c r="H279" s="257"/>
      <c r="I279" s="257"/>
      <c r="J279" s="257"/>
      <c r="K279" s="257"/>
      <c r="L279" s="257"/>
      <c r="M279" s="257"/>
      <c r="N279" s="257"/>
      <c r="O279" s="258"/>
      <c r="P279" s="259"/>
      <c r="Q279" s="257"/>
      <c r="R279" s="257"/>
      <c r="S279" s="257"/>
      <c r="T279" s="257"/>
      <c r="U279" s="259"/>
      <c r="V279" s="257"/>
      <c r="W279" s="257"/>
      <c r="X279" s="257"/>
      <c r="Y279" s="257"/>
      <c r="Z279" s="257"/>
      <c r="AA279" s="257"/>
      <c r="AB279" s="257"/>
      <c r="AC279" s="257"/>
      <c r="AD279" s="257"/>
      <c r="AE279" s="257"/>
      <c r="AF279" s="257"/>
      <c r="AG279" s="294"/>
      <c r="AH279" s="257"/>
      <c r="AI279" s="257"/>
      <c r="AJ279" s="257"/>
      <c r="AK279" s="257"/>
      <c r="AL279" s="257"/>
      <c r="AM279" s="257"/>
      <c r="AN279" s="257"/>
      <c r="AO279" s="257"/>
      <c r="AP279" s="257"/>
      <c r="AQ279" s="257"/>
      <c r="AR279" s="257"/>
      <c r="AS279" s="257"/>
    </row>
    <row r="280" spans="1:45" s="236" customFormat="1">
      <c r="A280" s="261" t="s">
        <v>899</v>
      </c>
      <c r="B280" s="257"/>
      <c r="C280" s="257"/>
      <c r="D280" s="257"/>
      <c r="E280" s="257"/>
      <c r="F280" s="257"/>
      <c r="G280" s="257"/>
      <c r="H280" s="257"/>
      <c r="I280" s="257"/>
      <c r="J280" s="257"/>
      <c r="K280" s="257"/>
      <c r="L280" s="257"/>
      <c r="M280" s="257"/>
      <c r="N280" s="257"/>
      <c r="O280" s="258"/>
      <c r="P280" s="259"/>
      <c r="Q280" s="257"/>
      <c r="R280" s="257"/>
      <c r="S280" s="257"/>
      <c r="T280" s="257"/>
      <c r="U280" s="259"/>
      <c r="V280" s="257"/>
      <c r="W280" s="257"/>
      <c r="X280" s="257"/>
      <c r="Y280" s="257"/>
      <c r="Z280" s="257"/>
      <c r="AA280" s="257"/>
      <c r="AB280" s="257"/>
      <c r="AC280" s="257"/>
      <c r="AD280" s="257"/>
      <c r="AE280" s="257"/>
      <c r="AF280" s="257"/>
      <c r="AG280" s="294"/>
      <c r="AH280" s="257"/>
      <c r="AI280" s="257"/>
      <c r="AJ280" s="257"/>
      <c r="AK280" s="257"/>
      <c r="AL280" s="257"/>
      <c r="AM280" s="257"/>
      <c r="AN280" s="257"/>
      <c r="AO280" s="257"/>
      <c r="AP280" s="257"/>
      <c r="AQ280" s="257"/>
      <c r="AR280" s="257"/>
      <c r="AS280" s="257"/>
    </row>
    <row r="281" spans="1:45" s="236" customFormat="1">
      <c r="A281" s="260"/>
      <c r="B281" s="257"/>
      <c r="C281" s="257"/>
      <c r="D281" s="257"/>
      <c r="E281" s="257"/>
      <c r="F281" s="257"/>
      <c r="G281" s="257"/>
      <c r="H281" s="257"/>
      <c r="I281" s="257"/>
      <c r="J281" s="257"/>
      <c r="K281" s="257"/>
      <c r="L281" s="257"/>
      <c r="M281" s="257"/>
      <c r="N281" s="257"/>
      <c r="O281" s="258"/>
      <c r="P281" s="259"/>
      <c r="Q281" s="257"/>
      <c r="R281" s="257"/>
      <c r="S281" s="257"/>
      <c r="T281" s="257"/>
      <c r="U281" s="259"/>
      <c r="V281" s="257"/>
      <c r="W281" s="257"/>
      <c r="X281" s="257"/>
      <c r="Y281" s="257"/>
      <c r="Z281" s="257"/>
      <c r="AA281" s="257"/>
      <c r="AB281" s="257"/>
      <c r="AC281" s="257"/>
      <c r="AD281" s="257"/>
      <c r="AE281" s="257"/>
      <c r="AF281" s="257"/>
      <c r="AG281" s="294"/>
      <c r="AH281" s="257"/>
      <c r="AI281" s="257"/>
      <c r="AJ281" s="257"/>
      <c r="AK281" s="257"/>
      <c r="AL281" s="257"/>
      <c r="AM281" s="257"/>
      <c r="AN281" s="257"/>
      <c r="AO281" s="257"/>
      <c r="AP281" s="257"/>
      <c r="AQ281" s="257"/>
      <c r="AR281" s="257"/>
      <c r="AS281" s="257"/>
    </row>
    <row r="282" spans="1:45" s="236" customFormat="1">
      <c r="A282" s="753" t="s">
        <v>900</v>
      </c>
      <c r="B282" s="753"/>
      <c r="C282" s="753"/>
      <c r="D282" s="753"/>
      <c r="E282" s="753"/>
      <c r="F282" s="753"/>
      <c r="G282" s="753"/>
      <c r="H282" s="753"/>
      <c r="I282" s="753"/>
      <c r="J282" s="753"/>
      <c r="K282" s="753"/>
      <c r="L282" s="753"/>
      <c r="M282" s="753"/>
      <c r="N282" s="753"/>
      <c r="O282" s="753"/>
      <c r="P282" s="753"/>
      <c r="Q282" s="753"/>
      <c r="R282" s="753"/>
      <c r="S282" s="753"/>
      <c r="T282" s="753"/>
      <c r="U282" s="753"/>
      <c r="V282" s="753"/>
      <c r="W282" s="753"/>
      <c r="X282" s="753"/>
      <c r="Y282" s="753"/>
      <c r="Z282" s="753"/>
      <c r="AA282" s="753"/>
      <c r="AB282" s="753"/>
      <c r="AC282" s="753"/>
      <c r="AD282" s="753"/>
      <c r="AE282" s="753"/>
      <c r="AF282" s="753"/>
      <c r="AG282" s="753"/>
      <c r="AH282" s="753"/>
      <c r="AI282" s="753"/>
      <c r="AJ282" s="753"/>
      <c r="AK282" s="255"/>
      <c r="AL282" s="257"/>
      <c r="AM282" s="257"/>
      <c r="AN282" s="257"/>
      <c r="AO282" s="257"/>
      <c r="AP282" s="257"/>
      <c r="AQ282" s="257"/>
      <c r="AR282" s="257"/>
      <c r="AS282" s="257"/>
    </row>
    <row r="283" spans="1:45" s="236" customFormat="1">
      <c r="A283" s="753" t="s">
        <v>901</v>
      </c>
      <c r="B283" s="753"/>
      <c r="C283" s="753"/>
      <c r="D283" s="753"/>
      <c r="E283" s="753"/>
      <c r="F283" s="753"/>
      <c r="G283" s="753"/>
      <c r="H283" s="753"/>
      <c r="I283" s="753"/>
      <c r="J283" s="753"/>
      <c r="K283" s="753"/>
      <c r="L283" s="753"/>
      <c r="M283" s="753"/>
      <c r="N283" s="753"/>
      <c r="O283" s="753"/>
      <c r="P283" s="753"/>
      <c r="Q283" s="753"/>
      <c r="R283" s="753"/>
      <c r="S283" s="753"/>
      <c r="T283" s="753"/>
      <c r="U283" s="753"/>
      <c r="V283" s="753"/>
      <c r="W283" s="753"/>
      <c r="X283" s="753"/>
      <c r="Y283" s="753"/>
      <c r="Z283" s="753"/>
      <c r="AA283" s="753"/>
      <c r="AB283" s="753"/>
      <c r="AC283" s="753"/>
      <c r="AD283" s="753"/>
      <c r="AE283" s="753"/>
      <c r="AF283" s="753"/>
      <c r="AG283" s="753"/>
      <c r="AH283" s="753"/>
      <c r="AI283" s="753"/>
      <c r="AJ283" s="753"/>
      <c r="AK283" s="255"/>
      <c r="AL283" s="262"/>
      <c r="AM283" s="262"/>
      <c r="AN283" s="262"/>
      <c r="AO283" s="262"/>
      <c r="AP283" s="262"/>
      <c r="AQ283" s="262"/>
      <c r="AR283" s="262"/>
      <c r="AS283" s="262"/>
    </row>
    <row r="284" spans="1:45" s="236" customFormat="1">
      <c r="A284" s="753" t="s">
        <v>902</v>
      </c>
      <c r="B284" s="753"/>
      <c r="C284" s="753"/>
      <c r="D284" s="753"/>
      <c r="E284" s="753"/>
      <c r="F284" s="753"/>
      <c r="G284" s="753"/>
      <c r="H284" s="753"/>
      <c r="I284" s="753"/>
      <c r="J284" s="753"/>
      <c r="K284" s="753"/>
      <c r="L284" s="753"/>
      <c r="M284" s="753"/>
      <c r="N284" s="753"/>
      <c r="O284" s="753"/>
      <c r="P284" s="753"/>
      <c r="Q284" s="753"/>
      <c r="R284" s="753"/>
      <c r="S284" s="753"/>
      <c r="T284" s="753"/>
      <c r="U284" s="753"/>
      <c r="V284" s="753"/>
      <c r="W284" s="753"/>
      <c r="X284" s="753"/>
      <c r="Y284" s="753"/>
      <c r="Z284" s="753"/>
      <c r="AA284" s="753"/>
      <c r="AB284" s="753"/>
      <c r="AC284" s="753"/>
      <c r="AD284" s="753"/>
      <c r="AE284" s="753"/>
      <c r="AF284" s="753"/>
      <c r="AG284" s="753"/>
      <c r="AH284" s="753"/>
      <c r="AI284" s="753"/>
      <c r="AJ284" s="753"/>
      <c r="AK284" s="255"/>
      <c r="AL284" s="262"/>
      <c r="AM284" s="262"/>
      <c r="AN284" s="262"/>
      <c r="AO284" s="262"/>
      <c r="AP284" s="262"/>
      <c r="AQ284" s="262"/>
      <c r="AR284" s="262"/>
      <c r="AS284" s="262"/>
    </row>
    <row r="285" spans="1:45" s="236" customFormat="1">
      <c r="A285" s="255"/>
      <c r="B285" s="255"/>
      <c r="C285" s="255"/>
      <c r="D285" s="255"/>
      <c r="E285" s="255"/>
      <c r="F285" s="255"/>
      <c r="G285" s="255"/>
      <c r="H285" s="255"/>
      <c r="I285" s="255"/>
      <c r="J285" s="255"/>
      <c r="K285" s="255"/>
      <c r="L285" s="255"/>
      <c r="M285" s="255"/>
      <c r="N285" s="255"/>
      <c r="O285" s="263"/>
      <c r="P285" s="264"/>
      <c r="Q285" s="255"/>
      <c r="R285" s="255"/>
      <c r="S285" s="255"/>
      <c r="T285" s="255"/>
      <c r="U285" s="264"/>
      <c r="V285" s="255"/>
      <c r="W285" s="257"/>
      <c r="X285" s="257"/>
      <c r="Y285" s="257"/>
      <c r="Z285" s="257"/>
      <c r="AA285" s="257"/>
      <c r="AB285" s="257"/>
      <c r="AC285" s="257"/>
      <c r="AD285" s="257"/>
      <c r="AE285" s="257"/>
      <c r="AF285" s="257"/>
      <c r="AG285" s="294"/>
      <c r="AH285" s="257"/>
      <c r="AI285" s="257"/>
      <c r="AJ285" s="257"/>
      <c r="AK285" s="257"/>
      <c r="AL285" s="257"/>
      <c r="AM285" s="257"/>
      <c r="AN285" s="257"/>
      <c r="AO285" s="257"/>
      <c r="AP285" s="257"/>
      <c r="AQ285" s="257"/>
      <c r="AR285" s="257"/>
      <c r="AS285" s="257"/>
    </row>
    <row r="286" spans="1:45" s="236" customFormat="1">
      <c r="A286" s="753" t="s">
        <v>903</v>
      </c>
      <c r="B286" s="753"/>
      <c r="C286" s="753"/>
      <c r="D286" s="753"/>
      <c r="E286" s="753"/>
      <c r="F286" s="753"/>
      <c r="G286" s="753"/>
      <c r="H286" s="753"/>
      <c r="I286" s="753"/>
      <c r="J286" s="753"/>
      <c r="K286" s="753"/>
      <c r="L286" s="753"/>
      <c r="M286" s="753"/>
      <c r="N286" s="753"/>
      <c r="O286" s="753"/>
      <c r="P286" s="753"/>
      <c r="Q286" s="753"/>
      <c r="R286" s="753"/>
      <c r="S286" s="753"/>
      <c r="T286" s="753"/>
      <c r="U286" s="753"/>
      <c r="V286" s="753"/>
      <c r="W286" s="753"/>
      <c r="X286" s="753"/>
      <c r="Y286" s="753"/>
      <c r="Z286" s="753"/>
      <c r="AA286" s="753"/>
      <c r="AB286" s="753"/>
      <c r="AC286" s="753"/>
      <c r="AD286" s="753"/>
      <c r="AE286" s="753"/>
      <c r="AF286" s="753"/>
      <c r="AG286" s="753"/>
      <c r="AH286" s="753"/>
      <c r="AI286" s="753"/>
      <c r="AJ286" s="753"/>
      <c r="AK286" s="255"/>
      <c r="AL286" s="257"/>
      <c r="AM286" s="257"/>
      <c r="AN286" s="257"/>
      <c r="AO286" s="257"/>
      <c r="AP286" s="257"/>
      <c r="AQ286" s="257"/>
      <c r="AR286" s="257"/>
      <c r="AS286" s="257"/>
    </row>
    <row r="287" spans="1:45" s="266" customFormat="1" ht="16.5">
      <c r="A287" s="753"/>
      <c r="B287" s="753"/>
      <c r="C287" s="753"/>
      <c r="D287" s="753"/>
      <c r="E287" s="753"/>
      <c r="F287" s="753"/>
      <c r="G287" s="753"/>
      <c r="H287" s="753"/>
      <c r="I287" s="753"/>
      <c r="J287" s="753"/>
      <c r="K287" s="753"/>
      <c r="L287" s="753"/>
      <c r="M287" s="753"/>
      <c r="N287" s="753"/>
      <c r="O287" s="753"/>
      <c r="P287" s="753"/>
      <c r="Q287" s="753"/>
      <c r="R287" s="753"/>
      <c r="S287" s="753"/>
      <c r="T287" s="753"/>
      <c r="U287" s="753"/>
      <c r="V287" s="753"/>
      <c r="W287" s="753"/>
      <c r="X287" s="753"/>
      <c r="Y287" s="753"/>
      <c r="Z287" s="753"/>
      <c r="AA287" s="753"/>
      <c r="AB287" s="753"/>
      <c r="AC287" s="753"/>
      <c r="AD287" s="753"/>
      <c r="AE287" s="753"/>
      <c r="AF287" s="753"/>
      <c r="AG287" s="753"/>
      <c r="AH287" s="753"/>
      <c r="AI287" s="753"/>
      <c r="AJ287" s="753"/>
      <c r="AK287" s="255"/>
      <c r="AL287" s="265"/>
      <c r="AM287" s="265"/>
      <c r="AN287" s="265"/>
      <c r="AO287" s="265"/>
      <c r="AP287" s="265"/>
      <c r="AQ287" s="265"/>
      <c r="AR287" s="265"/>
      <c r="AS287" s="265"/>
    </row>
    <row r="288" spans="1:45" s="267" customFormat="1" ht="16.5">
      <c r="A288" s="753" t="s">
        <v>904</v>
      </c>
      <c r="B288" s="753"/>
      <c r="C288" s="753"/>
      <c r="D288" s="753"/>
      <c r="E288" s="753"/>
      <c r="F288" s="753"/>
      <c r="G288" s="753"/>
      <c r="H288" s="753"/>
      <c r="I288" s="753"/>
      <c r="J288" s="753"/>
      <c r="K288" s="753"/>
      <c r="L288" s="753"/>
      <c r="M288" s="753"/>
      <c r="N288" s="753"/>
      <c r="O288" s="753"/>
      <c r="P288" s="753"/>
      <c r="Q288" s="753"/>
      <c r="R288" s="753"/>
      <c r="S288" s="753"/>
      <c r="T288" s="753"/>
      <c r="U288" s="753"/>
      <c r="V288" s="753"/>
      <c r="W288" s="753"/>
      <c r="X288" s="753"/>
      <c r="Y288" s="753"/>
      <c r="Z288" s="753"/>
      <c r="AA288" s="753"/>
      <c r="AB288" s="753"/>
      <c r="AC288" s="753"/>
      <c r="AD288" s="753"/>
      <c r="AE288" s="753"/>
      <c r="AF288" s="753"/>
      <c r="AG288" s="753"/>
      <c r="AH288" s="753"/>
      <c r="AI288" s="753"/>
      <c r="AJ288" s="753"/>
      <c r="AK288" s="255"/>
    </row>
    <row r="289" spans="1:45" s="267" customFormat="1" ht="16.5">
      <c r="A289" s="753" t="s">
        <v>905</v>
      </c>
      <c r="B289" s="753"/>
      <c r="C289" s="753"/>
      <c r="D289" s="753"/>
      <c r="E289" s="753"/>
      <c r="F289" s="753"/>
      <c r="G289" s="753"/>
      <c r="H289" s="753"/>
      <c r="I289" s="753"/>
      <c r="J289" s="753"/>
      <c r="K289" s="753"/>
      <c r="L289" s="753"/>
      <c r="M289" s="753"/>
      <c r="N289" s="753"/>
      <c r="O289" s="753"/>
      <c r="P289" s="753"/>
      <c r="Q289" s="753"/>
      <c r="R289" s="753"/>
      <c r="S289" s="753"/>
      <c r="T289" s="753"/>
      <c r="U289" s="753"/>
      <c r="V289" s="753"/>
      <c r="W289" s="753"/>
      <c r="X289" s="753"/>
      <c r="Y289" s="753"/>
      <c r="Z289" s="753"/>
      <c r="AA289" s="753"/>
      <c r="AB289" s="753"/>
      <c r="AC289" s="753"/>
      <c r="AD289" s="753"/>
      <c r="AE289" s="753"/>
      <c r="AF289" s="753"/>
      <c r="AG289" s="753"/>
      <c r="AH289" s="753"/>
      <c r="AI289" s="753"/>
      <c r="AJ289" s="753"/>
      <c r="AK289" s="255"/>
    </row>
    <row r="290" spans="1:45" s="266" customFormat="1" ht="16.5">
      <c r="A290" s="242" t="s">
        <v>906</v>
      </c>
      <c r="B290" s="268"/>
      <c r="C290" s="268"/>
      <c r="D290" s="268"/>
      <c r="E290" s="268"/>
      <c r="F290" s="268"/>
      <c r="G290" s="268"/>
      <c r="H290" s="268"/>
      <c r="I290" s="268"/>
      <c r="J290" s="268"/>
      <c r="K290" s="268"/>
      <c r="L290" s="268"/>
      <c r="M290" s="268"/>
      <c r="N290" s="268"/>
      <c r="O290" s="268"/>
      <c r="P290" s="268"/>
      <c r="Q290" s="268"/>
      <c r="R290" s="268"/>
      <c r="S290" s="268"/>
      <c r="T290" s="268"/>
      <c r="U290" s="268"/>
      <c r="V290" s="268"/>
      <c r="W290" s="268"/>
      <c r="X290" s="268"/>
      <c r="Y290" s="268"/>
      <c r="Z290" s="268"/>
      <c r="AA290" s="255"/>
      <c r="AB290" s="255"/>
      <c r="AC290" s="255"/>
      <c r="AD290" s="255"/>
      <c r="AE290" s="255"/>
      <c r="AF290" s="255"/>
      <c r="AG290" s="295"/>
      <c r="AH290" s="255"/>
      <c r="AI290" s="255"/>
      <c r="AJ290" s="255"/>
      <c r="AK290" s="255"/>
      <c r="AL290" s="265"/>
      <c r="AM290" s="265"/>
      <c r="AN290" s="265"/>
      <c r="AO290" s="265"/>
      <c r="AP290" s="265"/>
      <c r="AQ290" s="265"/>
      <c r="AR290" s="265"/>
      <c r="AS290" s="265"/>
    </row>
    <row r="291" spans="1:45" s="267" customFormat="1" ht="16.5">
      <c r="A291" s="758" t="s">
        <v>907</v>
      </c>
      <c r="B291" s="758"/>
      <c r="C291" s="758"/>
      <c r="D291" s="758"/>
      <c r="E291" s="758"/>
      <c r="F291" s="758"/>
      <c r="G291" s="758"/>
      <c r="H291" s="758"/>
      <c r="I291" s="758"/>
      <c r="J291" s="758"/>
      <c r="K291" s="758"/>
      <c r="L291" s="758"/>
      <c r="M291" s="758"/>
      <c r="N291" s="758"/>
      <c r="O291" s="758"/>
      <c r="P291" s="758"/>
      <c r="Q291" s="758"/>
      <c r="R291" s="758"/>
      <c r="S291" s="758"/>
      <c r="T291" s="758"/>
      <c r="U291" s="758"/>
      <c r="V291" s="758"/>
      <c r="W291" s="758"/>
      <c r="X291" s="758"/>
      <c r="Y291" s="758"/>
      <c r="Z291" s="758"/>
      <c r="AA291" s="758"/>
      <c r="AB291" s="758"/>
      <c r="AC291" s="758"/>
      <c r="AD291" s="758"/>
      <c r="AE291" s="758"/>
      <c r="AF291" s="758"/>
      <c r="AG291" s="758"/>
      <c r="AH291" s="758"/>
      <c r="AI291" s="758"/>
      <c r="AJ291" s="758"/>
      <c r="AK291" s="264"/>
      <c r="AL291" s="269"/>
      <c r="AM291" s="269"/>
      <c r="AN291" s="269"/>
      <c r="AO291" s="269"/>
      <c r="AP291" s="269"/>
      <c r="AQ291" s="269"/>
      <c r="AR291" s="269"/>
      <c r="AS291" s="269"/>
    </row>
    <row r="292" spans="1:45" s="56" customFormat="1">
      <c r="A292" s="758" t="s">
        <v>908</v>
      </c>
      <c r="B292" s="758"/>
      <c r="C292" s="758"/>
      <c r="D292" s="758"/>
      <c r="E292" s="758"/>
      <c r="F292" s="758"/>
      <c r="G292" s="758"/>
      <c r="H292" s="758"/>
      <c r="I292" s="758"/>
      <c r="J292" s="758"/>
      <c r="K292" s="758"/>
      <c r="L292" s="758"/>
      <c r="M292" s="758"/>
      <c r="N292" s="758"/>
      <c r="O292" s="758"/>
      <c r="P292" s="758"/>
      <c r="Q292" s="758"/>
      <c r="R292" s="758"/>
      <c r="S292" s="758"/>
      <c r="T292" s="758"/>
      <c r="U292" s="758"/>
      <c r="V292" s="758"/>
      <c r="W292" s="758"/>
      <c r="X292" s="758"/>
      <c r="Y292" s="758"/>
      <c r="Z292" s="758"/>
      <c r="AA292" s="758"/>
      <c r="AB292" s="758"/>
      <c r="AC292" s="758"/>
      <c r="AD292" s="758"/>
      <c r="AE292" s="758"/>
      <c r="AF292" s="758"/>
      <c r="AG292" s="758"/>
      <c r="AH292" s="758"/>
      <c r="AI292" s="758"/>
      <c r="AJ292" s="758"/>
      <c r="AK292" s="264"/>
      <c r="AL292" s="269"/>
      <c r="AM292" s="269"/>
      <c r="AN292" s="269"/>
      <c r="AO292" s="269"/>
      <c r="AP292" s="269"/>
      <c r="AQ292" s="269"/>
      <c r="AR292" s="269"/>
      <c r="AS292" s="269"/>
    </row>
    <row r="293" spans="1:45" s="56" customFormat="1">
      <c r="A293" s="759" t="s">
        <v>909</v>
      </c>
      <c r="B293" s="759"/>
      <c r="C293" s="759"/>
      <c r="D293" s="759"/>
      <c r="E293" s="759"/>
      <c r="F293" s="759"/>
      <c r="G293" s="759"/>
      <c r="H293" s="759"/>
      <c r="I293" s="759"/>
      <c r="J293" s="759"/>
      <c r="K293" s="759"/>
      <c r="L293" s="759"/>
      <c r="M293" s="759"/>
      <c r="N293" s="759"/>
      <c r="O293" s="759"/>
      <c r="P293" s="759"/>
      <c r="Q293" s="759"/>
      <c r="R293" s="759"/>
      <c r="S293" s="759"/>
      <c r="T293" s="759"/>
      <c r="U293" s="759"/>
      <c r="V293" s="759"/>
      <c r="W293" s="759"/>
      <c r="X293" s="759"/>
      <c r="Y293" s="255"/>
      <c r="Z293" s="255"/>
      <c r="AA293" s="255"/>
      <c r="AB293" s="255"/>
      <c r="AC293" s="255"/>
      <c r="AD293" s="255"/>
      <c r="AE293" s="255"/>
      <c r="AF293" s="255"/>
      <c r="AG293" s="295"/>
      <c r="AH293" s="255"/>
      <c r="AI293" s="255"/>
      <c r="AJ293" s="255"/>
      <c r="AK293" s="255"/>
      <c r="AL293" s="269"/>
      <c r="AM293" s="269"/>
      <c r="AN293" s="269"/>
      <c r="AO293" s="269"/>
      <c r="AP293" s="269"/>
      <c r="AQ293" s="269"/>
      <c r="AR293" s="269"/>
      <c r="AS293" s="269"/>
    </row>
    <row r="294" spans="1:45" s="56" customFormat="1">
      <c r="A294" s="753" t="s">
        <v>910</v>
      </c>
      <c r="B294" s="753"/>
      <c r="C294" s="753"/>
      <c r="D294" s="753"/>
      <c r="E294" s="760"/>
      <c r="F294" s="753"/>
      <c r="G294" s="760"/>
      <c r="H294" s="760"/>
      <c r="I294" s="760"/>
      <c r="J294" s="753"/>
      <c r="K294" s="760"/>
      <c r="L294" s="753"/>
      <c r="M294" s="753"/>
      <c r="N294" s="753"/>
      <c r="O294" s="753"/>
      <c r="P294" s="753"/>
      <c r="Q294" s="753"/>
      <c r="R294" s="753"/>
      <c r="S294" s="753"/>
      <c r="T294" s="753"/>
      <c r="U294" s="753"/>
      <c r="V294" s="753"/>
      <c r="W294" s="753"/>
      <c r="X294" s="753"/>
      <c r="Y294" s="753"/>
      <c r="Z294" s="753"/>
      <c r="AA294" s="753"/>
      <c r="AB294" s="753"/>
      <c r="AC294" s="753"/>
      <c r="AD294" s="753"/>
      <c r="AE294" s="753"/>
      <c r="AF294" s="255"/>
      <c r="AG294" s="295"/>
      <c r="AH294" s="255"/>
      <c r="AI294" s="255"/>
      <c r="AJ294" s="255"/>
      <c r="AK294" s="255"/>
      <c r="AL294" s="265"/>
      <c r="AM294" s="265"/>
      <c r="AN294" s="265"/>
      <c r="AO294" s="265"/>
      <c r="AP294" s="265"/>
      <c r="AQ294" s="265"/>
      <c r="AR294" s="265"/>
      <c r="AS294" s="265"/>
    </row>
    <row r="295" spans="1:45">
      <c r="A295" s="266"/>
      <c r="B295" s="266"/>
      <c r="C295" s="266"/>
      <c r="D295" s="266"/>
      <c r="E295" s="266"/>
      <c r="F295" s="266"/>
      <c r="G295" s="266"/>
      <c r="H295" s="266"/>
      <c r="I295" s="266"/>
      <c r="J295" s="266"/>
      <c r="K295" s="266"/>
      <c r="L295" s="266"/>
      <c r="M295" s="266"/>
      <c r="N295" s="266"/>
      <c r="O295" s="270"/>
      <c r="P295" s="266"/>
      <c r="Q295" s="266"/>
      <c r="R295" s="266"/>
      <c r="S295" s="266"/>
      <c r="T295" s="266"/>
      <c r="U295" s="266"/>
      <c r="V295" s="266"/>
      <c r="W295" s="266"/>
      <c r="X295" s="266"/>
      <c r="Y295" s="266"/>
      <c r="Z295" s="266"/>
      <c r="AA295" s="266"/>
      <c r="AB295" s="266"/>
      <c r="AC295" s="266"/>
      <c r="AD295" s="266"/>
      <c r="AE295" s="266"/>
      <c r="AF295" s="266"/>
      <c r="AG295" s="296"/>
      <c r="AH295" s="266"/>
      <c r="AI295" s="266"/>
      <c r="AJ295" s="266"/>
      <c r="AK295" s="266"/>
      <c r="AL295" s="266"/>
      <c r="AM295" s="266"/>
      <c r="AN295" s="266"/>
      <c r="AO295" s="266"/>
      <c r="AP295" s="266"/>
      <c r="AQ295" s="266"/>
      <c r="AR295" s="266"/>
      <c r="AS295" s="266"/>
    </row>
    <row r="296" spans="1:45">
      <c r="A296" s="753" t="s">
        <v>911</v>
      </c>
      <c r="B296" s="753"/>
      <c r="C296" s="753"/>
      <c r="D296" s="753"/>
      <c r="E296" s="753"/>
      <c r="F296" s="753"/>
      <c r="G296" s="753"/>
      <c r="H296" s="753"/>
      <c r="I296" s="753"/>
      <c r="J296" s="753"/>
      <c r="K296" s="753"/>
      <c r="L296" s="753"/>
      <c r="M296" s="753"/>
      <c r="N296" s="753"/>
      <c r="O296" s="753"/>
      <c r="P296" s="753"/>
      <c r="Q296" s="753"/>
      <c r="R296" s="753"/>
      <c r="S296" s="753"/>
      <c r="T296" s="753"/>
      <c r="U296" s="753"/>
      <c r="V296" s="753"/>
      <c r="W296" s="753"/>
      <c r="X296" s="753"/>
      <c r="Y296" s="753"/>
      <c r="Z296" s="753"/>
      <c r="AA296" s="753"/>
      <c r="AB296" s="753"/>
      <c r="AC296" s="753"/>
      <c r="AD296" s="753"/>
      <c r="AE296" s="753"/>
      <c r="AF296" s="753"/>
      <c r="AG296" s="753"/>
      <c r="AH296" s="753"/>
      <c r="AI296" s="753"/>
      <c r="AJ296" s="753"/>
      <c r="AK296" s="255"/>
      <c r="AL296" s="269"/>
      <c r="AM296" s="269"/>
      <c r="AN296" s="269"/>
      <c r="AO296" s="269"/>
      <c r="AP296" s="269"/>
      <c r="AQ296" s="269"/>
      <c r="AR296" s="269"/>
      <c r="AS296" s="269"/>
    </row>
    <row r="297" spans="1:45">
      <c r="A297" s="271"/>
      <c r="B297" s="265"/>
      <c r="C297" s="265"/>
      <c r="D297" s="265"/>
      <c r="E297" s="265"/>
      <c r="F297" s="265"/>
      <c r="G297" s="265"/>
      <c r="H297" s="265"/>
      <c r="I297" s="265"/>
      <c r="J297" s="265"/>
      <c r="K297" s="265"/>
      <c r="L297" s="265"/>
      <c r="M297" s="265"/>
      <c r="N297" s="265"/>
      <c r="O297" s="272"/>
      <c r="P297" s="265"/>
      <c r="Q297" s="265"/>
      <c r="R297" s="265"/>
      <c r="S297" s="265"/>
      <c r="T297" s="265"/>
      <c r="U297" s="265"/>
      <c r="V297" s="265"/>
      <c r="W297" s="265"/>
      <c r="X297" s="265"/>
      <c r="Y297" s="265"/>
      <c r="Z297" s="265"/>
      <c r="AA297" s="265"/>
      <c r="AB297" s="265"/>
      <c r="AC297" s="265"/>
      <c r="AD297" s="265"/>
      <c r="AE297" s="265"/>
      <c r="AF297" s="265"/>
      <c r="AG297" s="297"/>
      <c r="AH297" s="265"/>
      <c r="AI297" s="265"/>
      <c r="AJ297" s="265"/>
      <c r="AK297" s="265"/>
      <c r="AL297" s="265"/>
      <c r="AM297" s="265"/>
      <c r="AN297" s="265"/>
      <c r="AO297" s="265"/>
      <c r="AP297" s="265"/>
      <c r="AQ297" s="265"/>
      <c r="AR297" s="265"/>
      <c r="AS297" s="265"/>
    </row>
    <row r="298" spans="1:45">
      <c r="A298" s="753" t="s">
        <v>912</v>
      </c>
      <c r="B298" s="753"/>
      <c r="C298" s="753"/>
      <c r="D298" s="753"/>
      <c r="E298" s="753"/>
      <c r="F298" s="753"/>
      <c r="G298" s="753"/>
      <c r="H298" s="753"/>
      <c r="I298" s="753"/>
      <c r="J298" s="753"/>
      <c r="K298" s="753"/>
      <c r="L298" s="753"/>
      <c r="M298" s="753"/>
      <c r="N298" s="753"/>
      <c r="O298" s="753"/>
      <c r="P298" s="753"/>
      <c r="Q298" s="753"/>
      <c r="R298" s="753"/>
      <c r="S298" s="753"/>
      <c r="T298" s="753"/>
      <c r="U298" s="753"/>
      <c r="V298" s="753"/>
      <c r="W298" s="753"/>
      <c r="X298" s="753"/>
      <c r="Y298" s="753"/>
      <c r="Z298" s="753"/>
      <c r="AA298" s="753"/>
      <c r="AB298" s="753"/>
      <c r="AC298" s="753"/>
      <c r="AD298" s="753"/>
      <c r="AE298" s="753"/>
      <c r="AF298" s="753"/>
      <c r="AG298" s="753"/>
      <c r="AH298" s="753"/>
      <c r="AI298" s="753"/>
      <c r="AJ298" s="753"/>
      <c r="AK298" s="255"/>
    </row>
    <row r="299" spans="1:45">
      <c r="A299" s="753" t="s">
        <v>913</v>
      </c>
      <c r="B299" s="753"/>
      <c r="C299" s="753"/>
      <c r="D299" s="753"/>
      <c r="E299" s="753"/>
      <c r="F299" s="753"/>
      <c r="G299" s="753"/>
      <c r="H299" s="753"/>
      <c r="I299" s="753"/>
      <c r="J299" s="753"/>
      <c r="K299" s="753"/>
      <c r="L299" s="753"/>
      <c r="M299" s="753"/>
      <c r="N299" s="753"/>
      <c r="O299" s="753"/>
      <c r="P299" s="753"/>
      <c r="Q299" s="753"/>
      <c r="R299" s="753"/>
      <c r="S299" s="753"/>
      <c r="T299" s="753"/>
      <c r="U299" s="753"/>
      <c r="V299" s="753"/>
      <c r="W299" s="753"/>
      <c r="X299" s="753"/>
      <c r="Y299" s="753"/>
      <c r="Z299" s="753"/>
      <c r="AA299" s="753"/>
      <c r="AB299" s="753"/>
      <c r="AC299" s="753"/>
      <c r="AD299" s="753"/>
      <c r="AE299" s="753"/>
      <c r="AF299" s="753"/>
      <c r="AG299" s="753"/>
      <c r="AH299" s="753"/>
      <c r="AI299" s="753"/>
      <c r="AJ299" s="753"/>
      <c r="AK299" s="255"/>
      <c r="AL299" s="273"/>
      <c r="AM299" s="273"/>
      <c r="AN299" s="273"/>
      <c r="AO299" s="273"/>
      <c r="AP299" s="273"/>
      <c r="AQ299" s="273"/>
      <c r="AR299" s="273"/>
      <c r="AS299" s="273"/>
    </row>
    <row r="300" spans="1:45">
      <c r="A300" s="753" t="s">
        <v>914</v>
      </c>
      <c r="B300" s="753"/>
      <c r="C300" s="753"/>
      <c r="D300" s="753"/>
      <c r="E300" s="753"/>
      <c r="F300" s="753"/>
      <c r="G300" s="753"/>
      <c r="H300" s="753"/>
      <c r="I300" s="753"/>
      <c r="J300" s="753"/>
      <c r="K300" s="753"/>
      <c r="L300" s="753"/>
      <c r="M300" s="753"/>
      <c r="N300" s="753"/>
      <c r="O300" s="753"/>
      <c r="P300" s="753"/>
      <c r="Q300" s="753"/>
      <c r="R300" s="753"/>
      <c r="S300" s="753"/>
      <c r="T300" s="753"/>
      <c r="U300" s="753"/>
      <c r="V300" s="753"/>
      <c r="W300" s="753"/>
      <c r="X300" s="753"/>
      <c r="Y300" s="753"/>
      <c r="Z300" s="753"/>
      <c r="AA300" s="753"/>
      <c r="AB300" s="753"/>
      <c r="AC300" s="753"/>
      <c r="AD300" s="753"/>
      <c r="AE300" s="753"/>
      <c r="AF300" s="753"/>
      <c r="AG300" s="753"/>
      <c r="AH300" s="753"/>
      <c r="AI300" s="753"/>
      <c r="AJ300" s="753"/>
      <c r="AK300" s="255"/>
      <c r="AL300" s="274"/>
      <c r="AM300" s="274"/>
      <c r="AN300" s="274"/>
      <c r="AO300" s="274"/>
      <c r="AP300" s="274"/>
      <c r="AQ300" s="274"/>
      <c r="AR300" s="274"/>
      <c r="AS300" s="274"/>
    </row>
    <row r="301" spans="1:45">
      <c r="A301" s="753"/>
      <c r="B301" s="753"/>
      <c r="C301" s="753"/>
      <c r="D301" s="753"/>
      <c r="E301" s="753"/>
      <c r="F301" s="753"/>
      <c r="G301" s="753"/>
      <c r="H301" s="753"/>
      <c r="I301" s="753"/>
      <c r="J301" s="753"/>
      <c r="K301" s="753"/>
      <c r="L301" s="753"/>
      <c r="M301" s="753"/>
      <c r="N301" s="753"/>
      <c r="O301" s="753"/>
      <c r="P301" s="753"/>
      <c r="Q301" s="753"/>
      <c r="R301" s="753"/>
      <c r="S301" s="753"/>
      <c r="T301" s="753"/>
      <c r="U301" s="753"/>
      <c r="V301" s="753"/>
      <c r="W301" s="753"/>
      <c r="X301" s="753"/>
      <c r="Y301" s="753"/>
      <c r="Z301" s="753"/>
      <c r="AA301" s="753"/>
      <c r="AB301" s="753"/>
      <c r="AC301" s="753"/>
      <c r="AD301" s="753"/>
      <c r="AE301" s="753"/>
      <c r="AF301" s="753"/>
      <c r="AG301" s="753"/>
      <c r="AH301" s="753"/>
      <c r="AI301" s="753"/>
      <c r="AJ301" s="753"/>
      <c r="AK301" s="255"/>
      <c r="AL301" s="275"/>
      <c r="AM301" s="275"/>
      <c r="AN301" s="275"/>
      <c r="AO301" s="275"/>
      <c r="AP301" s="275"/>
      <c r="AQ301" s="275"/>
      <c r="AR301" s="275"/>
      <c r="AS301" s="275"/>
    </row>
  </sheetData>
  <mergeCells count="24">
    <mergeCell ref="A301:AJ301"/>
    <mergeCell ref="A287:AJ287"/>
    <mergeCell ref="A288:AJ288"/>
    <mergeCell ref="A289:AJ289"/>
    <mergeCell ref="A291:AJ291"/>
    <mergeCell ref="A292:AJ292"/>
    <mergeCell ref="A293:X293"/>
    <mergeCell ref="A294:AE294"/>
    <mergeCell ref="A296:AJ296"/>
    <mergeCell ref="A298:AJ298"/>
    <mergeCell ref="A299:AJ299"/>
    <mergeCell ref="A300:AJ300"/>
    <mergeCell ref="A286:AJ286"/>
    <mergeCell ref="A1:AJ1"/>
    <mergeCell ref="A2:AJ2"/>
    <mergeCell ref="A262:D262"/>
    <mergeCell ref="A273:AJ273"/>
    <mergeCell ref="A274:AJ274"/>
    <mergeCell ref="A276:AJ276"/>
    <mergeCell ref="A277:AJ277"/>
    <mergeCell ref="A278:P278"/>
    <mergeCell ref="A282:AJ282"/>
    <mergeCell ref="A283:AJ283"/>
    <mergeCell ref="A284:AJ28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87"/>
  <sheetViews>
    <sheetView view="pageBreakPreview" zoomScale="70" zoomScaleNormal="70" zoomScaleSheetLayoutView="70" workbookViewId="0">
      <pane xSplit="6" ySplit="5" topLeftCell="G107" activePane="bottomRight" state="frozen"/>
      <selection activeCell="AD92" sqref="AD92"/>
      <selection pane="topRight" activeCell="AD92" sqref="AD92"/>
      <selection pane="bottomLeft" activeCell="AD92" sqref="AD92"/>
      <selection pane="bottomRight" activeCell="AD92" sqref="AD92"/>
    </sheetView>
  </sheetViews>
  <sheetFormatPr defaultRowHeight="12.75" outlineLevelCol="1"/>
  <cols>
    <col min="1" max="1" width="16.5" style="310" customWidth="1"/>
    <col min="2" max="2" width="24.25" style="305" customWidth="1"/>
    <col min="3" max="3" width="9" style="305" hidden="1" customWidth="1" outlineLevel="1"/>
    <col min="4" max="4" width="9.625" style="305" hidden="1" customWidth="1" outlineLevel="1"/>
    <col min="5" max="5" width="11.875" style="305" hidden="1" customWidth="1" outlineLevel="1"/>
    <col min="6" max="6" width="13" style="305" hidden="1" customWidth="1" outlineLevel="1"/>
    <col min="7" max="7" width="12.875" style="305" customWidth="1" collapsed="1"/>
    <col min="8" max="8" width="13.5" style="305" customWidth="1" outlineLevel="1"/>
    <col min="9" max="9" width="13" style="305" customWidth="1" outlineLevel="1"/>
    <col min="10" max="10" width="12" style="305" customWidth="1" outlineLevel="1"/>
    <col min="11" max="11" width="9.75" style="305" customWidth="1" outlineLevel="1"/>
    <col min="12" max="12" width="9.75" style="306" customWidth="1" outlineLevel="1"/>
    <col min="13" max="13" width="9.875" style="306" customWidth="1" outlineLevel="1"/>
    <col min="14" max="14" width="9.75" style="306" customWidth="1" outlineLevel="1"/>
    <col min="15" max="15" width="9.875" style="305" customWidth="1" outlineLevel="1"/>
    <col min="16" max="16" width="9.625" style="305" customWidth="1" outlineLevel="1"/>
    <col min="17" max="17" width="9.75" style="305" customWidth="1" outlineLevel="1"/>
    <col min="18" max="18" width="15.5" style="305" customWidth="1" outlineLevel="1"/>
    <col min="19" max="19" width="33.5" style="307" customWidth="1"/>
    <col min="20" max="20" width="14.375" style="305" customWidth="1" outlineLevel="1"/>
    <col min="21" max="21" width="16.25" style="453" customWidth="1"/>
    <col min="22" max="22" width="12.625" style="305" customWidth="1"/>
    <col min="23" max="23" width="11.125" style="305" customWidth="1"/>
    <col min="24" max="24" width="4.125" style="305" customWidth="1"/>
    <col min="25" max="25" width="11.75" style="305" customWidth="1"/>
    <col min="26" max="26" width="10.625" style="305" customWidth="1"/>
    <col min="27" max="27" width="11.625" style="305" customWidth="1"/>
    <col min="28" max="29" width="12" style="305" customWidth="1"/>
    <col min="30" max="30" width="14.75" style="305" customWidth="1"/>
    <col min="31" max="31" width="0" style="305" hidden="1" customWidth="1" outlineLevel="1"/>
    <col min="32" max="32" width="11.125" style="309" hidden="1" customWidth="1" outlineLevel="1"/>
    <col min="33" max="33" width="10.375" style="305" hidden="1" customWidth="1" outlineLevel="1"/>
    <col min="34" max="34" width="5.375" style="305" hidden="1" customWidth="1" outlineLevel="1"/>
    <col min="35" max="35" width="10.75" style="305" hidden="1" customWidth="1" outlineLevel="1"/>
    <col min="36" max="36" width="0" style="305" hidden="1" customWidth="1" outlineLevel="1"/>
    <col min="37" max="37" width="9" style="305" collapsed="1"/>
    <col min="38" max="16384" width="9" style="305"/>
  </cols>
  <sheetData>
    <row r="1" spans="1:36" ht="15.75">
      <c r="A1" s="303" t="s">
        <v>920</v>
      </c>
      <c r="B1" s="304"/>
      <c r="U1" s="308"/>
    </row>
    <row r="2" spans="1:36">
      <c r="U2" s="308"/>
      <c r="Y2" s="762" t="s">
        <v>921</v>
      </c>
      <c r="Z2" s="762"/>
      <c r="AA2" s="762"/>
      <c r="AB2" s="762"/>
      <c r="AC2" s="311"/>
    </row>
    <row r="3" spans="1:36" ht="39" customHeight="1">
      <c r="A3" s="763" t="s">
        <v>922</v>
      </c>
      <c r="B3" s="765" t="s">
        <v>923</v>
      </c>
      <c r="C3" s="312"/>
      <c r="D3" s="312"/>
      <c r="E3" s="312"/>
      <c r="F3" s="312"/>
      <c r="G3" s="766" t="s">
        <v>924</v>
      </c>
      <c r="H3" s="766" t="s">
        <v>925</v>
      </c>
      <c r="I3" s="766" t="s">
        <v>926</v>
      </c>
      <c r="J3" s="767" t="s">
        <v>927</v>
      </c>
      <c r="K3" s="313" t="s">
        <v>928</v>
      </c>
      <c r="L3" s="767" t="s">
        <v>929</v>
      </c>
      <c r="M3" s="767"/>
      <c r="N3" s="767"/>
      <c r="O3" s="768" t="s">
        <v>930</v>
      </c>
      <c r="P3" s="768"/>
      <c r="Q3" s="768"/>
      <c r="R3" s="768" t="s">
        <v>153</v>
      </c>
      <c r="S3" s="767" t="s">
        <v>166</v>
      </c>
      <c r="T3" s="769" t="s">
        <v>931</v>
      </c>
      <c r="U3" s="770" t="s">
        <v>932</v>
      </c>
      <c r="V3" s="770" t="s">
        <v>933</v>
      </c>
      <c r="W3" s="771" t="s">
        <v>934</v>
      </c>
      <c r="X3" s="761"/>
      <c r="Y3" s="776" t="s">
        <v>935</v>
      </c>
      <c r="Z3" s="777" t="s">
        <v>936</v>
      </c>
      <c r="AA3" s="777" t="s">
        <v>937</v>
      </c>
      <c r="AB3" s="779" t="s">
        <v>938</v>
      </c>
      <c r="AC3" s="779" t="s">
        <v>939</v>
      </c>
      <c r="AD3" s="777" t="s">
        <v>940</v>
      </c>
      <c r="AF3" s="772" t="s">
        <v>941</v>
      </c>
      <c r="AG3" s="772" t="s">
        <v>942</v>
      </c>
      <c r="AI3" s="773" t="s">
        <v>943</v>
      </c>
    </row>
    <row r="4" spans="1:36" ht="51" customHeight="1">
      <c r="A4" s="764"/>
      <c r="B4" s="765"/>
      <c r="C4" s="314" t="s">
        <v>944</v>
      </c>
      <c r="D4" s="314" t="s">
        <v>945</v>
      </c>
      <c r="E4" s="315" t="s">
        <v>946</v>
      </c>
      <c r="F4" s="315" t="s">
        <v>947</v>
      </c>
      <c r="G4" s="766"/>
      <c r="H4" s="766"/>
      <c r="I4" s="766"/>
      <c r="J4" s="767"/>
      <c r="K4" s="316">
        <v>2012</v>
      </c>
      <c r="L4" s="316">
        <v>2013</v>
      </c>
      <c r="M4" s="316">
        <v>2014</v>
      </c>
      <c r="N4" s="316">
        <v>2015</v>
      </c>
      <c r="O4" s="316">
        <v>2013</v>
      </c>
      <c r="P4" s="316">
        <v>2014</v>
      </c>
      <c r="Q4" s="316">
        <v>2015</v>
      </c>
      <c r="R4" s="768"/>
      <c r="S4" s="767"/>
      <c r="T4" s="769"/>
      <c r="U4" s="770"/>
      <c r="V4" s="770"/>
      <c r="W4" s="771"/>
      <c r="X4" s="761"/>
      <c r="Y4" s="776"/>
      <c r="Z4" s="778"/>
      <c r="AA4" s="778"/>
      <c r="AB4" s="780"/>
      <c r="AC4" s="780"/>
      <c r="AD4" s="778"/>
      <c r="AF4" s="772"/>
      <c r="AG4" s="772"/>
      <c r="AI4" s="774"/>
    </row>
    <row r="5" spans="1:36" ht="38.25">
      <c r="A5" s="317">
        <v>1</v>
      </c>
      <c r="B5" s="314">
        <v>2</v>
      </c>
      <c r="C5" s="314" t="s">
        <v>468</v>
      </c>
      <c r="D5" s="314" t="s">
        <v>468</v>
      </c>
      <c r="E5" s="314" t="s">
        <v>468</v>
      </c>
      <c r="F5" s="314" t="s">
        <v>468</v>
      </c>
      <c r="G5" s="314">
        <v>3</v>
      </c>
      <c r="H5" s="314">
        <v>4</v>
      </c>
      <c r="I5" s="314">
        <v>5</v>
      </c>
      <c r="J5" s="316">
        <v>6</v>
      </c>
      <c r="K5" s="316">
        <v>7</v>
      </c>
      <c r="L5" s="316">
        <v>8</v>
      </c>
      <c r="M5" s="316">
        <v>9</v>
      </c>
      <c r="N5" s="316">
        <v>10</v>
      </c>
      <c r="O5" s="316">
        <v>11</v>
      </c>
      <c r="P5" s="316">
        <v>12</v>
      </c>
      <c r="Q5" s="316">
        <v>13</v>
      </c>
      <c r="R5" s="318" t="s">
        <v>948</v>
      </c>
      <c r="S5" s="318">
        <v>14</v>
      </c>
      <c r="U5" s="319">
        <v>15</v>
      </c>
      <c r="V5" s="319" t="s">
        <v>949</v>
      </c>
      <c r="W5" s="319" t="s">
        <v>950</v>
      </c>
      <c r="Y5" s="316">
        <v>16</v>
      </c>
      <c r="Z5" s="316" t="s">
        <v>951</v>
      </c>
      <c r="AA5" s="316" t="s">
        <v>952</v>
      </c>
      <c r="AB5" s="316">
        <v>17</v>
      </c>
      <c r="AC5" s="316">
        <v>18</v>
      </c>
      <c r="AD5" s="320">
        <v>19</v>
      </c>
      <c r="AF5" s="772"/>
      <c r="AG5" s="772"/>
      <c r="AI5" s="775"/>
    </row>
    <row r="6" spans="1:36" s="328" customFormat="1">
      <c r="A6" s="321"/>
      <c r="B6" s="321" t="s">
        <v>953</v>
      </c>
      <c r="C6" s="321"/>
      <c r="D6" s="321"/>
      <c r="E6" s="321"/>
      <c r="F6" s="321"/>
      <c r="G6" s="322">
        <f>G14+G15+G16+G17</f>
        <v>3452355415.03264</v>
      </c>
      <c r="H6" s="322">
        <f t="shared" ref="H6:Q6" si="0">H14+H15+H16+H17</f>
        <v>298572441.46090603</v>
      </c>
      <c r="I6" s="322">
        <f t="shared" si="0"/>
        <v>3750927856.3636961</v>
      </c>
      <c r="J6" s="322">
        <f t="shared" si="0"/>
        <v>1624283979.3600001</v>
      </c>
      <c r="K6" s="322">
        <f t="shared" si="0"/>
        <v>425567085.51999998</v>
      </c>
      <c r="L6" s="322">
        <f>L8+L9+L10+L11+L12</f>
        <v>523799164</v>
      </c>
      <c r="M6" s="322">
        <f>M8+M9+M10+M11+M12</f>
        <v>519254630</v>
      </c>
      <c r="N6" s="322">
        <f>N8+N9+N10+N11+N12</f>
        <v>322306655</v>
      </c>
      <c r="O6" s="322">
        <f t="shared" si="0"/>
        <v>119010674.40000001</v>
      </c>
      <c r="P6" s="322">
        <f t="shared" si="0"/>
        <v>397279939.44999999</v>
      </c>
      <c r="Q6" s="322">
        <f t="shared" si="0"/>
        <v>387416133.47000003</v>
      </c>
      <c r="R6" s="323">
        <f>J6+K6+L6+M6+N6+O6+P6+Q6</f>
        <v>4318918261.1999998</v>
      </c>
      <c r="S6" s="324"/>
      <c r="T6" s="325">
        <f>T8+T9+T10+T11</f>
        <v>32527563.673695207</v>
      </c>
      <c r="U6" s="326">
        <f>U8+U9+U10+U11+U12</f>
        <v>581367245</v>
      </c>
      <c r="V6" s="326">
        <f>V8+V9+V10+V11</f>
        <v>111044821.48000002</v>
      </c>
      <c r="W6" s="327">
        <f>(K8+K9+K10+K11)/(U8+U9+U10+U11)</f>
        <v>0.79306306842721619</v>
      </c>
      <c r="Y6" s="329">
        <f>Y8+Y9+Y10+Y11</f>
        <v>501075333</v>
      </c>
      <c r="Z6" s="329">
        <f t="shared" ref="Z6:AA6" si="1">Z8+Z9+Z10+Z11</f>
        <v>351830142</v>
      </c>
      <c r="AA6" s="329">
        <f t="shared" si="1"/>
        <v>330113770.97999996</v>
      </c>
      <c r="AB6" s="330">
        <f>(AA8+AA9+AA10+AA11)/(Y8+Y9+Y10+Y11)</f>
        <v>0.65881066027251423</v>
      </c>
      <c r="AC6" s="330">
        <f>(K8+K9+K10+K11)/(Y8+Y9+Y10+Y11)</f>
        <v>0.84930759407388345</v>
      </c>
      <c r="AD6" s="329">
        <f>(AB8+AB9+AB10+AB11)/(Z8+Z9+Z10+Z11)</f>
        <v>7.596436248884939E-9</v>
      </c>
      <c r="AF6" s="325">
        <f>Y6-K6</f>
        <v>75508247.480000019</v>
      </c>
      <c r="AI6" s="329">
        <f>AI8+AI9+AI10+AI11</f>
        <v>499705161</v>
      </c>
      <c r="AJ6" s="331">
        <f t="shared" ref="AJ6:AJ19" si="2">AI6-K6</f>
        <v>74138075.480000019</v>
      </c>
    </row>
    <row r="7" spans="1:36">
      <c r="A7" s="317"/>
      <c r="B7" s="332"/>
      <c r="C7" s="314"/>
      <c r="D7" s="314"/>
      <c r="E7" s="314"/>
      <c r="F7" s="314"/>
      <c r="G7" s="333"/>
      <c r="H7" s="333"/>
      <c r="I7" s="333"/>
      <c r="J7" s="334"/>
      <c r="K7" s="334"/>
      <c r="L7" s="334"/>
      <c r="M7" s="334"/>
      <c r="N7" s="334"/>
      <c r="O7" s="334"/>
      <c r="P7" s="334"/>
      <c r="Q7" s="334"/>
      <c r="R7" s="334">
        <f t="shared" ref="R7:R70" si="3">J7+K7+L7+M7+N7+O7+P7+Q7</f>
        <v>0</v>
      </c>
      <c r="S7" s="335"/>
      <c r="T7" s="325"/>
      <c r="U7" s="336"/>
      <c r="V7" s="336"/>
      <c r="W7" s="336"/>
      <c r="Y7" s="337"/>
      <c r="Z7" s="337"/>
      <c r="AA7" s="337"/>
      <c r="AB7" s="338"/>
      <c r="AC7" s="338"/>
      <c r="AD7" s="339"/>
      <c r="AF7" s="325">
        <f t="shared" ref="AF7:AF70" si="4">Y7-K7</f>
        <v>0</v>
      </c>
      <c r="AI7" s="337"/>
      <c r="AJ7" s="340"/>
    </row>
    <row r="8" spans="1:36">
      <c r="A8" s="321"/>
      <c r="B8" s="341" t="s">
        <v>954</v>
      </c>
      <c r="C8" s="341"/>
      <c r="D8" s="341"/>
      <c r="E8" s="341"/>
      <c r="F8" s="341"/>
      <c r="G8" s="342">
        <f>G15+G16-G10</f>
        <v>1791101502.5526397</v>
      </c>
      <c r="H8" s="342">
        <f t="shared" ref="H8:Q8" si="5">H15+H16-H10</f>
        <v>210748299.78999999</v>
      </c>
      <c r="I8" s="342">
        <f t="shared" si="5"/>
        <v>2001849802.5265596</v>
      </c>
      <c r="J8" s="342">
        <f t="shared" si="5"/>
        <v>802262383.04000008</v>
      </c>
      <c r="K8" s="342">
        <f t="shared" si="5"/>
        <v>232296727.51999998</v>
      </c>
      <c r="L8" s="342">
        <f t="shared" si="5"/>
        <v>232243065.60000002</v>
      </c>
      <c r="M8" s="343">
        <f t="shared" si="5"/>
        <v>79600197</v>
      </c>
      <c r="N8" s="343">
        <f t="shared" si="5"/>
        <v>20660207</v>
      </c>
      <c r="O8" s="342">
        <f t="shared" si="5"/>
        <v>95731414.400000006</v>
      </c>
      <c r="P8" s="342">
        <f t="shared" si="5"/>
        <v>262492049</v>
      </c>
      <c r="Q8" s="342">
        <f t="shared" si="5"/>
        <v>245257961.00000003</v>
      </c>
      <c r="R8" s="323">
        <f t="shared" si="3"/>
        <v>1970544004.5600002</v>
      </c>
      <c r="S8" s="344"/>
      <c r="T8" s="325">
        <f t="shared" ref="T8:T71" si="6">I8-R8</f>
        <v>31305797.96655941</v>
      </c>
      <c r="U8" s="326">
        <f>U15+U148</f>
        <v>290141558</v>
      </c>
      <c r="V8" s="326">
        <f>U8-K8</f>
        <v>57844830.480000019</v>
      </c>
      <c r="W8" s="327">
        <f>K8/U8</f>
        <v>0.80063238483057975</v>
      </c>
      <c r="Y8" s="342">
        <f t="shared" ref="Y8:AA8" si="7">Y15+Y16-Y10</f>
        <v>268166134</v>
      </c>
      <c r="Z8" s="342">
        <f t="shared" si="7"/>
        <v>183371529</v>
      </c>
      <c r="AA8" s="342">
        <f t="shared" si="7"/>
        <v>168107866.44999999</v>
      </c>
      <c r="AB8" s="345">
        <f>AA8/Y8</f>
        <v>0.62687955388878447</v>
      </c>
      <c r="AC8" s="345">
        <f>K8/Y8</f>
        <v>0.86624184812240301</v>
      </c>
      <c r="AD8" s="342">
        <v>239605326</v>
      </c>
      <c r="AF8" s="325">
        <f t="shared" si="4"/>
        <v>35869406.480000019</v>
      </c>
      <c r="AI8" s="342">
        <f t="shared" ref="AI8" si="8">AI15+AI16-AI10</f>
        <v>256964267</v>
      </c>
      <c r="AJ8" s="331">
        <f t="shared" si="2"/>
        <v>24667539.480000019</v>
      </c>
    </row>
    <row r="9" spans="1:36">
      <c r="A9" s="321"/>
      <c r="B9" s="341" t="s">
        <v>955</v>
      </c>
      <c r="C9" s="341"/>
      <c r="D9" s="341"/>
      <c r="E9" s="341"/>
      <c r="F9" s="341"/>
      <c r="G9" s="342">
        <f>G14</f>
        <v>446304123.99000001</v>
      </c>
      <c r="H9" s="342">
        <f t="shared" ref="H9:Q9" si="9">H14</f>
        <v>40867184.670905992</v>
      </c>
      <c r="I9" s="342">
        <f t="shared" si="9"/>
        <v>487171308.34713596</v>
      </c>
      <c r="J9" s="342">
        <f t="shared" si="9"/>
        <v>301105644.81000018</v>
      </c>
      <c r="K9" s="342">
        <f>K14</f>
        <v>72639231</v>
      </c>
      <c r="L9" s="342">
        <f t="shared" si="9"/>
        <v>57938986.890000001</v>
      </c>
      <c r="M9" s="343">
        <f t="shared" si="9"/>
        <v>16529617</v>
      </c>
      <c r="N9" s="343">
        <f t="shared" si="9"/>
        <v>4956850</v>
      </c>
      <c r="O9" s="342">
        <f t="shared" si="9"/>
        <v>9334926</v>
      </c>
      <c r="P9" s="342">
        <f t="shared" si="9"/>
        <v>13096998</v>
      </c>
      <c r="Q9" s="342">
        <f t="shared" si="9"/>
        <v>10347293</v>
      </c>
      <c r="R9" s="323">
        <f t="shared" si="3"/>
        <v>485949546.70000017</v>
      </c>
      <c r="S9" s="344"/>
      <c r="T9" s="325">
        <f t="shared" si="6"/>
        <v>1221761.6471357942</v>
      </c>
      <c r="U9" s="326">
        <f>U14</f>
        <v>58145014</v>
      </c>
      <c r="V9" s="326">
        <f>U9-K9</f>
        <v>-14494217</v>
      </c>
      <c r="W9" s="327">
        <f>K9/U9</f>
        <v>1.2492770403322975</v>
      </c>
      <c r="Y9" s="342">
        <f t="shared" ref="Y9:AA9" si="10">Y14</f>
        <v>77816769</v>
      </c>
      <c r="Z9" s="342">
        <f t="shared" si="10"/>
        <v>61468248</v>
      </c>
      <c r="AA9" s="342">
        <f t="shared" si="10"/>
        <v>57399116.289999999</v>
      </c>
      <c r="AB9" s="345">
        <f t="shared" ref="AB9:AB11" si="11">AA9/Y9</f>
        <v>0.73761885808957195</v>
      </c>
      <c r="AC9" s="345">
        <f t="shared" ref="AC9:AC10" si="12">K9/Y9</f>
        <v>0.93346500932209098</v>
      </c>
      <c r="AD9" s="342">
        <v>72797678</v>
      </c>
      <c r="AF9" s="325">
        <f t="shared" si="4"/>
        <v>5177538</v>
      </c>
      <c r="AI9" s="342">
        <f t="shared" ref="AI9" si="13">AI14</f>
        <v>77165874</v>
      </c>
      <c r="AJ9" s="331">
        <f t="shared" si="2"/>
        <v>4526643</v>
      </c>
    </row>
    <row r="10" spans="1:36">
      <c r="A10" s="321"/>
      <c r="B10" s="341" t="s">
        <v>956</v>
      </c>
      <c r="C10" s="341"/>
      <c r="D10" s="341"/>
      <c r="E10" s="341"/>
      <c r="F10" s="341"/>
      <c r="G10" s="342">
        <f>G199+G232</f>
        <v>1136885259.49</v>
      </c>
      <c r="H10" s="342">
        <f t="shared" ref="H10:Q10" si="14">H199+H232</f>
        <v>46956957</v>
      </c>
      <c r="I10" s="342">
        <f t="shared" si="14"/>
        <v>1183842216.49</v>
      </c>
      <c r="J10" s="342">
        <f t="shared" si="14"/>
        <v>488806262.82000005</v>
      </c>
      <c r="K10" s="342">
        <f t="shared" si="14"/>
        <v>109951214</v>
      </c>
      <c r="L10" s="343">
        <f t="shared" si="14"/>
        <v>179578888</v>
      </c>
      <c r="M10" s="343">
        <f t="shared" si="14"/>
        <v>113089454</v>
      </c>
      <c r="N10" s="343">
        <f t="shared" si="14"/>
        <v>34996472</v>
      </c>
      <c r="O10" s="342">
        <f t="shared" si="14"/>
        <v>12764231</v>
      </c>
      <c r="P10" s="342">
        <f t="shared" si="14"/>
        <v>118107045.45</v>
      </c>
      <c r="Q10" s="342">
        <f t="shared" si="14"/>
        <v>126548645.47</v>
      </c>
      <c r="R10" s="323">
        <f t="shared" si="3"/>
        <v>1183842212.74</v>
      </c>
      <c r="S10" s="344"/>
      <c r="T10" s="325">
        <f t="shared" si="6"/>
        <v>3.75</v>
      </c>
      <c r="U10" s="326">
        <f>U199+U232</f>
        <v>175808640</v>
      </c>
      <c r="V10" s="326">
        <f>U10-K10</f>
        <v>65857426</v>
      </c>
      <c r="W10" s="327">
        <f>K10/U10</f>
        <v>0.62540279021554346</v>
      </c>
      <c r="Y10" s="342">
        <f t="shared" ref="Y10:AA10" si="15">Y199+Y232</f>
        <v>142450898</v>
      </c>
      <c r="Z10" s="342">
        <f t="shared" si="15"/>
        <v>98247602</v>
      </c>
      <c r="AA10" s="342">
        <f t="shared" si="15"/>
        <v>96646379.560000002</v>
      </c>
      <c r="AB10" s="345">
        <f>AA10/Y10</f>
        <v>0.67845398601839635</v>
      </c>
      <c r="AC10" s="345">
        <f t="shared" si="12"/>
        <v>0.77185342840028992</v>
      </c>
      <c r="AD10" s="342">
        <v>131952639</v>
      </c>
      <c r="AF10" s="325">
        <f t="shared" si="4"/>
        <v>32499684</v>
      </c>
      <c r="AI10" s="342">
        <f t="shared" ref="AI10" si="16">AI199+AI232</f>
        <v>153340939</v>
      </c>
      <c r="AJ10" s="331">
        <f t="shared" si="2"/>
        <v>43389725</v>
      </c>
    </row>
    <row r="11" spans="1:36">
      <c r="A11" s="321"/>
      <c r="B11" s="341" t="s">
        <v>957</v>
      </c>
      <c r="C11" s="341"/>
      <c r="D11" s="341"/>
      <c r="E11" s="341"/>
      <c r="F11" s="341"/>
      <c r="G11" s="342">
        <f>G254</f>
        <v>78064529</v>
      </c>
      <c r="H11" s="342">
        <f t="shared" ref="H11:Q11" si="17">H254</f>
        <v>0</v>
      </c>
      <c r="I11" s="342">
        <f t="shared" si="17"/>
        <v>78064529</v>
      </c>
      <c r="J11" s="342">
        <f t="shared" si="17"/>
        <v>32109688.689999998</v>
      </c>
      <c r="K11" s="342">
        <f t="shared" si="17"/>
        <v>10679913</v>
      </c>
      <c r="L11" s="342">
        <f t="shared" si="17"/>
        <v>13080178</v>
      </c>
      <c r="M11" s="342">
        <f t="shared" si="17"/>
        <v>8479655</v>
      </c>
      <c r="N11" s="342">
        <f t="shared" si="17"/>
        <v>3688910</v>
      </c>
      <c r="O11" s="342">
        <f t="shared" si="17"/>
        <v>1180103</v>
      </c>
      <c r="P11" s="342">
        <f t="shared" si="17"/>
        <v>3583847</v>
      </c>
      <c r="Q11" s="342">
        <f t="shared" si="17"/>
        <v>5262234</v>
      </c>
      <c r="R11" s="323">
        <f t="shared" si="3"/>
        <v>78064528.689999998</v>
      </c>
      <c r="S11" s="344"/>
      <c r="T11" s="325">
        <f>I11-R11</f>
        <v>0.31000000238418579</v>
      </c>
      <c r="U11" s="326">
        <f t="shared" ref="U11" si="18">U254</f>
        <v>12516695</v>
      </c>
      <c r="V11" s="326">
        <f>U11-K11</f>
        <v>1836782</v>
      </c>
      <c r="W11" s="327">
        <f>K11/U11</f>
        <v>0.85325343471259785</v>
      </c>
      <c r="Y11" s="342">
        <f t="shared" ref="Y11:AA11" si="19">Y254</f>
        <v>12641532</v>
      </c>
      <c r="Z11" s="342">
        <f t="shared" si="19"/>
        <v>8742763</v>
      </c>
      <c r="AA11" s="342">
        <f t="shared" si="19"/>
        <v>7960408.6800000006</v>
      </c>
      <c r="AB11" s="345">
        <f t="shared" si="11"/>
        <v>0.62970284614238214</v>
      </c>
      <c r="AC11" s="345">
        <f>K11/Y11</f>
        <v>0.84482743072595945</v>
      </c>
      <c r="AD11" s="342">
        <v>11179223</v>
      </c>
      <c r="AF11" s="325">
        <f t="shared" si="4"/>
        <v>1961619</v>
      </c>
      <c r="AI11" s="342">
        <f t="shared" ref="AI11" si="20">AI254</f>
        <v>12234081</v>
      </c>
      <c r="AJ11" s="340">
        <f t="shared" si="2"/>
        <v>1554168</v>
      </c>
    </row>
    <row r="12" spans="1:36">
      <c r="A12" s="321"/>
      <c r="B12" s="341" t="s">
        <v>958</v>
      </c>
      <c r="C12" s="341"/>
      <c r="D12" s="341"/>
      <c r="E12" s="341"/>
      <c r="F12" s="341"/>
      <c r="G12" s="342"/>
      <c r="H12" s="342"/>
      <c r="I12" s="342"/>
      <c r="J12" s="346"/>
      <c r="K12" s="347"/>
      <c r="L12" s="348">
        <f>L255</f>
        <v>40958045.50999999</v>
      </c>
      <c r="M12" s="348">
        <f>M255</f>
        <v>301555707</v>
      </c>
      <c r="N12" s="348">
        <f>N255</f>
        <v>258004216</v>
      </c>
      <c r="O12" s="347"/>
      <c r="P12" s="346"/>
      <c r="Q12" s="346"/>
      <c r="R12" s="346">
        <f t="shared" si="3"/>
        <v>600517968.50999999</v>
      </c>
      <c r="S12" s="344"/>
      <c r="T12" s="325"/>
      <c r="U12" s="326">
        <f>U255</f>
        <v>44755338</v>
      </c>
      <c r="V12" s="326"/>
      <c r="W12" s="326"/>
      <c r="Y12" s="349"/>
      <c r="Z12" s="349"/>
      <c r="AA12" s="349"/>
      <c r="AB12" s="350"/>
      <c r="AC12" s="350"/>
      <c r="AD12" s="351"/>
      <c r="AF12" s="325">
        <f t="shared" si="4"/>
        <v>0</v>
      </c>
      <c r="AI12" s="349"/>
      <c r="AJ12" s="331"/>
    </row>
    <row r="13" spans="1:36">
      <c r="A13" s="317"/>
      <c r="B13" s="332"/>
      <c r="C13" s="314"/>
      <c r="D13" s="314"/>
      <c r="E13" s="314"/>
      <c r="F13" s="314"/>
      <c r="G13" s="333"/>
      <c r="H13" s="333"/>
      <c r="I13" s="333"/>
      <c r="J13" s="334"/>
      <c r="K13" s="334"/>
      <c r="L13" s="334"/>
      <c r="M13" s="334"/>
      <c r="N13" s="334"/>
      <c r="O13" s="334"/>
      <c r="P13" s="334"/>
      <c r="Q13" s="334"/>
      <c r="R13" s="334"/>
      <c r="S13" s="335"/>
      <c r="T13" s="325"/>
      <c r="U13" s="336"/>
      <c r="V13" s="336"/>
      <c r="W13" s="336"/>
      <c r="Y13" s="352"/>
      <c r="Z13" s="352"/>
      <c r="AA13" s="352"/>
      <c r="AB13" s="353"/>
      <c r="AC13" s="353"/>
      <c r="AD13" s="354"/>
      <c r="AF13" s="325">
        <f t="shared" si="4"/>
        <v>0</v>
      </c>
      <c r="AI13" s="352"/>
      <c r="AJ13" s="331"/>
    </row>
    <row r="14" spans="1:36">
      <c r="A14" s="321"/>
      <c r="B14" s="341" t="s">
        <v>959</v>
      </c>
      <c r="C14" s="341"/>
      <c r="D14" s="341"/>
      <c r="E14" s="341"/>
      <c r="F14" s="341"/>
      <c r="G14" s="342">
        <f>G19</f>
        <v>446304123.99000001</v>
      </c>
      <c r="H14" s="342">
        <f t="shared" ref="H14:Q14" si="21">H19</f>
        <v>40867184.670905992</v>
      </c>
      <c r="I14" s="342">
        <f t="shared" si="21"/>
        <v>487171308.34713596</v>
      </c>
      <c r="J14" s="342">
        <f t="shared" si="21"/>
        <v>301105644.81000018</v>
      </c>
      <c r="K14" s="342">
        <f>K19</f>
        <v>72639231</v>
      </c>
      <c r="L14" s="342">
        <f t="shared" si="21"/>
        <v>57938986.890000001</v>
      </c>
      <c r="M14" s="342">
        <f t="shared" si="21"/>
        <v>16529617</v>
      </c>
      <c r="N14" s="342">
        <f t="shared" si="21"/>
        <v>4956850</v>
      </c>
      <c r="O14" s="342">
        <f t="shared" si="21"/>
        <v>9334926</v>
      </c>
      <c r="P14" s="342">
        <f t="shared" si="21"/>
        <v>13096998</v>
      </c>
      <c r="Q14" s="342">
        <f t="shared" si="21"/>
        <v>10347293</v>
      </c>
      <c r="R14" s="323">
        <f t="shared" si="3"/>
        <v>485949546.70000017</v>
      </c>
      <c r="S14" s="344"/>
      <c r="T14" s="325">
        <f t="shared" si="6"/>
        <v>1221761.6471357942</v>
      </c>
      <c r="U14" s="326">
        <f>U19</f>
        <v>58145014</v>
      </c>
      <c r="V14" s="326">
        <f>U14-K14</f>
        <v>-14494217</v>
      </c>
      <c r="W14" s="327">
        <f>K14/U14</f>
        <v>1.2492770403322975</v>
      </c>
      <c r="Y14" s="342">
        <f t="shared" ref="Y14:AA14" si="22">Y19</f>
        <v>77816769</v>
      </c>
      <c r="Z14" s="342">
        <f t="shared" si="22"/>
        <v>61468248</v>
      </c>
      <c r="AA14" s="342">
        <f t="shared" si="22"/>
        <v>57399116.289999999</v>
      </c>
      <c r="AB14" s="345">
        <f>AA14/Y14</f>
        <v>0.73761885808957195</v>
      </c>
      <c r="AC14" s="345">
        <f>K14/Y14</f>
        <v>0.93346500932209098</v>
      </c>
      <c r="AD14" s="342">
        <f>AB14/Z14</f>
        <v>1.1999998081766897E-8</v>
      </c>
      <c r="AF14" s="325">
        <f t="shared" si="4"/>
        <v>5177538</v>
      </c>
      <c r="AI14" s="342">
        <f t="shared" ref="AI14" si="23">AI19</f>
        <v>77165874</v>
      </c>
      <c r="AJ14" s="331">
        <f t="shared" si="2"/>
        <v>4526643</v>
      </c>
    </row>
    <row r="15" spans="1:36">
      <c r="A15" s="321"/>
      <c r="B15" s="341" t="s">
        <v>960</v>
      </c>
      <c r="C15" s="341"/>
      <c r="D15" s="341" t="s">
        <v>468</v>
      </c>
      <c r="E15" s="341"/>
      <c r="F15" s="341"/>
      <c r="G15" s="342">
        <f>G107</f>
        <v>526973114.25999999</v>
      </c>
      <c r="H15" s="342">
        <f t="shared" ref="H15:Q15" si="24">H107</f>
        <v>41070677.789999999</v>
      </c>
      <c r="I15" s="342">
        <f t="shared" si="24"/>
        <v>568043792.04999995</v>
      </c>
      <c r="J15" s="342">
        <f t="shared" si="24"/>
        <v>274404122.88</v>
      </c>
      <c r="K15" s="342">
        <f t="shared" si="24"/>
        <v>52598624</v>
      </c>
      <c r="L15" s="342">
        <f t="shared" si="24"/>
        <v>59010468</v>
      </c>
      <c r="M15" s="342">
        <f t="shared" si="24"/>
        <v>22982320</v>
      </c>
      <c r="N15" s="342">
        <f t="shared" si="24"/>
        <v>12266956</v>
      </c>
      <c r="O15" s="342">
        <f t="shared" si="24"/>
        <v>17561697</v>
      </c>
      <c r="P15" s="342">
        <f t="shared" si="24"/>
        <v>69120174</v>
      </c>
      <c r="Q15" s="342">
        <f t="shared" si="24"/>
        <v>71844671</v>
      </c>
      <c r="R15" s="323">
        <f t="shared" si="3"/>
        <v>579789032.88</v>
      </c>
      <c r="S15" s="344"/>
      <c r="T15" s="325">
        <f t="shared" si="6"/>
        <v>-11745240.830000043</v>
      </c>
      <c r="U15" s="326">
        <f>U107</f>
        <v>54388096</v>
      </c>
      <c r="V15" s="326">
        <f>U15-K15</f>
        <v>1789472</v>
      </c>
      <c r="W15" s="327">
        <f>K15/U15</f>
        <v>0.96709809440654071</v>
      </c>
      <c r="Y15" s="342">
        <f t="shared" ref="Y15:AA15" si="25">Y107</f>
        <v>55949061</v>
      </c>
      <c r="Z15" s="342">
        <f t="shared" si="25"/>
        <v>43976853</v>
      </c>
      <c r="AA15" s="342">
        <f t="shared" si="25"/>
        <v>37592372.390000001</v>
      </c>
      <c r="AB15" s="345">
        <f t="shared" ref="AB15:AB17" si="26">AA15/Y15</f>
        <v>0.67190354436868927</v>
      </c>
      <c r="AC15" s="345">
        <f t="shared" ref="AC15:AC17" si="27">K15/Y15</f>
        <v>0.94011629614302195</v>
      </c>
      <c r="AD15" s="342">
        <f>AB15/Z15</f>
        <v>1.5278572670233798E-8</v>
      </c>
      <c r="AF15" s="325">
        <f t="shared" si="4"/>
        <v>3350437</v>
      </c>
      <c r="AI15" s="342">
        <f t="shared" ref="AI15" si="28">AI107</f>
        <v>56183834</v>
      </c>
      <c r="AJ15" s="340">
        <f t="shared" si="2"/>
        <v>3585210</v>
      </c>
    </row>
    <row r="16" spans="1:36">
      <c r="A16" s="321"/>
      <c r="B16" s="341" t="s">
        <v>961</v>
      </c>
      <c r="C16" s="341"/>
      <c r="D16" s="341"/>
      <c r="E16" s="341"/>
      <c r="F16" s="341"/>
      <c r="G16" s="342">
        <f>G147</f>
        <v>2401013647.78264</v>
      </c>
      <c r="H16" s="342">
        <f t="shared" ref="H16:Q16" si="29">H147</f>
        <v>216634579</v>
      </c>
      <c r="I16" s="342">
        <f t="shared" si="29"/>
        <v>2617648226.9665599</v>
      </c>
      <c r="J16" s="342">
        <f t="shared" si="29"/>
        <v>1016664522.98</v>
      </c>
      <c r="K16" s="342">
        <f t="shared" si="29"/>
        <v>289649317.51999998</v>
      </c>
      <c r="L16" s="342">
        <f t="shared" si="29"/>
        <v>352811485.60000002</v>
      </c>
      <c r="M16" s="342">
        <f t="shared" si="29"/>
        <v>169707331</v>
      </c>
      <c r="N16" s="342">
        <f t="shared" si="29"/>
        <v>43389723</v>
      </c>
      <c r="O16" s="342">
        <f t="shared" si="29"/>
        <v>90933948.400000006</v>
      </c>
      <c r="P16" s="342">
        <f t="shared" si="29"/>
        <v>311478920.44999999</v>
      </c>
      <c r="Q16" s="342">
        <f t="shared" si="29"/>
        <v>299961935.47000003</v>
      </c>
      <c r="R16" s="323">
        <f t="shared" si="3"/>
        <v>2574597184.4200001</v>
      </c>
      <c r="S16" s="344"/>
      <c r="T16" s="325">
        <f t="shared" si="6"/>
        <v>43051042.546559811</v>
      </c>
      <c r="U16" s="326">
        <f>U147</f>
        <v>411562102</v>
      </c>
      <c r="V16" s="326">
        <f>U16-K16</f>
        <v>121912784.48000002</v>
      </c>
      <c r="W16" s="327">
        <f>K16/U16</f>
        <v>0.70378034350694418</v>
      </c>
      <c r="Y16" s="342">
        <f t="shared" ref="Y16:AA16" si="30">Y147</f>
        <v>354667971</v>
      </c>
      <c r="Z16" s="342">
        <f t="shared" si="30"/>
        <v>237642278</v>
      </c>
      <c r="AA16" s="342">
        <f t="shared" si="30"/>
        <v>227161873.61999997</v>
      </c>
      <c r="AB16" s="345">
        <f t="shared" si="26"/>
        <v>0.64049164907535439</v>
      </c>
      <c r="AC16" s="345">
        <f t="shared" si="27"/>
        <v>0.81667740310274584</v>
      </c>
      <c r="AD16" s="342">
        <f>AB16/Z16</f>
        <v>2.6951923473623427E-9</v>
      </c>
      <c r="AF16" s="325">
        <f t="shared" si="4"/>
        <v>65018653.480000019</v>
      </c>
      <c r="AI16" s="342">
        <f t="shared" ref="AI16" si="31">AI147</f>
        <v>354121372</v>
      </c>
      <c r="AJ16" s="331">
        <f t="shared" si="2"/>
        <v>64472054.480000019</v>
      </c>
    </row>
    <row r="17" spans="1:37">
      <c r="A17" s="321"/>
      <c r="B17" s="341" t="s">
        <v>957</v>
      </c>
      <c r="C17" s="341"/>
      <c r="D17" s="341"/>
      <c r="E17" s="341"/>
      <c r="F17" s="341"/>
      <c r="G17" s="342">
        <f>G254</f>
        <v>78064529</v>
      </c>
      <c r="H17" s="342">
        <f t="shared" ref="H17:Q17" si="32">H254</f>
        <v>0</v>
      </c>
      <c r="I17" s="342">
        <f t="shared" si="32"/>
        <v>78064529</v>
      </c>
      <c r="J17" s="342">
        <f t="shared" si="32"/>
        <v>32109688.689999998</v>
      </c>
      <c r="K17" s="342">
        <f t="shared" si="32"/>
        <v>10679913</v>
      </c>
      <c r="L17" s="342">
        <f t="shared" si="32"/>
        <v>13080178</v>
      </c>
      <c r="M17" s="342">
        <f t="shared" si="32"/>
        <v>8479655</v>
      </c>
      <c r="N17" s="342">
        <f t="shared" si="32"/>
        <v>3688910</v>
      </c>
      <c r="O17" s="342">
        <f t="shared" si="32"/>
        <v>1180103</v>
      </c>
      <c r="P17" s="342">
        <f t="shared" si="32"/>
        <v>3583847</v>
      </c>
      <c r="Q17" s="342">
        <f t="shared" si="32"/>
        <v>5262234</v>
      </c>
      <c r="R17" s="323">
        <f t="shared" si="3"/>
        <v>78064528.689999998</v>
      </c>
      <c r="S17" s="344"/>
      <c r="T17" s="325">
        <f t="shared" si="6"/>
        <v>0.31000000238418579</v>
      </c>
      <c r="U17" s="326">
        <f t="shared" ref="U17:U18" si="33">U11</f>
        <v>12516695</v>
      </c>
      <c r="V17" s="326">
        <f>U17-K17</f>
        <v>1836782</v>
      </c>
      <c r="W17" s="327">
        <f>K17/U17</f>
        <v>0.85325343471259785</v>
      </c>
      <c r="Y17" s="342">
        <f t="shared" ref="Y17:AA17" si="34">Y254</f>
        <v>12641532</v>
      </c>
      <c r="Z17" s="342">
        <f t="shared" si="34"/>
        <v>8742763</v>
      </c>
      <c r="AA17" s="342">
        <f t="shared" si="34"/>
        <v>7960408.6800000006</v>
      </c>
      <c r="AB17" s="345">
        <f t="shared" si="26"/>
        <v>0.62970284614238214</v>
      </c>
      <c r="AC17" s="345">
        <f t="shared" si="27"/>
        <v>0.84482743072595945</v>
      </c>
      <c r="AD17" s="342">
        <f>AB17/Z17</f>
        <v>7.2025610912978208E-8</v>
      </c>
      <c r="AF17" s="325">
        <f t="shared" si="4"/>
        <v>1961619</v>
      </c>
      <c r="AI17" s="342">
        <f t="shared" ref="AI17" si="35">AI254</f>
        <v>12234081</v>
      </c>
      <c r="AJ17" s="331">
        <f t="shared" si="2"/>
        <v>1554168</v>
      </c>
    </row>
    <row r="18" spans="1:37">
      <c r="A18" s="321"/>
      <c r="B18" s="341" t="s">
        <v>958</v>
      </c>
      <c r="C18" s="341"/>
      <c r="D18" s="341"/>
      <c r="E18" s="341"/>
      <c r="F18" s="341"/>
      <c r="G18" s="342"/>
      <c r="H18" s="342"/>
      <c r="I18" s="342"/>
      <c r="J18" s="346"/>
      <c r="K18" s="347"/>
      <c r="L18" s="348">
        <f>L12</f>
        <v>40958045.50999999</v>
      </c>
      <c r="M18" s="348">
        <f t="shared" ref="M18:N18" si="36">M12</f>
        <v>301555707</v>
      </c>
      <c r="N18" s="348">
        <f t="shared" si="36"/>
        <v>258004216</v>
      </c>
      <c r="O18" s="347"/>
      <c r="P18" s="346"/>
      <c r="Q18" s="346"/>
      <c r="R18" s="346">
        <f t="shared" si="3"/>
        <v>600517968.50999999</v>
      </c>
      <c r="S18" s="344"/>
      <c r="T18" s="325"/>
      <c r="U18" s="326">
        <f t="shared" si="33"/>
        <v>44755338</v>
      </c>
      <c r="V18" s="326"/>
      <c r="W18" s="326"/>
      <c r="Y18" s="349"/>
      <c r="Z18" s="349"/>
      <c r="AA18" s="349"/>
      <c r="AB18" s="350"/>
      <c r="AC18" s="350"/>
      <c r="AD18" s="351"/>
      <c r="AF18" s="325">
        <f t="shared" si="4"/>
        <v>0</v>
      </c>
      <c r="AI18" s="349"/>
      <c r="AJ18" s="331"/>
    </row>
    <row r="19" spans="1:37" ht="63.75">
      <c r="A19" s="317" t="s">
        <v>962</v>
      </c>
      <c r="B19" s="332" t="s">
        <v>963</v>
      </c>
      <c r="C19" s="314"/>
      <c r="D19" s="314"/>
      <c r="E19" s="314"/>
      <c r="F19" s="355"/>
      <c r="G19" s="333">
        <f>G20+G32+G58+G80+G89</f>
        <v>446304123.99000001</v>
      </c>
      <c r="H19" s="333">
        <f t="shared" ref="H19:Q19" si="37">H20+H32+H58+H80+H89</f>
        <v>40867184.670905992</v>
      </c>
      <c r="I19" s="333">
        <f t="shared" si="37"/>
        <v>487171308.34713596</v>
      </c>
      <c r="J19" s="333">
        <f>J20+J32+J58+J80+J89</f>
        <v>301105644.81000018</v>
      </c>
      <c r="K19" s="333">
        <f>K20+K32+K58+K80+K89</f>
        <v>72639231</v>
      </c>
      <c r="L19" s="333">
        <f t="shared" si="37"/>
        <v>57938986.890000001</v>
      </c>
      <c r="M19" s="333">
        <f t="shared" si="37"/>
        <v>16529617</v>
      </c>
      <c r="N19" s="333">
        <f t="shared" si="37"/>
        <v>4956850</v>
      </c>
      <c r="O19" s="333">
        <f t="shared" si="37"/>
        <v>9334926</v>
      </c>
      <c r="P19" s="333">
        <f t="shared" si="37"/>
        <v>13096998</v>
      </c>
      <c r="Q19" s="333">
        <f t="shared" si="37"/>
        <v>10347293</v>
      </c>
      <c r="R19" s="356">
        <f t="shared" si="3"/>
        <v>485949546.70000017</v>
      </c>
      <c r="S19" s="335"/>
      <c r="T19" s="325">
        <f t="shared" si="6"/>
        <v>1221761.6471357942</v>
      </c>
      <c r="U19" s="336">
        <f>U20+U32+U58+U80+U89</f>
        <v>58145014</v>
      </c>
      <c r="V19" s="336">
        <f t="shared" ref="V19:V82" si="38">U19-K19</f>
        <v>-14494217</v>
      </c>
      <c r="W19" s="357">
        <f t="shared" ref="W19:W82" si="39">K19/U19</f>
        <v>1.2492770403322975</v>
      </c>
      <c r="Y19" s="333">
        <f>Y20+Y32+Y58+Y80+Y89</f>
        <v>77816769</v>
      </c>
      <c r="Z19" s="333">
        <f t="shared" ref="Z19:AA19" si="40">Z20+Z32+Z58+Z80+Z89</f>
        <v>61468248</v>
      </c>
      <c r="AA19" s="333">
        <f t="shared" si="40"/>
        <v>57399116.289999999</v>
      </c>
      <c r="AB19" s="358">
        <f>AA19/Y19</f>
        <v>0.73761885808957195</v>
      </c>
      <c r="AC19" s="358">
        <f>K19/Y19</f>
        <v>0.93346500932209098</v>
      </c>
      <c r="AD19" s="333">
        <f t="shared" ref="AD19:AD82" si="41">AB19/Z19</f>
        <v>1.1999998081766897E-8</v>
      </c>
      <c r="AF19" s="325">
        <f t="shared" si="4"/>
        <v>5177538</v>
      </c>
      <c r="AI19" s="333">
        <f>AI20+AI32+AI58+AI80+AI89</f>
        <v>77165874</v>
      </c>
      <c r="AJ19" s="340">
        <f t="shared" si="2"/>
        <v>4526643</v>
      </c>
    </row>
    <row r="20" spans="1:37" ht="38.25">
      <c r="A20" s="321" t="s">
        <v>470</v>
      </c>
      <c r="B20" s="359" t="s">
        <v>964</v>
      </c>
      <c r="C20" s="341" t="s">
        <v>467</v>
      </c>
      <c r="D20" s="341"/>
      <c r="E20" s="341"/>
      <c r="F20" s="341"/>
      <c r="G20" s="342">
        <f>G21+G25</f>
        <v>91518201.930000007</v>
      </c>
      <c r="H20" s="342">
        <f t="shared" ref="H20:Q20" si="42">H21+H25</f>
        <v>4463145.5571360001</v>
      </c>
      <c r="I20" s="342">
        <f t="shared" si="42"/>
        <v>95981347.487136006</v>
      </c>
      <c r="J20" s="342">
        <f>J21+J25</f>
        <v>59797707.969999999</v>
      </c>
      <c r="K20" s="342">
        <f t="shared" si="42"/>
        <v>14977398</v>
      </c>
      <c r="L20" s="342">
        <f t="shared" si="42"/>
        <v>6574960</v>
      </c>
      <c r="M20" s="342">
        <f t="shared" si="42"/>
        <v>2908225</v>
      </c>
      <c r="N20" s="342">
        <f t="shared" si="42"/>
        <v>1683574</v>
      </c>
      <c r="O20" s="342">
        <f t="shared" si="42"/>
        <v>1520715</v>
      </c>
      <c r="P20" s="342">
        <f t="shared" si="42"/>
        <v>3786053</v>
      </c>
      <c r="Q20" s="342">
        <f t="shared" si="42"/>
        <v>4453234</v>
      </c>
      <c r="R20" s="323">
        <f t="shared" si="3"/>
        <v>95701866.969999999</v>
      </c>
      <c r="S20" s="344"/>
      <c r="T20" s="325">
        <f t="shared" si="6"/>
        <v>279480.51713600755</v>
      </c>
      <c r="U20" s="326">
        <f>U21+U25</f>
        <v>12038216</v>
      </c>
      <c r="V20" s="326">
        <f t="shared" si="38"/>
        <v>-2939182</v>
      </c>
      <c r="W20" s="326">
        <f t="shared" si="39"/>
        <v>1.244154283325702</v>
      </c>
      <c r="X20" s="331"/>
      <c r="Y20" s="342">
        <f t="shared" ref="Y20:AA20" si="43">Y21+Y25</f>
        <v>15191329</v>
      </c>
      <c r="Z20" s="342">
        <f t="shared" si="43"/>
        <v>14569447</v>
      </c>
      <c r="AA20" s="342">
        <f t="shared" si="43"/>
        <v>13408644.969999999</v>
      </c>
      <c r="AB20" s="345">
        <f>AA20/Y20</f>
        <v>0.88265121307029815</v>
      </c>
      <c r="AC20" s="345">
        <f>K20/Y20</f>
        <v>0.98591755862834651</v>
      </c>
      <c r="AD20" s="342">
        <f t="shared" si="41"/>
        <v>6.0582341462259905E-8</v>
      </c>
      <c r="AF20" s="325">
        <f t="shared" si="4"/>
        <v>213931</v>
      </c>
      <c r="AI20" s="342">
        <f t="shared" ref="AI20" si="44">AI21+AI25</f>
        <v>15191329</v>
      </c>
      <c r="AJ20" s="331">
        <f>AI20-K20</f>
        <v>213931</v>
      </c>
    </row>
    <row r="21" spans="1:37" ht="63.75">
      <c r="A21" s="321" t="s">
        <v>472</v>
      </c>
      <c r="B21" s="359" t="s">
        <v>965</v>
      </c>
      <c r="C21" s="341" t="s">
        <v>467</v>
      </c>
      <c r="D21" s="341" t="s">
        <v>527</v>
      </c>
      <c r="E21" s="341"/>
      <c r="F21" s="341"/>
      <c r="G21" s="342">
        <f>G22+G23+G24</f>
        <v>44631455.57</v>
      </c>
      <c r="H21" s="342">
        <f t="shared" ref="H21:Q21" si="45">H22+H23+H24</f>
        <v>4463145.5571360001</v>
      </c>
      <c r="I21" s="342">
        <f t="shared" si="45"/>
        <v>49094601.127136</v>
      </c>
      <c r="J21" s="342">
        <f>J22+J23+J24</f>
        <v>28186955</v>
      </c>
      <c r="K21" s="342">
        <f t="shared" si="45"/>
        <v>7561784</v>
      </c>
      <c r="L21" s="342">
        <f t="shared" si="45"/>
        <v>3360624</v>
      </c>
      <c r="M21" s="342">
        <f t="shared" si="45"/>
        <v>0</v>
      </c>
      <c r="N21" s="342">
        <f t="shared" si="45"/>
        <v>0</v>
      </c>
      <c r="O21" s="342">
        <f t="shared" si="45"/>
        <v>2134322</v>
      </c>
      <c r="P21" s="342">
        <f t="shared" si="45"/>
        <v>3698596</v>
      </c>
      <c r="Q21" s="342">
        <f t="shared" si="45"/>
        <v>4399177</v>
      </c>
      <c r="R21" s="323">
        <f t="shared" si="3"/>
        <v>49341458</v>
      </c>
      <c r="S21" s="344"/>
      <c r="T21" s="325">
        <f>I21-R21</f>
        <v>-246856.8728640005</v>
      </c>
      <c r="U21" s="326">
        <f>SUM(U22:U24)</f>
        <v>7824161</v>
      </c>
      <c r="V21" s="326">
        <f t="shared" si="38"/>
        <v>262377</v>
      </c>
      <c r="W21" s="326">
        <f t="shared" si="39"/>
        <v>0.96646579741904592</v>
      </c>
      <c r="X21" s="331"/>
      <c r="Y21" s="342">
        <f t="shared" ref="Y21:AA21" si="46">Y22+Y23+Y24</f>
        <v>7602270</v>
      </c>
      <c r="Z21" s="342">
        <f t="shared" si="46"/>
        <v>7549070</v>
      </c>
      <c r="AA21" s="342">
        <f t="shared" si="46"/>
        <v>7255474.75</v>
      </c>
      <c r="AB21" s="345">
        <f t="shared" ref="AB21:AB84" si="47">AA21/Y21</f>
        <v>0.95438267122846199</v>
      </c>
      <c r="AC21" s="345">
        <f t="shared" ref="AC21:AC84" si="48">K21/Y21</f>
        <v>0.99467448538397085</v>
      </c>
      <c r="AD21" s="342">
        <f t="shared" si="41"/>
        <v>1.2642387356700389E-7</v>
      </c>
      <c r="AF21" s="325">
        <f t="shared" si="4"/>
        <v>40486</v>
      </c>
      <c r="AI21" s="342">
        <f t="shared" ref="AI21" si="49">AI22+AI23+AI24</f>
        <v>7602270</v>
      </c>
      <c r="AJ21" s="331">
        <f t="shared" ref="AJ21:AJ84" si="50">AI21-K21</f>
        <v>40486</v>
      </c>
    </row>
    <row r="22" spans="1:37" ht="76.5">
      <c r="A22" s="360" t="s">
        <v>46</v>
      </c>
      <c r="B22" s="361" t="s">
        <v>966</v>
      </c>
      <c r="C22" s="362" t="s">
        <v>467</v>
      </c>
      <c r="D22" s="362" t="s">
        <v>527</v>
      </c>
      <c r="E22" s="362"/>
      <c r="F22" s="362" t="s">
        <v>967</v>
      </c>
      <c r="G22" s="363">
        <v>0</v>
      </c>
      <c r="H22" s="363">
        <v>0</v>
      </c>
      <c r="I22" s="363">
        <v>0</v>
      </c>
      <c r="J22" s="346">
        <v>0</v>
      </c>
      <c r="K22" s="346">
        <v>0</v>
      </c>
      <c r="L22" s="347">
        <v>0</v>
      </c>
      <c r="M22" s="347">
        <v>0</v>
      </c>
      <c r="N22" s="347">
        <v>0</v>
      </c>
      <c r="O22" s="346">
        <v>0</v>
      </c>
      <c r="P22" s="346">
        <v>0</v>
      </c>
      <c r="Q22" s="346">
        <v>0</v>
      </c>
      <c r="R22" s="346">
        <f t="shared" si="3"/>
        <v>0</v>
      </c>
      <c r="S22" s="344"/>
      <c r="T22" s="325">
        <f t="shared" si="6"/>
        <v>0</v>
      </c>
      <c r="U22" s="364">
        <v>0</v>
      </c>
      <c r="V22" s="365">
        <f t="shared" si="38"/>
        <v>0</v>
      </c>
      <c r="W22" s="365" t="e">
        <f t="shared" si="39"/>
        <v>#DIV/0!</v>
      </c>
      <c r="X22" s="331"/>
      <c r="Y22" s="351">
        <v>0</v>
      </c>
      <c r="Z22" s="351">
        <v>0</v>
      </c>
      <c r="AA22" s="351">
        <v>0</v>
      </c>
      <c r="AB22" s="366" t="e">
        <f t="shared" si="47"/>
        <v>#DIV/0!</v>
      </c>
      <c r="AC22" s="366" t="e">
        <f t="shared" si="48"/>
        <v>#DIV/0!</v>
      </c>
      <c r="AD22" s="367" t="e">
        <f t="shared" si="41"/>
        <v>#DIV/0!</v>
      </c>
      <c r="AF22" s="325">
        <f t="shared" si="4"/>
        <v>0</v>
      </c>
      <c r="AI22" s="351">
        <v>0</v>
      </c>
      <c r="AJ22" s="331">
        <f t="shared" si="50"/>
        <v>0</v>
      </c>
    </row>
    <row r="23" spans="1:37" ht="153">
      <c r="A23" s="360" t="s">
        <v>47</v>
      </c>
      <c r="B23" s="361" t="s">
        <v>968</v>
      </c>
      <c r="C23" s="362" t="s">
        <v>467</v>
      </c>
      <c r="D23" s="362" t="s">
        <v>527</v>
      </c>
      <c r="E23" s="362"/>
      <c r="F23" s="362" t="s">
        <v>967</v>
      </c>
      <c r="G23" s="363">
        <v>44631455.57</v>
      </c>
      <c r="H23" s="363">
        <v>4463145.5571360001</v>
      </c>
      <c r="I23" s="363">
        <v>49094601.127136</v>
      </c>
      <c r="J23" s="368">
        <v>28186955</v>
      </c>
      <c r="K23" s="346">
        <v>7561784</v>
      </c>
      <c r="L23" s="347">
        <v>3360624</v>
      </c>
      <c r="M23" s="347">
        <v>0</v>
      </c>
      <c r="N23" s="347">
        <v>0</v>
      </c>
      <c r="O23" s="346">
        <v>2134322</v>
      </c>
      <c r="P23" s="346">
        <v>3698596</v>
      </c>
      <c r="Q23" s="346">
        <v>4399177</v>
      </c>
      <c r="R23" s="346">
        <f>J23+K23+L23+M23+N23+O23+P23+Q23</f>
        <v>49341458</v>
      </c>
      <c r="S23" s="344" t="s">
        <v>969</v>
      </c>
      <c r="T23" s="325">
        <f t="shared" si="6"/>
        <v>-246856.8728640005</v>
      </c>
      <c r="U23" s="369">
        <v>7824161</v>
      </c>
      <c r="V23" s="365">
        <f t="shared" si="38"/>
        <v>262377</v>
      </c>
      <c r="W23" s="365">
        <f t="shared" si="39"/>
        <v>0.96646579741904592</v>
      </c>
      <c r="X23" s="331"/>
      <c r="Y23" s="351">
        <v>7602270</v>
      </c>
      <c r="Z23" s="351">
        <v>7549070</v>
      </c>
      <c r="AA23" s="351">
        <v>7255474.75</v>
      </c>
      <c r="AB23" s="366">
        <f>AA23/Y23</f>
        <v>0.95438267122846199</v>
      </c>
      <c r="AC23" s="366">
        <f t="shared" si="48"/>
        <v>0.99467448538397085</v>
      </c>
      <c r="AD23" s="367">
        <f t="shared" si="41"/>
        <v>1.2642387356700389E-7</v>
      </c>
      <c r="AF23" s="325">
        <f t="shared" si="4"/>
        <v>40486</v>
      </c>
      <c r="AG23" s="325">
        <v>40486</v>
      </c>
      <c r="AI23" s="351">
        <v>7602270</v>
      </c>
      <c r="AJ23" s="340">
        <f t="shared" si="50"/>
        <v>40486</v>
      </c>
      <c r="AK23" s="305">
        <v>40486</v>
      </c>
    </row>
    <row r="24" spans="1:37" ht="51">
      <c r="A24" s="360" t="s">
        <v>137</v>
      </c>
      <c r="B24" s="361" t="s">
        <v>970</v>
      </c>
      <c r="C24" s="362" t="s">
        <v>467</v>
      </c>
      <c r="D24" s="362" t="s">
        <v>527</v>
      </c>
      <c r="E24" s="362"/>
      <c r="F24" s="362" t="s">
        <v>971</v>
      </c>
      <c r="G24" s="363">
        <v>0</v>
      </c>
      <c r="H24" s="363">
        <v>0</v>
      </c>
      <c r="I24" s="363">
        <v>0</v>
      </c>
      <c r="J24" s="346">
        <v>0</v>
      </c>
      <c r="K24" s="346">
        <v>0</v>
      </c>
      <c r="L24" s="347">
        <v>0</v>
      </c>
      <c r="M24" s="347">
        <v>0</v>
      </c>
      <c r="N24" s="347">
        <v>0</v>
      </c>
      <c r="O24" s="346">
        <v>0</v>
      </c>
      <c r="P24" s="346">
        <v>0</v>
      </c>
      <c r="Q24" s="346">
        <v>0</v>
      </c>
      <c r="R24" s="346">
        <f t="shared" si="3"/>
        <v>0</v>
      </c>
      <c r="S24" s="344"/>
      <c r="T24" s="325">
        <f t="shared" si="6"/>
        <v>0</v>
      </c>
      <c r="U24" s="364">
        <v>0</v>
      </c>
      <c r="V24" s="365">
        <f t="shared" si="38"/>
        <v>0</v>
      </c>
      <c r="W24" s="365" t="e">
        <f t="shared" si="39"/>
        <v>#DIV/0!</v>
      </c>
      <c r="X24" s="331"/>
      <c r="Y24" s="351">
        <v>0</v>
      </c>
      <c r="Z24" s="351">
        <v>0</v>
      </c>
      <c r="AA24" s="351">
        <v>0</v>
      </c>
      <c r="AB24" s="366" t="e">
        <f t="shared" si="47"/>
        <v>#DIV/0!</v>
      </c>
      <c r="AC24" s="366" t="e">
        <f t="shared" si="48"/>
        <v>#DIV/0!</v>
      </c>
      <c r="AD24" s="367" t="e">
        <f t="shared" si="41"/>
        <v>#DIV/0!</v>
      </c>
      <c r="AF24" s="325">
        <f t="shared" si="4"/>
        <v>0</v>
      </c>
      <c r="AI24" s="351">
        <v>0</v>
      </c>
      <c r="AJ24" s="331">
        <f t="shared" si="50"/>
        <v>0</v>
      </c>
    </row>
    <row r="25" spans="1:37" ht="51">
      <c r="A25" s="321" t="s">
        <v>478</v>
      </c>
      <c r="B25" s="359" t="s">
        <v>972</v>
      </c>
      <c r="C25" s="341" t="s">
        <v>467</v>
      </c>
      <c r="D25" s="341" t="s">
        <v>527</v>
      </c>
      <c r="E25" s="341"/>
      <c r="F25" s="341"/>
      <c r="G25" s="370">
        <f>G26+G29</f>
        <v>46886746.359999999</v>
      </c>
      <c r="H25" s="370">
        <f t="shared" ref="H25:Q25" si="51">H26+H29</f>
        <v>0</v>
      </c>
      <c r="I25" s="370">
        <f>I26+I29</f>
        <v>46886746.359999999</v>
      </c>
      <c r="J25" s="370">
        <f>J26+J29</f>
        <v>31610752.969999999</v>
      </c>
      <c r="K25" s="370">
        <f t="shared" si="51"/>
        <v>7415614</v>
      </c>
      <c r="L25" s="370">
        <f>L26+L29</f>
        <v>3214336</v>
      </c>
      <c r="M25" s="370">
        <f t="shared" si="51"/>
        <v>2908225</v>
      </c>
      <c r="N25" s="370">
        <f t="shared" si="51"/>
        <v>1683574</v>
      </c>
      <c r="O25" s="370">
        <f t="shared" si="51"/>
        <v>-613607</v>
      </c>
      <c r="P25" s="370">
        <f t="shared" si="51"/>
        <v>87457</v>
      </c>
      <c r="Q25" s="370">
        <f t="shared" si="51"/>
        <v>54057</v>
      </c>
      <c r="R25" s="323">
        <f t="shared" si="3"/>
        <v>46360408.969999999</v>
      </c>
      <c r="S25" s="344"/>
      <c r="T25" s="325">
        <f t="shared" si="6"/>
        <v>526337.3900000006</v>
      </c>
      <c r="U25" s="326">
        <f>U26+U29</f>
        <v>4214055</v>
      </c>
      <c r="V25" s="326">
        <f t="shared" si="38"/>
        <v>-3201559</v>
      </c>
      <c r="W25" s="326">
        <f t="shared" si="39"/>
        <v>1.7597335582948015</v>
      </c>
      <c r="X25" s="331"/>
      <c r="Y25" s="370">
        <f t="shared" ref="Y25:AA25" si="52">Y26+Y29</f>
        <v>7589059</v>
      </c>
      <c r="Z25" s="370">
        <f t="shared" si="52"/>
        <v>7020377</v>
      </c>
      <c r="AA25" s="370">
        <f t="shared" si="52"/>
        <v>6153170.2199999997</v>
      </c>
      <c r="AB25" s="345">
        <f t="shared" si="47"/>
        <v>0.81079488511026199</v>
      </c>
      <c r="AC25" s="371">
        <f t="shared" si="48"/>
        <v>0.97714538785375105</v>
      </c>
      <c r="AD25" s="342">
        <f t="shared" si="41"/>
        <v>1.1549164455274439E-7</v>
      </c>
      <c r="AF25" s="325">
        <f t="shared" si="4"/>
        <v>173445</v>
      </c>
      <c r="AI25" s="370">
        <f t="shared" ref="AI25" si="53">AI26+AI29</f>
        <v>7589059</v>
      </c>
      <c r="AJ25" s="331">
        <f t="shared" si="50"/>
        <v>173445</v>
      </c>
    </row>
    <row r="26" spans="1:37" ht="51">
      <c r="A26" s="360" t="s">
        <v>480</v>
      </c>
      <c r="B26" s="361" t="s">
        <v>973</v>
      </c>
      <c r="C26" s="362" t="s">
        <v>467</v>
      </c>
      <c r="D26" s="362" t="s">
        <v>527</v>
      </c>
      <c r="E26" s="362"/>
      <c r="F26" s="362"/>
      <c r="G26" s="363">
        <f>G27+G28</f>
        <v>45885251.359999999</v>
      </c>
      <c r="H26" s="363">
        <f t="shared" ref="H26:Q26" si="54">H27+H28</f>
        <v>0</v>
      </c>
      <c r="I26" s="363">
        <f t="shared" si="54"/>
        <v>45885251.359999999</v>
      </c>
      <c r="J26" s="363">
        <f>J27+J28</f>
        <v>31362033</v>
      </c>
      <c r="K26" s="363">
        <f>K27+K28</f>
        <v>6778742</v>
      </c>
      <c r="L26" s="363">
        <f>L27+L28</f>
        <v>3098433</v>
      </c>
      <c r="M26" s="363">
        <f t="shared" si="54"/>
        <v>2908225</v>
      </c>
      <c r="N26" s="363">
        <f t="shared" si="54"/>
        <v>1683574</v>
      </c>
      <c r="O26" s="363">
        <f t="shared" si="54"/>
        <v>-613607</v>
      </c>
      <c r="P26" s="363">
        <f t="shared" si="54"/>
        <v>87457</v>
      </c>
      <c r="Q26" s="363">
        <f t="shared" si="54"/>
        <v>54057</v>
      </c>
      <c r="R26" s="346">
        <f t="shared" si="3"/>
        <v>45358914</v>
      </c>
      <c r="S26" s="344"/>
      <c r="T26" s="325">
        <f t="shared" si="6"/>
        <v>526337.3599999994</v>
      </c>
      <c r="U26" s="364">
        <f>SUM(U27:U28)</f>
        <v>3737593</v>
      </c>
      <c r="V26" s="365">
        <f t="shared" si="38"/>
        <v>-3041149</v>
      </c>
      <c r="W26" s="365">
        <f t="shared" si="39"/>
        <v>1.8136651047880281</v>
      </c>
      <c r="X26" s="331"/>
      <c r="Y26" s="363">
        <f t="shared" ref="Y26:AA26" si="55">Y27+Y28</f>
        <v>6952187</v>
      </c>
      <c r="Z26" s="363">
        <f t="shared" si="55"/>
        <v>6428512</v>
      </c>
      <c r="AA26" s="363">
        <f t="shared" si="55"/>
        <v>5582723.0899999999</v>
      </c>
      <c r="AB26" s="366">
        <f t="shared" si="47"/>
        <v>0.80301681902399924</v>
      </c>
      <c r="AC26" s="366">
        <f t="shared" si="48"/>
        <v>0.97505173551862168</v>
      </c>
      <c r="AD26" s="367">
        <f t="shared" si="41"/>
        <v>1.2491488217242173E-7</v>
      </c>
      <c r="AF26" s="325">
        <f t="shared" si="4"/>
        <v>173445</v>
      </c>
      <c r="AI26" s="363">
        <f t="shared" ref="AI26" si="56">AI27+AI28</f>
        <v>6952187</v>
      </c>
      <c r="AJ26" s="331">
        <f t="shared" si="50"/>
        <v>173445</v>
      </c>
    </row>
    <row r="27" spans="1:37" ht="51">
      <c r="A27" s="360" t="s">
        <v>48</v>
      </c>
      <c r="B27" s="372" t="s">
        <v>974</v>
      </c>
      <c r="C27" s="362" t="s">
        <v>467</v>
      </c>
      <c r="D27" s="362" t="s">
        <v>527</v>
      </c>
      <c r="E27" s="362"/>
      <c r="F27" s="373" t="s">
        <v>975</v>
      </c>
      <c r="G27" s="363">
        <v>8717031</v>
      </c>
      <c r="H27" s="363">
        <v>0</v>
      </c>
      <c r="I27" s="363">
        <v>8717031</v>
      </c>
      <c r="J27" s="368">
        <v>5234447</v>
      </c>
      <c r="K27" s="346">
        <v>1407000</v>
      </c>
      <c r="L27" s="347">
        <v>734053</v>
      </c>
      <c r="M27" s="347">
        <v>586081</v>
      </c>
      <c r="N27" s="347">
        <v>198761</v>
      </c>
      <c r="O27" s="346">
        <v>37088</v>
      </c>
      <c r="P27" s="346">
        <v>16682</v>
      </c>
      <c r="Q27" s="346">
        <v>849</v>
      </c>
      <c r="R27" s="346">
        <f>J27+K27+L27+M27+N27+O27+P27+Q27</f>
        <v>8214961</v>
      </c>
      <c r="S27" s="374" t="s">
        <v>976</v>
      </c>
      <c r="T27" s="325">
        <f t="shared" si="6"/>
        <v>502070</v>
      </c>
      <c r="U27" s="364">
        <v>329757</v>
      </c>
      <c r="V27" s="365">
        <f t="shared" si="38"/>
        <v>-1077243</v>
      </c>
      <c r="W27" s="365">
        <f t="shared" si="39"/>
        <v>4.2667782639943956</v>
      </c>
      <c r="X27" s="331"/>
      <c r="Y27" s="351">
        <v>1524685</v>
      </c>
      <c r="Z27" s="351">
        <v>1240341</v>
      </c>
      <c r="AA27" s="351">
        <v>1134652.6399999999</v>
      </c>
      <c r="AB27" s="366">
        <f t="shared" si="47"/>
        <v>0.74418823560276381</v>
      </c>
      <c r="AC27" s="366">
        <f t="shared" si="48"/>
        <v>0.92281356476911625</v>
      </c>
      <c r="AD27" s="367">
        <f t="shared" si="41"/>
        <v>5.9998680653365794E-7</v>
      </c>
      <c r="AF27" s="325">
        <f t="shared" si="4"/>
        <v>117685</v>
      </c>
      <c r="AI27" s="351">
        <v>1524685</v>
      </c>
      <c r="AJ27" s="331">
        <f t="shared" si="50"/>
        <v>117685</v>
      </c>
    </row>
    <row r="28" spans="1:37" ht="51">
      <c r="A28" s="360" t="s">
        <v>73</v>
      </c>
      <c r="B28" s="372" t="s">
        <v>977</v>
      </c>
      <c r="C28" s="362" t="s">
        <v>467</v>
      </c>
      <c r="D28" s="362" t="s">
        <v>527</v>
      </c>
      <c r="E28" s="362"/>
      <c r="F28" s="375"/>
      <c r="G28" s="363">
        <v>37168220.359999999</v>
      </c>
      <c r="H28" s="363">
        <v>0</v>
      </c>
      <c r="I28" s="363">
        <v>37168220.359999999</v>
      </c>
      <c r="J28" s="368">
        <v>26127586</v>
      </c>
      <c r="K28" s="346">
        <v>5371742</v>
      </c>
      <c r="L28" s="347">
        <v>2364380</v>
      </c>
      <c r="M28" s="347">
        <v>2322144</v>
      </c>
      <c r="N28" s="347">
        <v>1484813</v>
      </c>
      <c r="O28" s="346">
        <v>-650695</v>
      </c>
      <c r="P28" s="346">
        <v>70775</v>
      </c>
      <c r="Q28" s="346">
        <v>53208</v>
      </c>
      <c r="R28" s="346">
        <f t="shared" si="3"/>
        <v>37143953</v>
      </c>
      <c r="S28" s="374" t="s">
        <v>978</v>
      </c>
      <c r="T28" s="325">
        <f t="shared" si="6"/>
        <v>24267.359999999404</v>
      </c>
      <c r="U28" s="364">
        <v>3407836</v>
      </c>
      <c r="V28" s="365">
        <f t="shared" si="38"/>
        <v>-1963906</v>
      </c>
      <c r="W28" s="365">
        <f t="shared" si="39"/>
        <v>1.5762912299770293</v>
      </c>
      <c r="X28" s="331"/>
      <c r="Y28" s="351">
        <v>5427502</v>
      </c>
      <c r="Z28" s="351">
        <v>5188171</v>
      </c>
      <c r="AA28" s="351">
        <v>4448070.45</v>
      </c>
      <c r="AB28" s="366">
        <f t="shared" si="47"/>
        <v>0.81954284862538973</v>
      </c>
      <c r="AC28" s="366">
        <f t="shared" si="48"/>
        <v>0.9897263971528707</v>
      </c>
      <c r="AD28" s="367">
        <f t="shared" si="41"/>
        <v>1.5796373107698063E-7</v>
      </c>
      <c r="AF28" s="325">
        <f t="shared" si="4"/>
        <v>55760</v>
      </c>
      <c r="AI28" s="351">
        <v>5427502</v>
      </c>
      <c r="AJ28" s="331">
        <f t="shared" si="50"/>
        <v>55760</v>
      </c>
    </row>
    <row r="29" spans="1:37" ht="51">
      <c r="A29" s="360" t="s">
        <v>486</v>
      </c>
      <c r="B29" s="361" t="s">
        <v>979</v>
      </c>
      <c r="C29" s="362" t="s">
        <v>467</v>
      </c>
      <c r="D29" s="362" t="s">
        <v>527</v>
      </c>
      <c r="E29" s="362"/>
      <c r="F29" s="362"/>
      <c r="G29" s="363">
        <f>G30+G31</f>
        <v>1001495</v>
      </c>
      <c r="H29" s="363">
        <f t="shared" ref="H29:Q29" si="57">H30+H31</f>
        <v>0</v>
      </c>
      <c r="I29" s="363">
        <f>I30+I31</f>
        <v>1001495</v>
      </c>
      <c r="J29" s="363">
        <f t="shared" si="57"/>
        <v>248719.97</v>
      </c>
      <c r="K29" s="363">
        <f t="shared" si="57"/>
        <v>636872</v>
      </c>
      <c r="L29" s="363">
        <f t="shared" si="57"/>
        <v>115903</v>
      </c>
      <c r="M29" s="363">
        <f t="shared" si="57"/>
        <v>0</v>
      </c>
      <c r="N29" s="363">
        <f t="shared" si="57"/>
        <v>0</v>
      </c>
      <c r="O29" s="363">
        <f t="shared" si="57"/>
        <v>0</v>
      </c>
      <c r="P29" s="363">
        <f t="shared" si="57"/>
        <v>0</v>
      </c>
      <c r="Q29" s="363">
        <f t="shared" si="57"/>
        <v>0</v>
      </c>
      <c r="R29" s="346">
        <f t="shared" si="3"/>
        <v>1001494.97</v>
      </c>
      <c r="S29" s="344"/>
      <c r="T29" s="325">
        <f t="shared" si="6"/>
        <v>3.0000000027939677E-2</v>
      </c>
      <c r="U29" s="364">
        <f>SUM(U30:U31)</f>
        <v>476462</v>
      </c>
      <c r="V29" s="365">
        <f t="shared" si="38"/>
        <v>-160410</v>
      </c>
      <c r="W29" s="365">
        <f t="shared" si="39"/>
        <v>1.3366690313183422</v>
      </c>
      <c r="X29" s="331"/>
      <c r="Y29" s="363">
        <f t="shared" ref="Y29:AA29" si="58">Y30+Y31</f>
        <v>636872</v>
      </c>
      <c r="Z29" s="363">
        <f t="shared" si="58"/>
        <v>591865</v>
      </c>
      <c r="AA29" s="363">
        <f t="shared" si="58"/>
        <v>570447.13</v>
      </c>
      <c r="AB29" s="366">
        <f t="shared" si="47"/>
        <v>0.89570138112524966</v>
      </c>
      <c r="AC29" s="366">
        <f t="shared" si="48"/>
        <v>1</v>
      </c>
      <c r="AD29" s="367">
        <f t="shared" si="41"/>
        <v>1.5133541958474477E-6</v>
      </c>
      <c r="AF29" s="325">
        <f t="shared" si="4"/>
        <v>0</v>
      </c>
      <c r="AI29" s="363">
        <f t="shared" ref="AI29" si="59">AI30+AI31</f>
        <v>636872</v>
      </c>
      <c r="AJ29" s="331">
        <f t="shared" si="50"/>
        <v>0</v>
      </c>
    </row>
    <row r="30" spans="1:37" ht="102">
      <c r="A30" s="360" t="s">
        <v>49</v>
      </c>
      <c r="B30" s="372" t="s">
        <v>980</v>
      </c>
      <c r="C30" s="362" t="s">
        <v>467</v>
      </c>
      <c r="D30" s="362" t="s">
        <v>527</v>
      </c>
      <c r="E30" s="362"/>
      <c r="F30" s="373" t="s">
        <v>975</v>
      </c>
      <c r="G30" s="363">
        <v>1001495</v>
      </c>
      <c r="H30" s="363">
        <v>0</v>
      </c>
      <c r="I30" s="363">
        <v>1001495</v>
      </c>
      <c r="J30" s="346">
        <v>248719.97</v>
      </c>
      <c r="K30" s="346">
        <v>636872</v>
      </c>
      <c r="L30" s="347">
        <v>115903</v>
      </c>
      <c r="M30" s="347">
        <v>0</v>
      </c>
      <c r="N30" s="347">
        <v>0</v>
      </c>
      <c r="O30" s="346">
        <v>0</v>
      </c>
      <c r="P30" s="346">
        <v>0</v>
      </c>
      <c r="Q30" s="346">
        <v>0</v>
      </c>
      <c r="R30" s="346">
        <f t="shared" si="3"/>
        <v>1001494.97</v>
      </c>
      <c r="S30" s="344"/>
      <c r="T30" s="325">
        <f t="shared" si="6"/>
        <v>3.0000000027939677E-2</v>
      </c>
      <c r="U30" s="364">
        <v>476462</v>
      </c>
      <c r="V30" s="365">
        <f t="shared" si="38"/>
        <v>-160410</v>
      </c>
      <c r="W30" s="365">
        <f t="shared" si="39"/>
        <v>1.3366690313183422</v>
      </c>
      <c r="X30" s="331"/>
      <c r="Y30" s="351">
        <v>636872</v>
      </c>
      <c r="Z30" s="351">
        <v>591865</v>
      </c>
      <c r="AA30" s="351">
        <v>570447.13</v>
      </c>
      <c r="AB30" s="366">
        <f t="shared" si="47"/>
        <v>0.89570138112524966</v>
      </c>
      <c r="AC30" s="366">
        <f t="shared" si="48"/>
        <v>1</v>
      </c>
      <c r="AD30" s="367">
        <f t="shared" si="41"/>
        <v>1.5133541958474477E-6</v>
      </c>
      <c r="AF30" s="325">
        <f t="shared" si="4"/>
        <v>0</v>
      </c>
      <c r="AI30" s="351">
        <v>636872</v>
      </c>
      <c r="AJ30" s="331">
        <f t="shared" si="50"/>
        <v>0</v>
      </c>
    </row>
    <row r="31" spans="1:37" ht="63.75">
      <c r="A31" s="360" t="s">
        <v>50</v>
      </c>
      <c r="B31" s="372" t="s">
        <v>981</v>
      </c>
      <c r="C31" s="362" t="s">
        <v>467</v>
      </c>
      <c r="D31" s="362" t="s">
        <v>527</v>
      </c>
      <c r="E31" s="362"/>
      <c r="F31" s="373" t="s">
        <v>975</v>
      </c>
      <c r="G31" s="363">
        <v>0</v>
      </c>
      <c r="H31" s="363">
        <v>0</v>
      </c>
      <c r="I31" s="363">
        <v>0</v>
      </c>
      <c r="J31" s="346">
        <v>0</v>
      </c>
      <c r="K31" s="346">
        <v>0</v>
      </c>
      <c r="L31" s="347">
        <v>0</v>
      </c>
      <c r="M31" s="347">
        <v>0</v>
      </c>
      <c r="N31" s="347">
        <v>0</v>
      </c>
      <c r="O31" s="346">
        <v>0</v>
      </c>
      <c r="P31" s="346">
        <v>0</v>
      </c>
      <c r="Q31" s="346">
        <v>0</v>
      </c>
      <c r="R31" s="346">
        <f t="shared" si="3"/>
        <v>0</v>
      </c>
      <c r="S31" s="344"/>
      <c r="T31" s="325">
        <f t="shared" si="6"/>
        <v>0</v>
      </c>
      <c r="U31" s="364">
        <v>0</v>
      </c>
      <c r="V31" s="365">
        <f t="shared" si="38"/>
        <v>0</v>
      </c>
      <c r="W31" s="365" t="e">
        <f t="shared" si="39"/>
        <v>#DIV/0!</v>
      </c>
      <c r="X31" s="331"/>
      <c r="Y31" s="351">
        <v>0</v>
      </c>
      <c r="Z31" s="351">
        <v>0</v>
      </c>
      <c r="AA31" s="351">
        <v>0</v>
      </c>
      <c r="AB31" s="366" t="e">
        <f t="shared" si="47"/>
        <v>#DIV/0!</v>
      </c>
      <c r="AC31" s="366" t="e">
        <f t="shared" si="48"/>
        <v>#DIV/0!</v>
      </c>
      <c r="AD31" s="367" t="e">
        <f t="shared" si="41"/>
        <v>#DIV/0!</v>
      </c>
      <c r="AF31" s="325">
        <f t="shared" si="4"/>
        <v>0</v>
      </c>
      <c r="AI31" s="351">
        <v>0</v>
      </c>
      <c r="AJ31" s="331">
        <f t="shared" si="50"/>
        <v>0</v>
      </c>
    </row>
    <row r="32" spans="1:37" ht="25.5">
      <c r="A32" s="321" t="s">
        <v>490</v>
      </c>
      <c r="B32" s="359" t="s">
        <v>982</v>
      </c>
      <c r="C32" s="341" t="s">
        <v>467</v>
      </c>
      <c r="D32" s="341" t="s">
        <v>527</v>
      </c>
      <c r="E32" s="341"/>
      <c r="F32" s="341"/>
      <c r="G32" s="370">
        <f>G33+G43</f>
        <v>102661491.78</v>
      </c>
      <c r="H32" s="370">
        <f t="shared" ref="H32:Q32" si="60">H33+H43</f>
        <v>7300000</v>
      </c>
      <c r="I32" s="370">
        <f t="shared" si="60"/>
        <v>109961491.78</v>
      </c>
      <c r="J32" s="370">
        <f t="shared" si="60"/>
        <v>70177741.530000001</v>
      </c>
      <c r="K32" s="370">
        <f t="shared" si="60"/>
        <v>16800641</v>
      </c>
      <c r="L32" s="370">
        <f t="shared" si="60"/>
        <v>11480568</v>
      </c>
      <c r="M32" s="370">
        <f t="shared" si="60"/>
        <v>565561</v>
      </c>
      <c r="N32" s="370">
        <f t="shared" si="60"/>
        <v>138939</v>
      </c>
      <c r="O32" s="370">
        <f t="shared" si="60"/>
        <v>3616694</v>
      </c>
      <c r="P32" s="370">
        <f t="shared" si="60"/>
        <v>5224837</v>
      </c>
      <c r="Q32" s="370">
        <f t="shared" si="60"/>
        <v>2124356</v>
      </c>
      <c r="R32" s="323">
        <f t="shared" si="3"/>
        <v>110129337.53</v>
      </c>
      <c r="S32" s="344"/>
      <c r="T32" s="325">
        <f t="shared" si="6"/>
        <v>-167845.75</v>
      </c>
      <c r="U32" s="326">
        <f>U33+U43</f>
        <v>18142704</v>
      </c>
      <c r="V32" s="326">
        <f t="shared" si="38"/>
        <v>1342063</v>
      </c>
      <c r="W32" s="326">
        <f t="shared" si="39"/>
        <v>0.92602739922340127</v>
      </c>
      <c r="X32" s="331"/>
      <c r="Y32" s="370">
        <f t="shared" ref="Y32:AA32" si="61">Y33+Y43</f>
        <v>18686837</v>
      </c>
      <c r="Z32" s="370">
        <f t="shared" si="61"/>
        <v>14161691</v>
      </c>
      <c r="AA32" s="370">
        <f t="shared" si="61"/>
        <v>12676747.119999999</v>
      </c>
      <c r="AB32" s="345">
        <f t="shared" si="47"/>
        <v>0.67837842862331377</v>
      </c>
      <c r="AC32" s="345">
        <f t="shared" si="48"/>
        <v>0.89906285370820116</v>
      </c>
      <c r="AD32" s="342">
        <f t="shared" si="41"/>
        <v>4.7902360574264314E-8</v>
      </c>
      <c r="AF32" s="325">
        <f t="shared" si="4"/>
        <v>1886196</v>
      </c>
      <c r="AI32" s="370">
        <f t="shared" ref="AI32" si="62">AI33+AI43</f>
        <v>18686837</v>
      </c>
      <c r="AJ32" s="331">
        <f t="shared" si="50"/>
        <v>1886196</v>
      </c>
    </row>
    <row r="33" spans="1:37" ht="63.75">
      <c r="A33" s="321" t="s">
        <v>492</v>
      </c>
      <c r="B33" s="359" t="s">
        <v>983</v>
      </c>
      <c r="C33" s="341" t="s">
        <v>467</v>
      </c>
      <c r="D33" s="341" t="s">
        <v>527</v>
      </c>
      <c r="E33" s="341"/>
      <c r="F33" s="341"/>
      <c r="G33" s="370">
        <f>G34+G39</f>
        <v>66176803</v>
      </c>
      <c r="H33" s="370">
        <f t="shared" ref="H33:Q33" si="63">H34+H39</f>
        <v>4300000</v>
      </c>
      <c r="I33" s="370">
        <f t="shared" si="63"/>
        <v>70476803</v>
      </c>
      <c r="J33" s="370">
        <f t="shared" si="63"/>
        <v>42576995.329999998</v>
      </c>
      <c r="K33" s="370">
        <f t="shared" si="63"/>
        <v>12582775</v>
      </c>
      <c r="L33" s="370">
        <f t="shared" si="63"/>
        <v>7943651</v>
      </c>
      <c r="M33" s="370">
        <f t="shared" si="63"/>
        <v>17530</v>
      </c>
      <c r="N33" s="370">
        <f t="shared" si="63"/>
        <v>0</v>
      </c>
      <c r="O33" s="370">
        <f t="shared" si="63"/>
        <v>2505305</v>
      </c>
      <c r="P33" s="370">
        <f t="shared" si="63"/>
        <v>3417796</v>
      </c>
      <c r="Q33" s="370">
        <f t="shared" si="63"/>
        <v>1604356</v>
      </c>
      <c r="R33" s="323">
        <f t="shared" si="3"/>
        <v>70648408.329999998</v>
      </c>
      <c r="S33" s="344"/>
      <c r="T33" s="325">
        <f t="shared" si="6"/>
        <v>-171605.32999999821</v>
      </c>
      <c r="U33" s="326">
        <f>U34+U39</f>
        <v>13174503</v>
      </c>
      <c r="V33" s="326">
        <f t="shared" si="38"/>
        <v>591728</v>
      </c>
      <c r="W33" s="326">
        <f t="shared" si="39"/>
        <v>0.95508536451052461</v>
      </c>
      <c r="X33" s="331"/>
      <c r="Y33" s="370">
        <f>Y34+Y39</f>
        <v>13191748</v>
      </c>
      <c r="Z33" s="370">
        <f t="shared" ref="Z33:AA33" si="64">Z34+Z39</f>
        <v>10332132</v>
      </c>
      <c r="AA33" s="370">
        <f t="shared" si="64"/>
        <v>9179319.9499999993</v>
      </c>
      <c r="AB33" s="345">
        <f t="shared" si="47"/>
        <v>0.69583803071435257</v>
      </c>
      <c r="AC33" s="345">
        <f t="shared" si="48"/>
        <v>0.95383682283803484</v>
      </c>
      <c r="AD33" s="342">
        <f t="shared" si="41"/>
        <v>6.734699389384036E-8</v>
      </c>
      <c r="AF33" s="325">
        <f t="shared" si="4"/>
        <v>608973</v>
      </c>
      <c r="AI33" s="370">
        <f>AI34+AI39</f>
        <v>13191748</v>
      </c>
      <c r="AJ33" s="331">
        <f t="shared" si="50"/>
        <v>608973</v>
      </c>
    </row>
    <row r="34" spans="1:37" ht="89.25">
      <c r="A34" s="360" t="s">
        <v>494</v>
      </c>
      <c r="B34" s="361" t="s">
        <v>984</v>
      </c>
      <c r="C34" s="362" t="s">
        <v>467</v>
      </c>
      <c r="D34" s="362" t="s">
        <v>527</v>
      </c>
      <c r="E34" s="362"/>
      <c r="F34" s="362"/>
      <c r="G34" s="363">
        <f>G35+G36+G37+G38</f>
        <v>46171801</v>
      </c>
      <c r="H34" s="363">
        <f t="shared" ref="H34:Q34" si="65">H35+H36+H37+H38</f>
        <v>4300000</v>
      </c>
      <c r="I34" s="363">
        <f t="shared" si="65"/>
        <v>50471801</v>
      </c>
      <c r="J34" s="363">
        <f>J35+J36+J37+J38</f>
        <v>24872120.280000001</v>
      </c>
      <c r="K34" s="363">
        <f t="shared" si="65"/>
        <v>11356397</v>
      </c>
      <c r="L34" s="363">
        <f t="shared" si="65"/>
        <v>6885611</v>
      </c>
      <c r="M34" s="363">
        <f t="shared" si="65"/>
        <v>17530</v>
      </c>
      <c r="N34" s="363">
        <f t="shared" si="65"/>
        <v>0</v>
      </c>
      <c r="O34" s="363">
        <f t="shared" si="65"/>
        <v>2474570</v>
      </c>
      <c r="P34" s="363">
        <f t="shared" si="65"/>
        <v>3417796</v>
      </c>
      <c r="Q34" s="363">
        <f t="shared" si="65"/>
        <v>1604356</v>
      </c>
      <c r="R34" s="346">
        <f>J34+K34+L34+M34+N34+O34+P34+Q34</f>
        <v>50628380.280000001</v>
      </c>
      <c r="S34" s="344"/>
      <c r="T34" s="325">
        <f>I34-R34</f>
        <v>-156579.28000000119</v>
      </c>
      <c r="U34" s="364">
        <f>SUM(U35:U38)</f>
        <v>11739324</v>
      </c>
      <c r="V34" s="365">
        <f t="shared" si="38"/>
        <v>382927</v>
      </c>
      <c r="W34" s="365">
        <f t="shared" si="39"/>
        <v>0.96738083044645495</v>
      </c>
      <c r="X34" s="331"/>
      <c r="Y34" s="363">
        <f>Y35+Y36+Y37+Y38</f>
        <v>11727569</v>
      </c>
      <c r="Z34" s="363">
        <f t="shared" ref="Z34:AA34" si="66">Z35+Z36+Z37+Z38</f>
        <v>9174426</v>
      </c>
      <c r="AA34" s="363">
        <f t="shared" si="66"/>
        <v>8083885.8799999999</v>
      </c>
      <c r="AB34" s="366">
        <f t="shared" si="47"/>
        <v>0.68930618783824682</v>
      </c>
      <c r="AC34" s="366">
        <f t="shared" si="48"/>
        <v>0.96835047399849017</v>
      </c>
      <c r="AD34" s="367">
        <f t="shared" si="41"/>
        <v>7.5133440265172647E-8</v>
      </c>
      <c r="AF34" s="325">
        <f t="shared" si="4"/>
        <v>371172</v>
      </c>
      <c r="AI34" s="363">
        <f>AI35+AI36+AI37+AI38</f>
        <v>11727569</v>
      </c>
      <c r="AJ34" s="331">
        <f t="shared" si="50"/>
        <v>371172</v>
      </c>
    </row>
    <row r="35" spans="1:37" ht="140.25">
      <c r="A35" s="360" t="s">
        <v>51</v>
      </c>
      <c r="B35" s="372" t="s">
        <v>985</v>
      </c>
      <c r="C35" s="362" t="s">
        <v>467</v>
      </c>
      <c r="D35" s="362" t="s">
        <v>527</v>
      </c>
      <c r="E35" s="362"/>
      <c r="F35" s="362" t="s">
        <v>986</v>
      </c>
      <c r="G35" s="376">
        <v>2393420</v>
      </c>
      <c r="H35" s="376">
        <v>0</v>
      </c>
      <c r="I35" s="376">
        <v>2393420</v>
      </c>
      <c r="J35" s="346">
        <v>346476.51</v>
      </c>
      <c r="K35" s="346">
        <v>656969</v>
      </c>
      <c r="L35" s="347">
        <v>1546553</v>
      </c>
      <c r="M35" s="347">
        <v>0</v>
      </c>
      <c r="N35" s="347">
        <v>0</v>
      </c>
      <c r="O35" s="346">
        <v>0</v>
      </c>
      <c r="P35" s="346">
        <v>0</v>
      </c>
      <c r="Q35" s="346">
        <v>0</v>
      </c>
      <c r="R35" s="346">
        <f t="shared" si="3"/>
        <v>2549998.5099999998</v>
      </c>
      <c r="S35" s="377" t="s">
        <v>987</v>
      </c>
      <c r="T35" s="325">
        <f t="shared" si="6"/>
        <v>-156578.50999999978</v>
      </c>
      <c r="U35" s="364">
        <v>1251969</v>
      </c>
      <c r="V35" s="365">
        <f t="shared" si="38"/>
        <v>595000</v>
      </c>
      <c r="W35" s="365">
        <f t="shared" si="39"/>
        <v>0.52474861598010814</v>
      </c>
      <c r="X35" s="331"/>
      <c r="Y35" s="351">
        <v>656969</v>
      </c>
      <c r="Z35" s="351">
        <v>517621</v>
      </c>
      <c r="AA35" s="351">
        <v>336651.2</v>
      </c>
      <c r="AB35" s="366">
        <f t="shared" si="47"/>
        <v>0.5124308757338627</v>
      </c>
      <c r="AC35" s="366">
        <f t="shared" si="48"/>
        <v>1</v>
      </c>
      <c r="AD35" s="367">
        <f t="shared" si="41"/>
        <v>9.8997311881446596E-7</v>
      </c>
      <c r="AF35" s="325">
        <f t="shared" si="4"/>
        <v>0</v>
      </c>
      <c r="AI35" s="351">
        <v>656969</v>
      </c>
      <c r="AJ35" s="331">
        <f t="shared" si="50"/>
        <v>0</v>
      </c>
    </row>
    <row r="36" spans="1:37" ht="76.5">
      <c r="A36" s="360" t="s">
        <v>52</v>
      </c>
      <c r="B36" s="372" t="s">
        <v>988</v>
      </c>
      <c r="C36" s="362" t="s">
        <v>467</v>
      </c>
      <c r="D36" s="362" t="s">
        <v>527</v>
      </c>
      <c r="E36" s="362" t="s">
        <v>989</v>
      </c>
      <c r="F36" s="362" t="s">
        <v>990</v>
      </c>
      <c r="G36" s="376">
        <v>6382398</v>
      </c>
      <c r="H36" s="376">
        <v>0</v>
      </c>
      <c r="I36" s="376">
        <v>6382398</v>
      </c>
      <c r="J36" s="346">
        <v>3720423.38</v>
      </c>
      <c r="K36" s="346">
        <v>1682488</v>
      </c>
      <c r="L36" s="347">
        <v>909171</v>
      </c>
      <c r="M36" s="347">
        <v>17530</v>
      </c>
      <c r="N36" s="347">
        <v>0</v>
      </c>
      <c r="O36" s="346">
        <v>52786</v>
      </c>
      <c r="P36" s="346">
        <v>0</v>
      </c>
      <c r="Q36" s="346">
        <v>0</v>
      </c>
      <c r="R36" s="346">
        <f t="shared" si="3"/>
        <v>6382398.3799999999</v>
      </c>
      <c r="S36" s="344"/>
      <c r="T36" s="325">
        <f t="shared" si="6"/>
        <v>-0.37999999988824129</v>
      </c>
      <c r="U36" s="364">
        <v>1623283</v>
      </c>
      <c r="V36" s="365">
        <f t="shared" si="38"/>
        <v>-59205</v>
      </c>
      <c r="W36" s="365">
        <f t="shared" si="39"/>
        <v>1.0364723834352976</v>
      </c>
      <c r="X36" s="331"/>
      <c r="Y36" s="351">
        <v>2048842</v>
      </c>
      <c r="Z36" s="351">
        <v>1878794</v>
      </c>
      <c r="AA36" s="351">
        <v>1388494.89</v>
      </c>
      <c r="AB36" s="366">
        <f t="shared" si="47"/>
        <v>0.67769739687101294</v>
      </c>
      <c r="AC36" s="366">
        <f t="shared" si="48"/>
        <v>0.82118972570847337</v>
      </c>
      <c r="AD36" s="367">
        <f t="shared" si="41"/>
        <v>3.6070872957387181E-7</v>
      </c>
      <c r="AF36" s="325">
        <f t="shared" si="4"/>
        <v>366354</v>
      </c>
      <c r="AI36" s="351">
        <f>2048842-205481</f>
        <v>1843361</v>
      </c>
      <c r="AJ36" s="331">
        <f t="shared" si="50"/>
        <v>160873</v>
      </c>
    </row>
    <row r="37" spans="1:37" ht="102">
      <c r="A37" s="360" t="s">
        <v>53</v>
      </c>
      <c r="B37" s="372" t="s">
        <v>991</v>
      </c>
      <c r="C37" s="362" t="s">
        <v>467</v>
      </c>
      <c r="D37" s="362" t="s">
        <v>527</v>
      </c>
      <c r="E37" s="362"/>
      <c r="F37" s="362" t="s">
        <v>992</v>
      </c>
      <c r="G37" s="376">
        <v>11564421</v>
      </c>
      <c r="H37" s="376">
        <v>509500</v>
      </c>
      <c r="I37" s="376">
        <v>12073921</v>
      </c>
      <c r="J37" s="346">
        <v>4377281.32</v>
      </c>
      <c r="K37" s="346">
        <v>2758925</v>
      </c>
      <c r="L37" s="347">
        <v>1032279</v>
      </c>
      <c r="M37" s="347">
        <v>0</v>
      </c>
      <c r="N37" s="347">
        <v>0</v>
      </c>
      <c r="O37" s="346">
        <v>872721</v>
      </c>
      <c r="P37" s="346">
        <v>2020000</v>
      </c>
      <c r="Q37" s="346">
        <v>1012715</v>
      </c>
      <c r="R37" s="346">
        <f t="shared" si="3"/>
        <v>12073921.32</v>
      </c>
      <c r="S37" s="344"/>
      <c r="T37" s="325">
        <f t="shared" si="6"/>
        <v>-0.32000000029802322</v>
      </c>
      <c r="U37" s="364">
        <v>2764908</v>
      </c>
      <c r="V37" s="365">
        <f t="shared" si="38"/>
        <v>5983</v>
      </c>
      <c r="W37" s="365">
        <f t="shared" si="39"/>
        <v>0.99783609436552678</v>
      </c>
      <c r="X37" s="331"/>
      <c r="Y37" s="351">
        <v>2918994</v>
      </c>
      <c r="Z37" s="351">
        <v>2177981</v>
      </c>
      <c r="AA37" s="351">
        <v>1867105.03</v>
      </c>
      <c r="AB37" s="366">
        <f t="shared" si="47"/>
        <v>0.63963989991072268</v>
      </c>
      <c r="AC37" s="366">
        <f t="shared" si="48"/>
        <v>0.94516295682690676</v>
      </c>
      <c r="AD37" s="367">
        <f t="shared" si="41"/>
        <v>2.9368479335252356E-7</v>
      </c>
      <c r="AF37" s="325">
        <f t="shared" si="4"/>
        <v>160069</v>
      </c>
      <c r="AG37" s="305">
        <v>160069</v>
      </c>
      <c r="AI37" s="351">
        <v>2918994</v>
      </c>
      <c r="AJ37" s="331">
        <f t="shared" si="50"/>
        <v>160069</v>
      </c>
      <c r="AK37" s="305">
        <v>160069</v>
      </c>
    </row>
    <row r="38" spans="1:37" ht="63.75">
      <c r="A38" s="360" t="s">
        <v>54</v>
      </c>
      <c r="B38" s="372" t="s">
        <v>993</v>
      </c>
      <c r="C38" s="362" t="s">
        <v>467</v>
      </c>
      <c r="D38" s="362" t="s">
        <v>527</v>
      </c>
      <c r="E38" s="362"/>
      <c r="F38" s="362" t="s">
        <v>967</v>
      </c>
      <c r="G38" s="376">
        <v>25831562</v>
      </c>
      <c r="H38" s="376">
        <v>3790500</v>
      </c>
      <c r="I38" s="376">
        <v>29622062</v>
      </c>
      <c r="J38" s="346">
        <v>16427939.07</v>
      </c>
      <c r="K38" s="346">
        <v>6258015</v>
      </c>
      <c r="L38" s="347">
        <v>3397608</v>
      </c>
      <c r="M38" s="347">
        <v>0</v>
      </c>
      <c r="N38" s="347">
        <v>0</v>
      </c>
      <c r="O38" s="346">
        <v>1549063</v>
      </c>
      <c r="P38" s="346">
        <v>1397796</v>
      </c>
      <c r="Q38" s="346">
        <v>591641</v>
      </c>
      <c r="R38" s="346">
        <f t="shared" si="3"/>
        <v>29622062.07</v>
      </c>
      <c r="S38" s="344"/>
      <c r="T38" s="325">
        <f t="shared" si="6"/>
        <v>-7.0000000298023224E-2</v>
      </c>
      <c r="U38" s="364">
        <v>6099164</v>
      </c>
      <c r="V38" s="365">
        <f t="shared" si="38"/>
        <v>-158851</v>
      </c>
      <c r="W38" s="365">
        <f t="shared" si="39"/>
        <v>1.0260447169480933</v>
      </c>
      <c r="X38" s="331"/>
      <c r="Y38" s="351">
        <v>6102764</v>
      </c>
      <c r="Z38" s="351">
        <v>4600030</v>
      </c>
      <c r="AA38" s="351">
        <v>4491634.76</v>
      </c>
      <c r="AB38" s="366">
        <f t="shared" si="47"/>
        <v>0.73600007472024143</v>
      </c>
      <c r="AC38" s="366">
        <f t="shared" si="48"/>
        <v>1.0254394566134295</v>
      </c>
      <c r="AD38" s="367">
        <f t="shared" si="41"/>
        <v>1.5999897277196919E-7</v>
      </c>
      <c r="AF38" s="325">
        <f t="shared" si="4"/>
        <v>-155251</v>
      </c>
      <c r="AI38" s="351">
        <f>6102764+205481</f>
        <v>6308245</v>
      </c>
      <c r="AJ38" s="331">
        <f t="shared" si="50"/>
        <v>50230</v>
      </c>
    </row>
    <row r="39" spans="1:37" ht="38.25">
      <c r="A39" s="360" t="s">
        <v>500</v>
      </c>
      <c r="B39" s="361" t="s">
        <v>994</v>
      </c>
      <c r="C39" s="362" t="s">
        <v>467</v>
      </c>
      <c r="D39" s="362" t="s">
        <v>527</v>
      </c>
      <c r="E39" s="362"/>
      <c r="F39" s="362"/>
      <c r="G39" s="363">
        <f>G40+G41+G42</f>
        <v>20005002</v>
      </c>
      <c r="H39" s="363">
        <f t="shared" ref="H39:Q39" si="67">H40+H41+H42</f>
        <v>0</v>
      </c>
      <c r="I39" s="363">
        <f t="shared" si="67"/>
        <v>20005002</v>
      </c>
      <c r="J39" s="363">
        <f t="shared" si="67"/>
        <v>17704875.050000001</v>
      </c>
      <c r="K39" s="363">
        <f t="shared" si="67"/>
        <v>1226378</v>
      </c>
      <c r="L39" s="363">
        <f t="shared" si="67"/>
        <v>1058040</v>
      </c>
      <c r="M39" s="363">
        <f t="shared" si="67"/>
        <v>0</v>
      </c>
      <c r="N39" s="363">
        <f t="shared" si="67"/>
        <v>0</v>
      </c>
      <c r="O39" s="363">
        <f t="shared" si="67"/>
        <v>30735</v>
      </c>
      <c r="P39" s="363">
        <f t="shared" si="67"/>
        <v>0</v>
      </c>
      <c r="Q39" s="363">
        <f t="shared" si="67"/>
        <v>0</v>
      </c>
      <c r="R39" s="346">
        <f t="shared" si="3"/>
        <v>20020028.050000001</v>
      </c>
      <c r="S39" s="344"/>
      <c r="T39" s="325">
        <f t="shared" si="6"/>
        <v>-15026.050000000745</v>
      </c>
      <c r="U39" s="364">
        <f>SUM(U40:U42)</f>
        <v>1435179</v>
      </c>
      <c r="V39" s="365">
        <f t="shared" si="38"/>
        <v>208801</v>
      </c>
      <c r="W39" s="365">
        <f t="shared" si="39"/>
        <v>0.85451222460752285</v>
      </c>
      <c r="X39" s="331"/>
      <c r="Y39" s="363">
        <f>Y40+Y41+Y42</f>
        <v>1464179</v>
      </c>
      <c r="Z39" s="363">
        <f t="shared" ref="Z39:AA39" si="68">Z40+Z41+Z42</f>
        <v>1157706</v>
      </c>
      <c r="AA39" s="363">
        <f t="shared" si="68"/>
        <v>1095434.0699999998</v>
      </c>
      <c r="AB39" s="366">
        <f t="shared" si="47"/>
        <v>0.74815584023538095</v>
      </c>
      <c r="AC39" s="366">
        <f t="shared" si="48"/>
        <v>0.83758748076567135</v>
      </c>
      <c r="AD39" s="367">
        <f t="shared" si="41"/>
        <v>6.4623992640219617E-7</v>
      </c>
      <c r="AF39" s="325">
        <f t="shared" si="4"/>
        <v>237801</v>
      </c>
      <c r="AI39" s="363">
        <f>AI40+AI41+AI42</f>
        <v>1464179</v>
      </c>
      <c r="AJ39" s="331">
        <f t="shared" si="50"/>
        <v>237801</v>
      </c>
    </row>
    <row r="40" spans="1:37" ht="114.75">
      <c r="A40" s="360" t="s">
        <v>55</v>
      </c>
      <c r="B40" s="372" t="s">
        <v>995</v>
      </c>
      <c r="C40" s="362" t="s">
        <v>467</v>
      </c>
      <c r="D40" s="362" t="s">
        <v>527</v>
      </c>
      <c r="E40" s="362"/>
      <c r="F40" s="362" t="s">
        <v>967</v>
      </c>
      <c r="G40" s="376">
        <v>4945607</v>
      </c>
      <c r="H40" s="363">
        <v>0</v>
      </c>
      <c r="I40" s="376">
        <v>4945607</v>
      </c>
      <c r="J40" s="368">
        <v>5177643</v>
      </c>
      <c r="K40" s="346">
        <v>11737</v>
      </c>
      <c r="L40" s="347">
        <v>0</v>
      </c>
      <c r="M40" s="347">
        <v>0</v>
      </c>
      <c r="N40" s="347">
        <v>0</v>
      </c>
      <c r="O40" s="346">
        <v>0</v>
      </c>
      <c r="P40" s="346">
        <v>0</v>
      </c>
      <c r="Q40" s="346">
        <v>0</v>
      </c>
      <c r="R40" s="346">
        <f t="shared" si="3"/>
        <v>5189380</v>
      </c>
      <c r="S40" s="344" t="s">
        <v>996</v>
      </c>
      <c r="T40" s="325">
        <f t="shared" si="6"/>
        <v>-243773</v>
      </c>
      <c r="U40" s="364">
        <v>11737</v>
      </c>
      <c r="V40" s="365">
        <f t="shared" si="38"/>
        <v>0</v>
      </c>
      <c r="W40" s="365">
        <f t="shared" si="39"/>
        <v>1</v>
      </c>
      <c r="X40" s="331"/>
      <c r="Y40" s="351">
        <v>11737</v>
      </c>
      <c r="Z40" s="351">
        <v>11737</v>
      </c>
      <c r="AA40" s="351">
        <v>11736.43</v>
      </c>
      <c r="AB40" s="366">
        <f t="shared" si="47"/>
        <v>0.99995143563091082</v>
      </c>
      <c r="AC40" s="366">
        <f t="shared" si="48"/>
        <v>1</v>
      </c>
      <c r="AD40" s="367">
        <f t="shared" si="41"/>
        <v>8.5196509809228147E-5</v>
      </c>
      <c r="AF40" s="325">
        <f t="shared" si="4"/>
        <v>0</v>
      </c>
      <c r="AI40" s="351">
        <v>11737</v>
      </c>
      <c r="AJ40" s="331">
        <f t="shared" si="50"/>
        <v>0</v>
      </c>
    </row>
    <row r="41" spans="1:37" ht="76.5">
      <c r="A41" s="360" t="s">
        <v>56</v>
      </c>
      <c r="B41" s="372" t="s">
        <v>997</v>
      </c>
      <c r="C41" s="362" t="s">
        <v>467</v>
      </c>
      <c r="D41" s="362" t="s">
        <v>527</v>
      </c>
      <c r="E41" s="362"/>
      <c r="F41" s="362" t="s">
        <v>967</v>
      </c>
      <c r="G41" s="376">
        <v>11135931</v>
      </c>
      <c r="H41" s="363">
        <v>0</v>
      </c>
      <c r="I41" s="376">
        <v>11135931</v>
      </c>
      <c r="J41" s="346">
        <v>10884847.24</v>
      </c>
      <c r="K41" s="346">
        <v>22337</v>
      </c>
      <c r="L41" s="347">
        <v>0</v>
      </c>
      <c r="M41" s="347">
        <v>0</v>
      </c>
      <c r="N41" s="347">
        <v>0</v>
      </c>
      <c r="O41" s="346">
        <v>0</v>
      </c>
      <c r="P41" s="346">
        <v>0</v>
      </c>
      <c r="Q41" s="346">
        <v>0</v>
      </c>
      <c r="R41" s="346">
        <f t="shared" si="3"/>
        <v>10907184.24</v>
      </c>
      <c r="S41" s="344" t="s">
        <v>998</v>
      </c>
      <c r="T41" s="325">
        <f t="shared" si="6"/>
        <v>228746.75999999978</v>
      </c>
      <c r="U41" s="364">
        <v>161534</v>
      </c>
      <c r="V41" s="365">
        <f t="shared" si="38"/>
        <v>139197</v>
      </c>
      <c r="W41" s="365">
        <f t="shared" si="39"/>
        <v>0.13828048584198993</v>
      </c>
      <c r="X41" s="331"/>
      <c r="Y41" s="351">
        <v>161534</v>
      </c>
      <c r="Z41" s="351">
        <v>22338</v>
      </c>
      <c r="AA41" s="351">
        <v>22336.94</v>
      </c>
      <c r="AB41" s="366">
        <f t="shared" si="47"/>
        <v>0.13828011440315971</v>
      </c>
      <c r="AC41" s="366">
        <f t="shared" si="48"/>
        <v>0.13828048584198993</v>
      </c>
      <c r="AD41" s="367">
        <f t="shared" si="41"/>
        <v>6.1903534068922779E-6</v>
      </c>
      <c r="AF41" s="325">
        <f t="shared" si="4"/>
        <v>139197</v>
      </c>
      <c r="AI41" s="351">
        <v>161534</v>
      </c>
      <c r="AJ41" s="331">
        <f t="shared" si="50"/>
        <v>139197</v>
      </c>
    </row>
    <row r="42" spans="1:37" ht="76.5">
      <c r="A42" s="360" t="s">
        <v>57</v>
      </c>
      <c r="B42" s="372" t="s">
        <v>999</v>
      </c>
      <c r="C42" s="362" t="s">
        <v>467</v>
      </c>
      <c r="D42" s="362" t="s">
        <v>527</v>
      </c>
      <c r="E42" s="362"/>
      <c r="F42" s="362" t="s">
        <v>967</v>
      </c>
      <c r="G42" s="376">
        <v>3923464</v>
      </c>
      <c r="H42" s="363">
        <v>0</v>
      </c>
      <c r="I42" s="376">
        <v>3923464</v>
      </c>
      <c r="J42" s="346">
        <v>1642384.81</v>
      </c>
      <c r="K42" s="346">
        <v>1192304</v>
      </c>
      <c r="L42" s="347">
        <v>1058040</v>
      </c>
      <c r="M42" s="347">
        <v>0</v>
      </c>
      <c r="N42" s="347">
        <v>0</v>
      </c>
      <c r="O42" s="346">
        <v>30735</v>
      </c>
      <c r="P42" s="346">
        <v>0</v>
      </c>
      <c r="Q42" s="346">
        <v>0</v>
      </c>
      <c r="R42" s="346">
        <f t="shared" si="3"/>
        <v>3923463.81</v>
      </c>
      <c r="S42" s="344"/>
      <c r="T42" s="325">
        <f t="shared" si="6"/>
        <v>0.18999999994412065</v>
      </c>
      <c r="U42" s="364">
        <v>1261908</v>
      </c>
      <c r="V42" s="365">
        <f t="shared" si="38"/>
        <v>69604</v>
      </c>
      <c r="W42" s="365">
        <f t="shared" si="39"/>
        <v>0.94484225474440287</v>
      </c>
      <c r="X42" s="331"/>
      <c r="Y42" s="351">
        <v>1290908</v>
      </c>
      <c r="Z42" s="351">
        <v>1123631</v>
      </c>
      <c r="AA42" s="351">
        <v>1061360.7</v>
      </c>
      <c r="AB42" s="366">
        <f t="shared" si="47"/>
        <v>0.82218151874494538</v>
      </c>
      <c r="AC42" s="366">
        <f t="shared" si="48"/>
        <v>0.92361655516891983</v>
      </c>
      <c r="AD42" s="367">
        <f t="shared" si="41"/>
        <v>7.3171843669758614E-7</v>
      </c>
      <c r="AF42" s="325">
        <f t="shared" si="4"/>
        <v>98604</v>
      </c>
      <c r="AI42" s="351">
        <v>1290908</v>
      </c>
      <c r="AJ42" s="331">
        <f t="shared" si="50"/>
        <v>98604</v>
      </c>
    </row>
    <row r="43" spans="1:37" ht="140.25">
      <c r="A43" s="321" t="s">
        <v>506</v>
      </c>
      <c r="B43" s="359" t="s">
        <v>1000</v>
      </c>
      <c r="C43" s="341" t="s">
        <v>467</v>
      </c>
      <c r="D43" s="341" t="s">
        <v>527</v>
      </c>
      <c r="E43" s="341"/>
      <c r="F43" s="341"/>
      <c r="G43" s="370">
        <f>G44+G49+G52+G55</f>
        <v>36484688.780000001</v>
      </c>
      <c r="H43" s="370">
        <f>H44+H49+H52+H55</f>
        <v>3000000</v>
      </c>
      <c r="I43" s="370">
        <f t="shared" ref="I43:Q43" si="69">I44+I49+I52+I55</f>
        <v>39484688.780000001</v>
      </c>
      <c r="J43" s="370">
        <f t="shared" si="69"/>
        <v>27600746.199999999</v>
      </c>
      <c r="K43" s="370">
        <f t="shared" si="69"/>
        <v>4217866</v>
      </c>
      <c r="L43" s="370">
        <f t="shared" si="69"/>
        <v>3536917</v>
      </c>
      <c r="M43" s="370">
        <f t="shared" si="69"/>
        <v>548031</v>
      </c>
      <c r="N43" s="370">
        <f t="shared" si="69"/>
        <v>138939</v>
      </c>
      <c r="O43" s="370">
        <f t="shared" si="69"/>
        <v>1111389</v>
      </c>
      <c r="P43" s="370">
        <f t="shared" si="69"/>
        <v>1807041</v>
      </c>
      <c r="Q43" s="370">
        <f t="shared" si="69"/>
        <v>520000</v>
      </c>
      <c r="R43" s="323">
        <f>J43+K43+L43+M43+N43+O43+P43+Q43</f>
        <v>39480929.200000003</v>
      </c>
      <c r="S43" s="344"/>
      <c r="T43" s="325">
        <f t="shared" si="6"/>
        <v>3759.5799999982119</v>
      </c>
      <c r="U43" s="326">
        <f>U44+U49+U52+U55</f>
        <v>4968201</v>
      </c>
      <c r="V43" s="326">
        <f t="shared" si="38"/>
        <v>750335</v>
      </c>
      <c r="W43" s="326">
        <f t="shared" si="39"/>
        <v>0.84897249527545282</v>
      </c>
      <c r="X43" s="331"/>
      <c r="Y43" s="370">
        <f>Y44+Y49+Y52+Y55</f>
        <v>5495089</v>
      </c>
      <c r="Z43" s="370">
        <f t="shared" ref="Z43" si="70">Z44+Z49+Z52+Z55</f>
        <v>3829559</v>
      </c>
      <c r="AA43" s="370">
        <f>AA44+AA49+AA52+AA55</f>
        <v>3497427.17</v>
      </c>
      <c r="AB43" s="371">
        <f t="shared" si="47"/>
        <v>0.63646415371980325</v>
      </c>
      <c r="AC43" s="371">
        <f t="shared" si="48"/>
        <v>0.7675700975907761</v>
      </c>
      <c r="AD43" s="322">
        <f t="shared" si="41"/>
        <v>1.6619776682375261E-7</v>
      </c>
      <c r="AF43" s="325">
        <f t="shared" si="4"/>
        <v>1277223</v>
      </c>
      <c r="AI43" s="370">
        <f>AI44+AI49+AI52+AI55</f>
        <v>5495089</v>
      </c>
      <c r="AJ43" s="331">
        <f t="shared" si="50"/>
        <v>1277223</v>
      </c>
    </row>
    <row r="44" spans="1:37" ht="38.25">
      <c r="A44" s="360" t="s">
        <v>508</v>
      </c>
      <c r="B44" s="361" t="s">
        <v>1001</v>
      </c>
      <c r="C44" s="362" t="s">
        <v>467</v>
      </c>
      <c r="D44" s="362" t="s">
        <v>527</v>
      </c>
      <c r="E44" s="362"/>
      <c r="F44" s="362"/>
      <c r="G44" s="363">
        <f>G45+G46+G47+G48</f>
        <v>25389715.649999999</v>
      </c>
      <c r="H44" s="363">
        <f t="shared" ref="H44:Q44" si="71">H45+H46+H47+H48</f>
        <v>1000000</v>
      </c>
      <c r="I44" s="363">
        <f t="shared" si="71"/>
        <v>26389715.649999999</v>
      </c>
      <c r="J44" s="363">
        <f t="shared" si="71"/>
        <v>22850484.98</v>
      </c>
      <c r="K44" s="363">
        <f t="shared" si="71"/>
        <v>1458970</v>
      </c>
      <c r="L44" s="363">
        <f t="shared" si="71"/>
        <v>1076501</v>
      </c>
      <c r="M44" s="363">
        <f t="shared" si="71"/>
        <v>0</v>
      </c>
      <c r="N44" s="363">
        <f t="shared" si="71"/>
        <v>0</v>
      </c>
      <c r="O44" s="363">
        <f t="shared" si="71"/>
        <v>500000</v>
      </c>
      <c r="P44" s="363">
        <f t="shared" si="71"/>
        <v>500000</v>
      </c>
      <c r="Q44" s="363">
        <f t="shared" si="71"/>
        <v>0</v>
      </c>
      <c r="R44" s="346">
        <f t="shared" si="3"/>
        <v>26385955.98</v>
      </c>
      <c r="S44" s="344"/>
      <c r="T44" s="325">
        <f t="shared" si="6"/>
        <v>3759.6699999980628</v>
      </c>
      <c r="U44" s="364">
        <f>SUM(U45:U48)</f>
        <v>2575113</v>
      </c>
      <c r="V44" s="365">
        <f t="shared" si="38"/>
        <v>1116143</v>
      </c>
      <c r="W44" s="365">
        <f t="shared" si="39"/>
        <v>0.5665654283909094</v>
      </c>
      <c r="X44" s="331"/>
      <c r="Y44" s="363">
        <f>Y45+Y46+Y47+Y48</f>
        <v>2484257</v>
      </c>
      <c r="Z44" s="363">
        <f t="shared" ref="Z44:AA44" si="72">Z45+Z46+Z47+Z48</f>
        <v>1336017</v>
      </c>
      <c r="AA44" s="363">
        <f t="shared" si="72"/>
        <v>1280573.3400000001</v>
      </c>
      <c r="AB44" s="366">
        <f t="shared" si="47"/>
        <v>0.5154753876108632</v>
      </c>
      <c r="AC44" s="366">
        <f t="shared" si="48"/>
        <v>0.58728625903036602</v>
      </c>
      <c r="AD44" s="367">
        <f t="shared" si="41"/>
        <v>3.8582996145323243E-7</v>
      </c>
      <c r="AF44" s="325">
        <f t="shared" si="4"/>
        <v>1025287</v>
      </c>
      <c r="AI44" s="363">
        <f>AI45+AI46+AI47+AI48</f>
        <v>2484257</v>
      </c>
      <c r="AJ44" s="331">
        <f t="shared" si="50"/>
        <v>1025287</v>
      </c>
    </row>
    <row r="45" spans="1:37" ht="114.75">
      <c r="A45" s="360" t="s">
        <v>58</v>
      </c>
      <c r="B45" s="372" t="s">
        <v>1002</v>
      </c>
      <c r="C45" s="362" t="s">
        <v>467</v>
      </c>
      <c r="D45" s="362" t="s">
        <v>527</v>
      </c>
      <c r="E45" s="362"/>
      <c r="F45" s="362" t="s">
        <v>967</v>
      </c>
      <c r="G45" s="363">
        <v>0</v>
      </c>
      <c r="H45" s="363">
        <v>0</v>
      </c>
      <c r="I45" s="363">
        <v>0</v>
      </c>
      <c r="J45" s="346">
        <v>0</v>
      </c>
      <c r="K45" s="346">
        <v>0</v>
      </c>
      <c r="L45" s="347">
        <v>0</v>
      </c>
      <c r="M45" s="347">
        <v>0</v>
      </c>
      <c r="N45" s="347">
        <v>0</v>
      </c>
      <c r="O45" s="346">
        <v>0</v>
      </c>
      <c r="P45" s="346">
        <v>0</v>
      </c>
      <c r="Q45" s="346">
        <v>0</v>
      </c>
      <c r="R45" s="346">
        <f t="shared" si="3"/>
        <v>0</v>
      </c>
      <c r="S45" s="344"/>
      <c r="T45" s="325">
        <f t="shared" si="6"/>
        <v>0</v>
      </c>
      <c r="U45" s="364">
        <v>0</v>
      </c>
      <c r="V45" s="365">
        <f t="shared" si="38"/>
        <v>0</v>
      </c>
      <c r="W45" s="365" t="e">
        <f t="shared" si="39"/>
        <v>#DIV/0!</v>
      </c>
      <c r="X45" s="331"/>
      <c r="Y45" s="351">
        <v>0</v>
      </c>
      <c r="Z45" s="351">
        <v>0</v>
      </c>
      <c r="AA45" s="351">
        <v>0</v>
      </c>
      <c r="AB45" s="366" t="e">
        <f t="shared" si="47"/>
        <v>#DIV/0!</v>
      </c>
      <c r="AC45" s="366" t="e">
        <f t="shared" si="48"/>
        <v>#DIV/0!</v>
      </c>
      <c r="AD45" s="367" t="e">
        <f t="shared" si="41"/>
        <v>#DIV/0!</v>
      </c>
      <c r="AF45" s="325">
        <f t="shared" si="4"/>
        <v>0</v>
      </c>
      <c r="AI45" s="351">
        <v>0</v>
      </c>
      <c r="AJ45" s="331">
        <f t="shared" si="50"/>
        <v>0</v>
      </c>
    </row>
    <row r="46" spans="1:37" ht="51">
      <c r="A46" s="360" t="s">
        <v>21</v>
      </c>
      <c r="B46" s="372" t="s">
        <v>1003</v>
      </c>
      <c r="C46" s="362" t="s">
        <v>467</v>
      </c>
      <c r="D46" s="362" t="s">
        <v>1004</v>
      </c>
      <c r="E46" s="362"/>
      <c r="F46" s="362" t="s">
        <v>967</v>
      </c>
      <c r="G46" s="363">
        <v>5441400</v>
      </c>
      <c r="H46" s="363">
        <v>1000000</v>
      </c>
      <c r="I46" s="363">
        <v>6441400</v>
      </c>
      <c r="J46" s="346">
        <v>3514381</v>
      </c>
      <c r="K46" s="346">
        <v>850518</v>
      </c>
      <c r="L46" s="347">
        <v>1076501</v>
      </c>
      <c r="M46" s="347">
        <v>0</v>
      </c>
      <c r="N46" s="347">
        <v>0</v>
      </c>
      <c r="O46" s="346">
        <v>500000</v>
      </c>
      <c r="P46" s="346">
        <v>500000</v>
      </c>
      <c r="Q46" s="346">
        <v>0</v>
      </c>
      <c r="R46" s="346">
        <f t="shared" si="3"/>
        <v>6441400</v>
      </c>
      <c r="S46" s="344"/>
      <c r="T46" s="325">
        <f t="shared" si="6"/>
        <v>0</v>
      </c>
      <c r="U46" s="364">
        <v>850518</v>
      </c>
      <c r="V46" s="365">
        <f t="shared" si="38"/>
        <v>0</v>
      </c>
      <c r="W46" s="365">
        <f t="shared" si="39"/>
        <v>1</v>
      </c>
      <c r="X46" s="331"/>
      <c r="Y46" s="351">
        <v>850518</v>
      </c>
      <c r="Z46" s="351">
        <v>672121</v>
      </c>
      <c r="AA46" s="351">
        <v>672120.93</v>
      </c>
      <c r="AB46" s="366">
        <f t="shared" si="47"/>
        <v>0.79024891889413285</v>
      </c>
      <c r="AC46" s="366">
        <f t="shared" si="48"/>
        <v>1</v>
      </c>
      <c r="AD46" s="367">
        <f t="shared" si="41"/>
        <v>1.1757539474203794E-6</v>
      </c>
      <c r="AF46" s="325">
        <f t="shared" si="4"/>
        <v>0</v>
      </c>
      <c r="AI46" s="351">
        <v>850518</v>
      </c>
      <c r="AJ46" s="331">
        <f t="shared" si="50"/>
        <v>0</v>
      </c>
    </row>
    <row r="47" spans="1:37" ht="51">
      <c r="A47" s="360" t="s">
        <v>59</v>
      </c>
      <c r="B47" s="372" t="s">
        <v>1005</v>
      </c>
      <c r="C47" s="362" t="s">
        <v>467</v>
      </c>
      <c r="D47" s="362" t="s">
        <v>527</v>
      </c>
      <c r="E47" s="362"/>
      <c r="F47" s="362" t="s">
        <v>967</v>
      </c>
      <c r="G47" s="363">
        <v>0</v>
      </c>
      <c r="H47" s="363">
        <v>0</v>
      </c>
      <c r="I47" s="363">
        <v>0</v>
      </c>
      <c r="J47" s="346">
        <v>0</v>
      </c>
      <c r="K47" s="346">
        <v>0</v>
      </c>
      <c r="L47" s="347">
        <v>0</v>
      </c>
      <c r="M47" s="347">
        <v>0</v>
      </c>
      <c r="N47" s="347">
        <v>0</v>
      </c>
      <c r="O47" s="346">
        <v>0</v>
      </c>
      <c r="P47" s="346">
        <v>0</v>
      </c>
      <c r="Q47" s="346">
        <v>0</v>
      </c>
      <c r="R47" s="346">
        <f t="shared" si="3"/>
        <v>0</v>
      </c>
      <c r="S47" s="344"/>
      <c r="T47" s="325">
        <f t="shared" si="6"/>
        <v>0</v>
      </c>
      <c r="U47" s="364">
        <v>0</v>
      </c>
      <c r="V47" s="365">
        <f t="shared" si="38"/>
        <v>0</v>
      </c>
      <c r="W47" s="365" t="e">
        <f t="shared" si="39"/>
        <v>#DIV/0!</v>
      </c>
      <c r="X47" s="331"/>
      <c r="Y47" s="351">
        <v>0</v>
      </c>
      <c r="Z47" s="351">
        <v>0</v>
      </c>
      <c r="AA47" s="351">
        <v>0</v>
      </c>
      <c r="AB47" s="366" t="e">
        <f t="shared" si="47"/>
        <v>#DIV/0!</v>
      </c>
      <c r="AC47" s="366" t="e">
        <f t="shared" si="48"/>
        <v>#DIV/0!</v>
      </c>
      <c r="AD47" s="367" t="e">
        <f t="shared" si="41"/>
        <v>#DIV/0!</v>
      </c>
      <c r="AF47" s="325">
        <f t="shared" si="4"/>
        <v>0</v>
      </c>
      <c r="AI47" s="351">
        <v>0</v>
      </c>
      <c r="AJ47" s="331">
        <f t="shared" si="50"/>
        <v>0</v>
      </c>
    </row>
    <row r="48" spans="1:37" ht="89.25">
      <c r="A48" s="378" t="s">
        <v>1006</v>
      </c>
      <c r="B48" s="372" t="s">
        <v>1007</v>
      </c>
      <c r="C48" s="362" t="s">
        <v>467</v>
      </c>
      <c r="D48" s="362" t="s">
        <v>527</v>
      </c>
      <c r="E48" s="362"/>
      <c r="F48" s="362" t="s">
        <v>967</v>
      </c>
      <c r="G48" s="363">
        <v>19948315.649999999</v>
      </c>
      <c r="H48" s="363">
        <v>0</v>
      </c>
      <c r="I48" s="363">
        <v>19948315.649999999</v>
      </c>
      <c r="J48" s="346">
        <v>19336103.98</v>
      </c>
      <c r="K48" s="346">
        <v>608452</v>
      </c>
      <c r="L48" s="347">
        <v>0</v>
      </c>
      <c r="M48" s="347">
        <v>0</v>
      </c>
      <c r="N48" s="347">
        <v>0</v>
      </c>
      <c r="O48" s="346">
        <v>0</v>
      </c>
      <c r="P48" s="346">
        <v>0</v>
      </c>
      <c r="Q48" s="346">
        <v>0</v>
      </c>
      <c r="R48" s="346">
        <f t="shared" si="3"/>
        <v>19944555.98</v>
      </c>
      <c r="S48" s="344" t="s">
        <v>998</v>
      </c>
      <c r="T48" s="325">
        <f t="shared" si="6"/>
        <v>3759.6699999980628</v>
      </c>
      <c r="U48" s="364">
        <v>1724595</v>
      </c>
      <c r="V48" s="365">
        <f t="shared" si="38"/>
        <v>1116143</v>
      </c>
      <c r="W48" s="365">
        <f t="shared" si="39"/>
        <v>0.35280863043207245</v>
      </c>
      <c r="X48" s="331"/>
      <c r="Y48" s="351">
        <v>1633739</v>
      </c>
      <c r="Z48" s="351">
        <v>663896</v>
      </c>
      <c r="AA48" s="351">
        <v>608452.41</v>
      </c>
      <c r="AB48" s="366">
        <f t="shared" si="47"/>
        <v>0.37242938437535006</v>
      </c>
      <c r="AC48" s="366">
        <f t="shared" si="48"/>
        <v>0.37242913341727168</v>
      </c>
      <c r="AD48" s="367">
        <f t="shared" si="41"/>
        <v>5.6097549070238421E-7</v>
      </c>
      <c r="AF48" s="325">
        <f t="shared" si="4"/>
        <v>1025287</v>
      </c>
      <c r="AI48" s="351">
        <v>1633739</v>
      </c>
      <c r="AJ48" s="331">
        <f t="shared" si="50"/>
        <v>1025287</v>
      </c>
    </row>
    <row r="49" spans="1:37" ht="76.5">
      <c r="A49" s="360" t="s">
        <v>515</v>
      </c>
      <c r="B49" s="361" t="s">
        <v>1008</v>
      </c>
      <c r="C49" s="362" t="s">
        <v>467</v>
      </c>
      <c r="D49" s="362" t="s">
        <v>527</v>
      </c>
      <c r="E49" s="362"/>
      <c r="F49" s="362"/>
      <c r="G49" s="363">
        <f>G50+G51</f>
        <v>0</v>
      </c>
      <c r="H49" s="363">
        <f>H50+H51</f>
        <v>2000000</v>
      </c>
      <c r="I49" s="363">
        <f t="shared" ref="I49:Q49" si="73">I50+I51</f>
        <v>2000000</v>
      </c>
      <c r="J49" s="363">
        <f t="shared" si="73"/>
        <v>0</v>
      </c>
      <c r="K49" s="363">
        <f t="shared" si="73"/>
        <v>0</v>
      </c>
      <c r="L49" s="363">
        <f t="shared" si="73"/>
        <v>0</v>
      </c>
      <c r="M49" s="363">
        <f t="shared" si="73"/>
        <v>0</v>
      </c>
      <c r="N49" s="363">
        <f t="shared" si="73"/>
        <v>0</v>
      </c>
      <c r="O49" s="363">
        <f t="shared" si="73"/>
        <v>80000</v>
      </c>
      <c r="P49" s="363">
        <f t="shared" si="73"/>
        <v>1400000</v>
      </c>
      <c r="Q49" s="363">
        <f t="shared" si="73"/>
        <v>520000</v>
      </c>
      <c r="R49" s="346">
        <f t="shared" si="3"/>
        <v>2000000</v>
      </c>
      <c r="S49" s="344"/>
      <c r="T49" s="325">
        <f t="shared" si="6"/>
        <v>0</v>
      </c>
      <c r="U49" s="364">
        <f>SUM(U50:U51)</f>
        <v>0</v>
      </c>
      <c r="V49" s="365">
        <f t="shared" si="38"/>
        <v>0</v>
      </c>
      <c r="W49" s="365" t="e">
        <f t="shared" si="39"/>
        <v>#DIV/0!</v>
      </c>
      <c r="X49" s="331"/>
      <c r="Y49" s="363">
        <f t="shared" ref="Y49:AA49" si="74">Y50+Y51</f>
        <v>0</v>
      </c>
      <c r="Z49" s="363">
        <f t="shared" si="74"/>
        <v>0</v>
      </c>
      <c r="AA49" s="363">
        <f t="shared" si="74"/>
        <v>0</v>
      </c>
      <c r="AB49" s="366" t="e">
        <f t="shared" si="47"/>
        <v>#DIV/0!</v>
      </c>
      <c r="AC49" s="366" t="e">
        <f t="shared" si="48"/>
        <v>#DIV/0!</v>
      </c>
      <c r="AD49" s="367" t="e">
        <f t="shared" si="41"/>
        <v>#DIV/0!</v>
      </c>
      <c r="AF49" s="325">
        <f t="shared" si="4"/>
        <v>0</v>
      </c>
      <c r="AI49" s="363">
        <f t="shared" ref="AI49" si="75">AI50+AI51</f>
        <v>0</v>
      </c>
      <c r="AJ49" s="331">
        <f t="shared" si="50"/>
        <v>0</v>
      </c>
    </row>
    <row r="50" spans="1:37" ht="76.5">
      <c r="A50" s="360" t="s">
        <v>61</v>
      </c>
      <c r="B50" s="372" t="s">
        <v>1009</v>
      </c>
      <c r="C50" s="362" t="s">
        <v>467</v>
      </c>
      <c r="D50" s="362" t="s">
        <v>527</v>
      </c>
      <c r="E50" s="362"/>
      <c r="F50" s="362" t="s">
        <v>967</v>
      </c>
      <c r="G50" s="363">
        <v>0</v>
      </c>
      <c r="H50" s="363">
        <v>2000000</v>
      </c>
      <c r="I50" s="363">
        <v>2000000</v>
      </c>
      <c r="J50" s="346">
        <v>0</v>
      </c>
      <c r="K50" s="346">
        <v>0</v>
      </c>
      <c r="L50" s="347">
        <v>0</v>
      </c>
      <c r="M50" s="347">
        <v>0</v>
      </c>
      <c r="N50" s="347">
        <v>0</v>
      </c>
      <c r="O50" s="346">
        <v>80000</v>
      </c>
      <c r="P50" s="346">
        <v>1400000</v>
      </c>
      <c r="Q50" s="346">
        <v>520000</v>
      </c>
      <c r="R50" s="346">
        <f t="shared" si="3"/>
        <v>2000000</v>
      </c>
      <c r="S50" s="344"/>
      <c r="T50" s="325">
        <f t="shared" si="6"/>
        <v>0</v>
      </c>
      <c r="U50" s="364">
        <v>0</v>
      </c>
      <c r="V50" s="365">
        <f t="shared" si="38"/>
        <v>0</v>
      </c>
      <c r="W50" s="365" t="e">
        <f t="shared" si="39"/>
        <v>#DIV/0!</v>
      </c>
      <c r="X50" s="331"/>
      <c r="Y50" s="351">
        <v>0</v>
      </c>
      <c r="Z50" s="351">
        <v>0</v>
      </c>
      <c r="AA50" s="351">
        <v>0</v>
      </c>
      <c r="AB50" s="366" t="e">
        <f t="shared" si="47"/>
        <v>#DIV/0!</v>
      </c>
      <c r="AC50" s="366" t="e">
        <f t="shared" si="48"/>
        <v>#DIV/0!</v>
      </c>
      <c r="AD50" s="367" t="e">
        <f t="shared" si="41"/>
        <v>#DIV/0!</v>
      </c>
      <c r="AF50" s="325">
        <f t="shared" si="4"/>
        <v>0</v>
      </c>
      <c r="AI50" s="351">
        <v>0</v>
      </c>
      <c r="AJ50" s="331">
        <f t="shared" si="50"/>
        <v>0</v>
      </c>
    </row>
    <row r="51" spans="1:37" ht="114.75">
      <c r="A51" s="360" t="s">
        <v>62</v>
      </c>
      <c r="B51" s="372" t="s">
        <v>1010</v>
      </c>
      <c r="C51" s="362" t="s">
        <v>467</v>
      </c>
      <c r="D51" s="362" t="s">
        <v>527</v>
      </c>
      <c r="E51" s="362"/>
      <c r="F51" s="362" t="s">
        <v>1011</v>
      </c>
      <c r="G51" s="363">
        <v>0</v>
      </c>
      <c r="H51" s="363">
        <v>0</v>
      </c>
      <c r="I51" s="363">
        <v>0</v>
      </c>
      <c r="J51" s="346">
        <v>0</v>
      </c>
      <c r="K51" s="346">
        <v>0</v>
      </c>
      <c r="L51" s="347">
        <v>0</v>
      </c>
      <c r="M51" s="347">
        <v>0</v>
      </c>
      <c r="N51" s="347">
        <v>0</v>
      </c>
      <c r="O51" s="346">
        <v>0</v>
      </c>
      <c r="P51" s="346">
        <v>0</v>
      </c>
      <c r="Q51" s="346">
        <v>0</v>
      </c>
      <c r="R51" s="346">
        <f t="shared" si="3"/>
        <v>0</v>
      </c>
      <c r="S51" s="344"/>
      <c r="T51" s="325">
        <f t="shared" si="6"/>
        <v>0</v>
      </c>
      <c r="U51" s="364">
        <v>0</v>
      </c>
      <c r="V51" s="365">
        <f t="shared" si="38"/>
        <v>0</v>
      </c>
      <c r="W51" s="365" t="e">
        <f t="shared" si="39"/>
        <v>#DIV/0!</v>
      </c>
      <c r="X51" s="331"/>
      <c r="Y51" s="351">
        <v>0</v>
      </c>
      <c r="Z51" s="351">
        <v>0</v>
      </c>
      <c r="AA51" s="351">
        <v>0</v>
      </c>
      <c r="AB51" s="366" t="e">
        <f t="shared" si="47"/>
        <v>#DIV/0!</v>
      </c>
      <c r="AC51" s="366" t="e">
        <f t="shared" si="48"/>
        <v>#DIV/0!</v>
      </c>
      <c r="AD51" s="367" t="e">
        <f t="shared" si="41"/>
        <v>#DIV/0!</v>
      </c>
      <c r="AF51" s="325">
        <f t="shared" si="4"/>
        <v>0</v>
      </c>
      <c r="AI51" s="351">
        <v>0</v>
      </c>
      <c r="AJ51" s="331">
        <f t="shared" si="50"/>
        <v>0</v>
      </c>
    </row>
    <row r="52" spans="1:37" ht="102">
      <c r="A52" s="360" t="s">
        <v>519</v>
      </c>
      <c r="B52" s="361" t="s">
        <v>1012</v>
      </c>
      <c r="C52" s="362" t="s">
        <v>467</v>
      </c>
      <c r="D52" s="362" t="s">
        <v>527</v>
      </c>
      <c r="E52" s="362"/>
      <c r="F52" s="362"/>
      <c r="G52" s="363">
        <f>G53+G54</f>
        <v>973356.13</v>
      </c>
      <c r="H52" s="363">
        <f t="shared" ref="H52:Q52" si="76">H53+H54</f>
        <v>0</v>
      </c>
      <c r="I52" s="363">
        <f t="shared" si="76"/>
        <v>973356.13</v>
      </c>
      <c r="J52" s="363">
        <f t="shared" si="76"/>
        <v>239932.83</v>
      </c>
      <c r="K52" s="363">
        <f t="shared" si="76"/>
        <v>192380</v>
      </c>
      <c r="L52" s="363">
        <f t="shared" si="76"/>
        <v>227747</v>
      </c>
      <c r="M52" s="363">
        <f t="shared" si="76"/>
        <v>174357</v>
      </c>
      <c r="N52" s="363">
        <f t="shared" si="76"/>
        <v>138939</v>
      </c>
      <c r="O52" s="363">
        <f t="shared" si="76"/>
        <v>0</v>
      </c>
      <c r="P52" s="363">
        <f t="shared" si="76"/>
        <v>0</v>
      </c>
      <c r="Q52" s="363">
        <f t="shared" si="76"/>
        <v>0</v>
      </c>
      <c r="R52" s="346">
        <f t="shared" si="3"/>
        <v>973355.83</v>
      </c>
      <c r="S52" s="344"/>
      <c r="T52" s="325">
        <f t="shared" si="6"/>
        <v>0.30000000004656613</v>
      </c>
      <c r="U52" s="364">
        <f>SUM(U53:U54)</f>
        <v>192378</v>
      </c>
      <c r="V52" s="365">
        <f t="shared" si="38"/>
        <v>-2</v>
      </c>
      <c r="W52" s="365">
        <f t="shared" si="39"/>
        <v>1.0000103961991496</v>
      </c>
      <c r="X52" s="331"/>
      <c r="Y52" s="363">
        <f>Y53+Y54</f>
        <v>192378</v>
      </c>
      <c r="Z52" s="363">
        <f t="shared" ref="Z52:AA52" si="77">Z53+Z54</f>
        <v>132085</v>
      </c>
      <c r="AA52" s="363">
        <f t="shared" si="77"/>
        <v>129924.31</v>
      </c>
      <c r="AB52" s="366">
        <f t="shared" si="47"/>
        <v>0.67535950056659289</v>
      </c>
      <c r="AC52" s="366">
        <f t="shared" si="48"/>
        <v>1.0000103961991496</v>
      </c>
      <c r="AD52" s="367">
        <f t="shared" si="41"/>
        <v>5.1130673472884347E-6</v>
      </c>
      <c r="AF52" s="325">
        <f t="shared" si="4"/>
        <v>-2</v>
      </c>
      <c r="AI52" s="363">
        <f>AI53+AI54</f>
        <v>192378</v>
      </c>
      <c r="AJ52" s="331">
        <f t="shared" si="50"/>
        <v>-2</v>
      </c>
    </row>
    <row r="53" spans="1:37" ht="102">
      <c r="A53" s="360" t="s">
        <v>63</v>
      </c>
      <c r="B53" s="372" t="s">
        <v>1013</v>
      </c>
      <c r="C53" s="362" t="s">
        <v>467</v>
      </c>
      <c r="D53" s="362" t="s">
        <v>527</v>
      </c>
      <c r="E53" s="362"/>
      <c r="F53" s="362" t="s">
        <v>967</v>
      </c>
      <c r="G53" s="363">
        <v>0</v>
      </c>
      <c r="H53" s="363">
        <v>0</v>
      </c>
      <c r="I53" s="363">
        <v>0</v>
      </c>
      <c r="J53" s="346">
        <v>0</v>
      </c>
      <c r="K53" s="346">
        <v>0</v>
      </c>
      <c r="L53" s="347">
        <v>0</v>
      </c>
      <c r="M53" s="347">
        <v>0</v>
      </c>
      <c r="N53" s="347">
        <v>0</v>
      </c>
      <c r="O53" s="346">
        <v>0</v>
      </c>
      <c r="P53" s="346">
        <v>0</v>
      </c>
      <c r="Q53" s="346">
        <v>0</v>
      </c>
      <c r="R53" s="346">
        <f t="shared" si="3"/>
        <v>0</v>
      </c>
      <c r="S53" s="344"/>
      <c r="T53" s="325">
        <f t="shared" si="6"/>
        <v>0</v>
      </c>
      <c r="U53" s="364">
        <v>0</v>
      </c>
      <c r="V53" s="365">
        <f t="shared" si="38"/>
        <v>0</v>
      </c>
      <c r="W53" s="365" t="e">
        <f t="shared" si="39"/>
        <v>#DIV/0!</v>
      </c>
      <c r="X53" s="331"/>
      <c r="Y53" s="351">
        <v>0</v>
      </c>
      <c r="Z53" s="351">
        <v>0</v>
      </c>
      <c r="AA53" s="351">
        <v>0</v>
      </c>
      <c r="AB53" s="366" t="e">
        <f t="shared" si="47"/>
        <v>#DIV/0!</v>
      </c>
      <c r="AC53" s="366" t="e">
        <f t="shared" si="48"/>
        <v>#DIV/0!</v>
      </c>
      <c r="AD53" s="367" t="e">
        <f t="shared" si="41"/>
        <v>#DIV/0!</v>
      </c>
      <c r="AF53" s="325">
        <f t="shared" si="4"/>
        <v>0</v>
      </c>
      <c r="AI53" s="351">
        <v>0</v>
      </c>
      <c r="AJ53" s="331">
        <f t="shared" si="50"/>
        <v>0</v>
      </c>
    </row>
    <row r="54" spans="1:37" ht="25.5">
      <c r="A54" s="360" t="s">
        <v>64</v>
      </c>
      <c r="B54" s="372" t="s">
        <v>1014</v>
      </c>
      <c r="C54" s="362" t="s">
        <v>467</v>
      </c>
      <c r="D54" s="362" t="s">
        <v>527</v>
      </c>
      <c r="E54" s="362"/>
      <c r="F54" s="362" t="s">
        <v>967</v>
      </c>
      <c r="G54" s="363">
        <v>973356.13</v>
      </c>
      <c r="H54" s="363">
        <v>0</v>
      </c>
      <c r="I54" s="363">
        <v>973356.13</v>
      </c>
      <c r="J54" s="346">
        <v>239932.83</v>
      </c>
      <c r="K54" s="346">
        <v>192380</v>
      </c>
      <c r="L54" s="347">
        <v>227747</v>
      </c>
      <c r="M54" s="347">
        <v>174357</v>
      </c>
      <c r="N54" s="347">
        <v>138939</v>
      </c>
      <c r="O54" s="346">
        <v>0</v>
      </c>
      <c r="P54" s="346">
        <v>0</v>
      </c>
      <c r="Q54" s="346">
        <v>0</v>
      </c>
      <c r="R54" s="346">
        <f t="shared" si="3"/>
        <v>973355.83</v>
      </c>
      <c r="S54" s="344"/>
      <c r="T54" s="325">
        <f t="shared" si="6"/>
        <v>0.30000000004656613</v>
      </c>
      <c r="U54" s="364">
        <v>192378</v>
      </c>
      <c r="V54" s="365">
        <f t="shared" si="38"/>
        <v>-2</v>
      </c>
      <c r="W54" s="365">
        <f t="shared" si="39"/>
        <v>1.0000103961991496</v>
      </c>
      <c r="X54" s="331"/>
      <c r="Y54" s="351">
        <v>192378</v>
      </c>
      <c r="Z54" s="351">
        <v>132085</v>
      </c>
      <c r="AA54" s="351">
        <v>129924.31</v>
      </c>
      <c r="AB54" s="366">
        <f t="shared" si="47"/>
        <v>0.67535950056659289</v>
      </c>
      <c r="AC54" s="366">
        <f t="shared" si="48"/>
        <v>1.0000103961991496</v>
      </c>
      <c r="AD54" s="367">
        <f t="shared" si="41"/>
        <v>5.1130673472884347E-6</v>
      </c>
      <c r="AF54" s="325">
        <f t="shared" si="4"/>
        <v>-2</v>
      </c>
      <c r="AI54" s="351">
        <v>192378</v>
      </c>
      <c r="AJ54" s="331">
        <f t="shared" si="50"/>
        <v>-2</v>
      </c>
    </row>
    <row r="55" spans="1:37" ht="114.75">
      <c r="A55" s="360" t="s">
        <v>523</v>
      </c>
      <c r="B55" s="361" t="s">
        <v>1015</v>
      </c>
      <c r="C55" s="362" t="s">
        <v>467</v>
      </c>
      <c r="D55" s="362" t="s">
        <v>527</v>
      </c>
      <c r="E55" s="362"/>
      <c r="F55" s="362"/>
      <c r="G55" s="363">
        <f>G56+G57</f>
        <v>10121617</v>
      </c>
      <c r="H55" s="363">
        <f t="shared" ref="H55:Q55" si="78">H56+H57</f>
        <v>0</v>
      </c>
      <c r="I55" s="363">
        <f t="shared" si="78"/>
        <v>10121617</v>
      </c>
      <c r="J55" s="363">
        <f t="shared" si="78"/>
        <v>4510328.3899999997</v>
      </c>
      <c r="K55" s="363">
        <f t="shared" si="78"/>
        <v>2566516</v>
      </c>
      <c r="L55" s="363">
        <f>L56+L57</f>
        <v>2232669</v>
      </c>
      <c r="M55" s="363">
        <f t="shared" si="78"/>
        <v>373674</v>
      </c>
      <c r="N55" s="363">
        <f t="shared" si="78"/>
        <v>0</v>
      </c>
      <c r="O55" s="363">
        <f t="shared" si="78"/>
        <v>531389</v>
      </c>
      <c r="P55" s="363">
        <f t="shared" si="78"/>
        <v>-92959</v>
      </c>
      <c r="Q55" s="363">
        <f t="shared" si="78"/>
        <v>0</v>
      </c>
      <c r="R55" s="346">
        <f t="shared" si="3"/>
        <v>10121617.390000001</v>
      </c>
      <c r="S55" s="344"/>
      <c r="T55" s="325">
        <f t="shared" si="6"/>
        <v>-0.39000000059604645</v>
      </c>
      <c r="U55" s="364">
        <f>SUM(U56:U57)</f>
        <v>2200710</v>
      </c>
      <c r="V55" s="365">
        <f t="shared" si="38"/>
        <v>-365806</v>
      </c>
      <c r="W55" s="365">
        <f t="shared" si="39"/>
        <v>1.1662218102339699</v>
      </c>
      <c r="X55" s="331"/>
      <c r="Y55" s="363">
        <f>Y56+Y57</f>
        <v>2818454</v>
      </c>
      <c r="Z55" s="363">
        <f>Z56+Z57</f>
        <v>2361457</v>
      </c>
      <c r="AA55" s="363">
        <f>AA56+AA57</f>
        <v>2086929.52</v>
      </c>
      <c r="AB55" s="366">
        <f>AA55/Y55</f>
        <v>0.74045186474570812</v>
      </c>
      <c r="AC55" s="366">
        <f t="shared" si="48"/>
        <v>0.91061127838169431</v>
      </c>
      <c r="AD55" s="367">
        <f t="shared" si="41"/>
        <v>3.135572084292486E-7</v>
      </c>
      <c r="AF55" s="325">
        <f t="shared" si="4"/>
        <v>251938</v>
      </c>
      <c r="AI55" s="363">
        <f>AI56+AI57</f>
        <v>2818454</v>
      </c>
      <c r="AJ55" s="331">
        <f t="shared" si="50"/>
        <v>251938</v>
      </c>
    </row>
    <row r="56" spans="1:37" ht="153">
      <c r="A56" s="360" t="s">
        <v>65</v>
      </c>
      <c r="B56" s="372" t="s">
        <v>1016</v>
      </c>
      <c r="C56" s="362" t="s">
        <v>467</v>
      </c>
      <c r="D56" s="362" t="s">
        <v>527</v>
      </c>
      <c r="E56" s="362"/>
      <c r="F56" s="362" t="s">
        <v>967</v>
      </c>
      <c r="G56" s="363">
        <v>4216824</v>
      </c>
      <c r="H56" s="363">
        <v>0</v>
      </c>
      <c r="I56" s="363">
        <v>4216824</v>
      </c>
      <c r="J56" s="346">
        <v>729760</v>
      </c>
      <c r="K56" s="346">
        <v>1467307</v>
      </c>
      <c r="L56" s="347">
        <v>1912576</v>
      </c>
      <c r="M56" s="347">
        <v>160000</v>
      </c>
      <c r="N56" s="347">
        <v>0</v>
      </c>
      <c r="O56" s="346">
        <v>23423</v>
      </c>
      <c r="P56" s="346">
        <v>-76242</v>
      </c>
      <c r="Q56" s="346">
        <v>0</v>
      </c>
      <c r="R56" s="346">
        <f t="shared" si="3"/>
        <v>4216824</v>
      </c>
      <c r="S56" s="344"/>
      <c r="T56" s="325">
        <f t="shared" si="6"/>
        <v>0</v>
      </c>
      <c r="U56" s="364">
        <v>1795084</v>
      </c>
      <c r="V56" s="365">
        <f t="shared" si="38"/>
        <v>327777</v>
      </c>
      <c r="W56" s="365">
        <f t="shared" si="39"/>
        <v>0.81740297389982863</v>
      </c>
      <c r="X56" s="331"/>
      <c r="Y56" s="351">
        <v>1512594</v>
      </c>
      <c r="Z56" s="351">
        <v>1288324</v>
      </c>
      <c r="AA56" s="351">
        <v>1183258.3700000001</v>
      </c>
      <c r="AB56" s="366">
        <f t="shared" si="47"/>
        <v>0.78227096630027626</v>
      </c>
      <c r="AC56" s="366">
        <f t="shared" si="48"/>
        <v>0.97006004254942169</v>
      </c>
      <c r="AD56" s="367">
        <f t="shared" si="41"/>
        <v>6.0720049172434591E-7</v>
      </c>
      <c r="AF56" s="325">
        <f t="shared" si="4"/>
        <v>45287</v>
      </c>
      <c r="AI56" s="351">
        <v>1512594</v>
      </c>
      <c r="AJ56" s="331">
        <f t="shared" si="50"/>
        <v>45287</v>
      </c>
    </row>
    <row r="57" spans="1:37" ht="127.5">
      <c r="A57" s="360" t="s">
        <v>66</v>
      </c>
      <c r="B57" s="372" t="s">
        <v>1017</v>
      </c>
      <c r="C57" s="362" t="s">
        <v>467</v>
      </c>
      <c r="D57" s="362" t="s">
        <v>527</v>
      </c>
      <c r="E57" s="362"/>
      <c r="F57" s="362" t="s">
        <v>1018</v>
      </c>
      <c r="G57" s="376">
        <v>5904793</v>
      </c>
      <c r="H57" s="363">
        <v>0</v>
      </c>
      <c r="I57" s="376">
        <v>5904793</v>
      </c>
      <c r="J57" s="346">
        <v>3780568.3899999997</v>
      </c>
      <c r="K57" s="346">
        <v>1099209</v>
      </c>
      <c r="L57" s="347">
        <v>320093</v>
      </c>
      <c r="M57" s="347">
        <v>213674</v>
      </c>
      <c r="N57" s="347">
        <v>0</v>
      </c>
      <c r="O57" s="346">
        <v>507966</v>
      </c>
      <c r="P57" s="346">
        <v>-16717</v>
      </c>
      <c r="Q57" s="346">
        <v>0</v>
      </c>
      <c r="R57" s="346">
        <f t="shared" si="3"/>
        <v>5904793.3899999997</v>
      </c>
      <c r="S57" s="344"/>
      <c r="T57" s="325">
        <f t="shared" si="6"/>
        <v>-0.38999999966472387</v>
      </c>
      <c r="U57" s="364">
        <v>405626</v>
      </c>
      <c r="V57" s="365">
        <f t="shared" si="38"/>
        <v>-693583</v>
      </c>
      <c r="W57" s="365">
        <f t="shared" si="39"/>
        <v>2.709907648917969</v>
      </c>
      <c r="X57" s="331"/>
      <c r="Y57" s="351">
        <v>1305860</v>
      </c>
      <c r="Z57" s="351">
        <v>1073133</v>
      </c>
      <c r="AA57" s="351">
        <v>903671.15</v>
      </c>
      <c r="AB57" s="366">
        <f t="shared" si="47"/>
        <v>0.69201227543534527</v>
      </c>
      <c r="AC57" s="366">
        <f t="shared" si="48"/>
        <v>0.84175102997258511</v>
      </c>
      <c r="AD57" s="367">
        <f t="shared" si="41"/>
        <v>6.4485229271240872E-7</v>
      </c>
      <c r="AF57" s="325">
        <f t="shared" si="4"/>
        <v>206651</v>
      </c>
      <c r="AG57" s="305">
        <v>206651</v>
      </c>
      <c r="AI57" s="351">
        <v>1305860</v>
      </c>
      <c r="AJ57" s="331">
        <f t="shared" si="50"/>
        <v>206651</v>
      </c>
      <c r="AK57" s="305">
        <v>206651</v>
      </c>
    </row>
    <row r="58" spans="1:37" ht="63.75">
      <c r="A58" s="321" t="s">
        <v>1019</v>
      </c>
      <c r="B58" s="359" t="s">
        <v>1020</v>
      </c>
      <c r="C58" s="341" t="s">
        <v>467</v>
      </c>
      <c r="D58" s="341"/>
      <c r="E58" s="341"/>
      <c r="F58" s="341"/>
      <c r="G58" s="370">
        <f>G59+G76</f>
        <v>198980165.65000001</v>
      </c>
      <c r="H58" s="370">
        <f t="shared" ref="H58:Q58" si="79">H59+H76</f>
        <v>26978867.81377</v>
      </c>
      <c r="I58" s="370">
        <f t="shared" si="79"/>
        <v>225959032.65000001</v>
      </c>
      <c r="J58" s="370">
        <f t="shared" si="79"/>
        <v>144589308.70000014</v>
      </c>
      <c r="K58" s="370">
        <f t="shared" si="79"/>
        <v>27472444</v>
      </c>
      <c r="L58" s="370">
        <f t="shared" si="79"/>
        <v>31661494</v>
      </c>
      <c r="M58" s="370">
        <f t="shared" si="79"/>
        <v>12034086</v>
      </c>
      <c r="N58" s="370">
        <f t="shared" si="79"/>
        <v>3120542</v>
      </c>
      <c r="O58" s="370">
        <f t="shared" si="79"/>
        <v>673409</v>
      </c>
      <c r="P58" s="370">
        <f t="shared" si="79"/>
        <v>2615733</v>
      </c>
      <c r="Q58" s="370">
        <f t="shared" si="79"/>
        <v>3726681</v>
      </c>
      <c r="R58" s="323">
        <f t="shared" si="3"/>
        <v>225893697.70000014</v>
      </c>
      <c r="S58" s="344"/>
      <c r="T58" s="325">
        <f t="shared" si="6"/>
        <v>65334.94999986887</v>
      </c>
      <c r="U58" s="326">
        <f>U59+U76</f>
        <v>13110155</v>
      </c>
      <c r="V58" s="326">
        <f t="shared" si="38"/>
        <v>-14362289</v>
      </c>
      <c r="W58" s="326">
        <f t="shared" si="39"/>
        <v>2.0955087106140242</v>
      </c>
      <c r="X58" s="331"/>
      <c r="Y58" s="370">
        <f t="shared" ref="Y58:AA58" si="80">Y59+Y76</f>
        <v>28080242</v>
      </c>
      <c r="Z58" s="370">
        <f t="shared" si="80"/>
        <v>21037905</v>
      </c>
      <c r="AA58" s="370">
        <f t="shared" si="80"/>
        <v>20463563.340000004</v>
      </c>
      <c r="AB58" s="345">
        <f t="shared" si="47"/>
        <v>0.72875309764068286</v>
      </c>
      <c r="AC58" s="345">
        <f t="shared" si="48"/>
        <v>0.97835495862179533</v>
      </c>
      <c r="AD58" s="342">
        <f t="shared" si="41"/>
        <v>3.4640003253208094E-8</v>
      </c>
      <c r="AF58" s="325">
        <f t="shared" si="4"/>
        <v>607798</v>
      </c>
      <c r="AI58" s="370">
        <f t="shared" ref="AI58" si="81">AI59+AI76</f>
        <v>28080242</v>
      </c>
      <c r="AJ58" s="331">
        <f t="shared" si="50"/>
        <v>607798</v>
      </c>
    </row>
    <row r="59" spans="1:37" ht="25.5">
      <c r="A59" s="321" t="s">
        <v>530</v>
      </c>
      <c r="B59" s="359" t="s">
        <v>1021</v>
      </c>
      <c r="C59" s="341" t="s">
        <v>467</v>
      </c>
      <c r="D59" s="341"/>
      <c r="E59" s="341"/>
      <c r="F59" s="341"/>
      <c r="G59" s="370">
        <f>G60+G66+G67+G70+G71+G72+G73+G74+G75</f>
        <v>188881910.65000001</v>
      </c>
      <c r="H59" s="370">
        <f t="shared" ref="H59:Q59" si="82">H60+H66+H67+H70+H71+H72+H73+H74+H75</f>
        <v>25778867.81377</v>
      </c>
      <c r="I59" s="370">
        <f t="shared" si="82"/>
        <v>214660777.65000001</v>
      </c>
      <c r="J59" s="370">
        <f t="shared" si="82"/>
        <v>137624840.70000014</v>
      </c>
      <c r="K59" s="370">
        <f t="shared" si="82"/>
        <v>25572444</v>
      </c>
      <c r="L59" s="370">
        <f t="shared" si="82"/>
        <v>30325110</v>
      </c>
      <c r="M59" s="370">
        <f t="shared" si="82"/>
        <v>12034086</v>
      </c>
      <c r="N59" s="370">
        <f t="shared" si="82"/>
        <v>3120542</v>
      </c>
      <c r="O59" s="370">
        <f t="shared" si="82"/>
        <v>673409</v>
      </c>
      <c r="P59" s="370">
        <f t="shared" si="82"/>
        <v>1415733</v>
      </c>
      <c r="Q59" s="370">
        <f t="shared" si="82"/>
        <v>3726681</v>
      </c>
      <c r="R59" s="323">
        <f t="shared" si="3"/>
        <v>214492845.70000014</v>
      </c>
      <c r="S59" s="344"/>
      <c r="T59" s="325">
        <f t="shared" si="6"/>
        <v>167931.94999986887</v>
      </c>
      <c r="U59" s="326">
        <f>U60+U66+U67+U70+U71+U72+U73+U74+U75</f>
        <v>11210155</v>
      </c>
      <c r="V59" s="326">
        <f t="shared" si="38"/>
        <v>-14362289</v>
      </c>
      <c r="W59" s="326">
        <f t="shared" si="39"/>
        <v>2.2811855857479224</v>
      </c>
      <c r="X59" s="331"/>
      <c r="Y59" s="370">
        <f>Y60+Y66+Y67+Y70+Y71+Y72+Y73+Y74+Y75</f>
        <v>26180242</v>
      </c>
      <c r="Z59" s="370">
        <f t="shared" ref="Z59:AA59" si="83">Z60+Z66+Z67+Z70+Z71+Z72+Z73+Z74+Z75</f>
        <v>19528281</v>
      </c>
      <c r="AA59" s="370">
        <f t="shared" si="83"/>
        <v>19351881.510000002</v>
      </c>
      <c r="AB59" s="345">
        <f t="shared" si="47"/>
        <v>0.73917886282334599</v>
      </c>
      <c r="AC59" s="345">
        <f t="shared" si="48"/>
        <v>0.97678409542585587</v>
      </c>
      <c r="AD59" s="342">
        <f t="shared" si="41"/>
        <v>3.7851711721238851E-8</v>
      </c>
      <c r="AF59" s="325">
        <f t="shared" si="4"/>
        <v>607798</v>
      </c>
      <c r="AI59" s="370">
        <f>AI60+AI66+AI67+AI70+AI71+AI72+AI73+AI74+AI75</f>
        <v>26180242</v>
      </c>
      <c r="AJ59" s="331">
        <f t="shared" si="50"/>
        <v>607798</v>
      </c>
    </row>
    <row r="60" spans="1:37" ht="114.75">
      <c r="A60" s="360" t="s">
        <v>532</v>
      </c>
      <c r="B60" s="361" t="s">
        <v>1022</v>
      </c>
      <c r="C60" s="362" t="s">
        <v>467</v>
      </c>
      <c r="D60" s="362"/>
      <c r="E60" s="362"/>
      <c r="F60" s="362"/>
      <c r="G60" s="363">
        <f>G61+G62+G63+G64+G65</f>
        <v>103338140.67</v>
      </c>
      <c r="H60" s="363">
        <f t="shared" ref="H60:Q60" si="84">H61+H62+H63+H64+H65</f>
        <v>10071088.81377</v>
      </c>
      <c r="I60" s="363">
        <f t="shared" si="84"/>
        <v>113409228.67</v>
      </c>
      <c r="J60" s="363">
        <f t="shared" si="84"/>
        <v>60475234.650000118</v>
      </c>
      <c r="K60" s="363">
        <f t="shared" si="84"/>
        <v>14077206</v>
      </c>
      <c r="L60" s="363">
        <f t="shared" si="84"/>
        <v>19074182</v>
      </c>
      <c r="M60" s="363">
        <f t="shared" si="84"/>
        <v>9485913</v>
      </c>
      <c r="N60" s="363">
        <f t="shared" si="84"/>
        <v>3120542</v>
      </c>
      <c r="O60" s="363">
        <f t="shared" si="84"/>
        <v>596120</v>
      </c>
      <c r="P60" s="363">
        <f t="shared" si="84"/>
        <v>1413001</v>
      </c>
      <c r="Q60" s="363">
        <f t="shared" si="84"/>
        <v>3726681</v>
      </c>
      <c r="R60" s="346">
        <f t="shared" si="3"/>
        <v>111968879.65000013</v>
      </c>
      <c r="S60" s="344"/>
      <c r="T60" s="325">
        <f t="shared" si="6"/>
        <v>1440349.0199998766</v>
      </c>
      <c r="U60" s="379">
        <f t="shared" ref="U60" si="85">SUM(U61:U65)</f>
        <v>10098153</v>
      </c>
      <c r="V60" s="365">
        <f t="shared" si="38"/>
        <v>-3979053</v>
      </c>
      <c r="W60" s="365">
        <f t="shared" si="39"/>
        <v>1.3940377017460519</v>
      </c>
      <c r="X60" s="331"/>
      <c r="Y60" s="363">
        <f>Y61+Y62+Y63+Y64+Y65</f>
        <v>14604982</v>
      </c>
      <c r="Z60" s="363">
        <f t="shared" ref="Z60:AA60" si="86">Z61+Z62+Z63+Z64+Z65</f>
        <v>10722020</v>
      </c>
      <c r="AA60" s="363">
        <f t="shared" si="86"/>
        <v>10583915.530000001</v>
      </c>
      <c r="AB60" s="366">
        <f t="shared" si="47"/>
        <v>0.72467843712508517</v>
      </c>
      <c r="AC60" s="366">
        <f t="shared" si="48"/>
        <v>0.96386328993763903</v>
      </c>
      <c r="AD60" s="367">
        <f t="shared" si="41"/>
        <v>6.7587864705072852E-8</v>
      </c>
      <c r="AF60" s="325">
        <f t="shared" si="4"/>
        <v>527776</v>
      </c>
      <c r="AI60" s="363">
        <f>AI61+AI62+AI63+AI64+AI65</f>
        <v>14604982</v>
      </c>
      <c r="AJ60" s="331">
        <f t="shared" si="50"/>
        <v>527776</v>
      </c>
    </row>
    <row r="61" spans="1:37" ht="76.5">
      <c r="A61" s="360" t="s">
        <v>33</v>
      </c>
      <c r="B61" s="372" t="s">
        <v>1023</v>
      </c>
      <c r="C61" s="362" t="s">
        <v>467</v>
      </c>
      <c r="D61" s="362" t="s">
        <v>1024</v>
      </c>
      <c r="E61" s="362"/>
      <c r="F61" s="362" t="s">
        <v>1025</v>
      </c>
      <c r="G61" s="363">
        <v>18120843.920000002</v>
      </c>
      <c r="H61" s="363">
        <v>2500000</v>
      </c>
      <c r="I61" s="363">
        <v>20620843.920000002</v>
      </c>
      <c r="J61" s="346">
        <v>2958499.4299999997</v>
      </c>
      <c r="K61" s="346">
        <v>4801241</v>
      </c>
      <c r="L61" s="347">
        <v>6406378</v>
      </c>
      <c r="M61" s="347">
        <v>1228045</v>
      </c>
      <c r="N61" s="347">
        <v>0</v>
      </c>
      <c r="O61" s="346">
        <v>0</v>
      </c>
      <c r="P61" s="346">
        <v>0</v>
      </c>
      <c r="Q61" s="346">
        <v>2726681</v>
      </c>
      <c r="R61" s="346">
        <f>J61+K61+L61+M61+N61+O61+P61+Q61</f>
        <v>18120844.43</v>
      </c>
      <c r="S61" s="374" t="s">
        <v>1026</v>
      </c>
      <c r="T61" s="325">
        <f t="shared" si="6"/>
        <v>2499999.4900000021</v>
      </c>
      <c r="U61" s="364">
        <f>4534332+794685</f>
        <v>5329017</v>
      </c>
      <c r="V61" s="365">
        <f t="shared" si="38"/>
        <v>527776</v>
      </c>
      <c r="W61" s="365">
        <f t="shared" si="39"/>
        <v>0.90096184718494987</v>
      </c>
      <c r="X61" s="331"/>
      <c r="Y61" s="351">
        <v>5329017</v>
      </c>
      <c r="Z61" s="351">
        <v>3902152</v>
      </c>
      <c r="AA61" s="351">
        <v>3764048.99</v>
      </c>
      <c r="AB61" s="366">
        <f t="shared" si="47"/>
        <v>0.70633082799323033</v>
      </c>
      <c r="AC61" s="366">
        <f t="shared" si="48"/>
        <v>0.90096184718494987</v>
      </c>
      <c r="AD61" s="367">
        <f t="shared" si="41"/>
        <v>1.8101058800201281E-7</v>
      </c>
      <c r="AF61" s="325">
        <f t="shared" si="4"/>
        <v>527776</v>
      </c>
      <c r="AI61" s="351">
        <v>5329017</v>
      </c>
      <c r="AJ61" s="331">
        <f t="shared" si="50"/>
        <v>527776</v>
      </c>
    </row>
    <row r="62" spans="1:37" ht="51">
      <c r="A62" s="360" t="s">
        <v>22</v>
      </c>
      <c r="B62" s="372" t="s">
        <v>1027</v>
      </c>
      <c r="C62" s="362" t="s">
        <v>467</v>
      </c>
      <c r="D62" s="362" t="s">
        <v>1004</v>
      </c>
      <c r="E62" s="362"/>
      <c r="F62" s="362" t="s">
        <v>1028</v>
      </c>
      <c r="G62" s="363">
        <v>75810889</v>
      </c>
      <c r="H62" s="363">
        <v>7571088.8137699999</v>
      </c>
      <c r="I62" s="363">
        <v>83381977</v>
      </c>
      <c r="J62" s="346">
        <v>51428936.980000101</v>
      </c>
      <c r="K62" s="346">
        <v>9275965</v>
      </c>
      <c r="L62" s="380">
        <v>12667804</v>
      </c>
      <c r="M62" s="347">
        <v>8257868</v>
      </c>
      <c r="N62" s="347">
        <v>3120542</v>
      </c>
      <c r="O62" s="346">
        <v>96120</v>
      </c>
      <c r="P62" s="346">
        <v>-86999</v>
      </c>
      <c r="Q62" s="346">
        <v>0</v>
      </c>
      <c r="R62" s="346">
        <f t="shared" si="3"/>
        <v>84760236.980000108</v>
      </c>
      <c r="S62" s="344" t="s">
        <v>1029</v>
      </c>
      <c r="T62" s="325">
        <f t="shared" si="6"/>
        <v>-1378259.9800001085</v>
      </c>
      <c r="U62" s="364">
        <v>4769136</v>
      </c>
      <c r="V62" s="365">
        <f t="shared" si="38"/>
        <v>-4506829</v>
      </c>
      <c r="W62" s="365">
        <f t="shared" si="39"/>
        <v>1.9449990522392315</v>
      </c>
      <c r="X62" s="331"/>
      <c r="Y62" s="351">
        <v>9275965</v>
      </c>
      <c r="Z62" s="351">
        <v>6819868</v>
      </c>
      <c r="AA62" s="351">
        <v>6819866.54</v>
      </c>
      <c r="AB62" s="366">
        <f t="shared" si="47"/>
        <v>0.73521908933464064</v>
      </c>
      <c r="AC62" s="366">
        <f t="shared" si="48"/>
        <v>1</v>
      </c>
      <c r="AD62" s="367">
        <f t="shared" si="41"/>
        <v>1.0780547209046284E-7</v>
      </c>
      <c r="AF62" s="325">
        <f t="shared" si="4"/>
        <v>0</v>
      </c>
      <c r="AI62" s="351">
        <v>9275965</v>
      </c>
      <c r="AJ62" s="331">
        <f t="shared" si="50"/>
        <v>0</v>
      </c>
    </row>
    <row r="63" spans="1:37" ht="140.25">
      <c r="A63" s="360" t="s">
        <v>34</v>
      </c>
      <c r="B63" s="372" t="s">
        <v>1030</v>
      </c>
      <c r="C63" s="362" t="s">
        <v>467</v>
      </c>
      <c r="D63" s="362" t="s">
        <v>1024</v>
      </c>
      <c r="E63" s="362"/>
      <c r="F63" s="362" t="s">
        <v>1031</v>
      </c>
      <c r="G63" s="363">
        <v>2398644.75</v>
      </c>
      <c r="H63" s="363">
        <v>0</v>
      </c>
      <c r="I63" s="363">
        <v>2398644.75</v>
      </c>
      <c r="J63" s="346">
        <v>1992268.84</v>
      </c>
      <c r="K63" s="346">
        <v>0</v>
      </c>
      <c r="L63" s="347">
        <v>0</v>
      </c>
      <c r="M63" s="347">
        <v>0</v>
      </c>
      <c r="N63" s="347">
        <v>0</v>
      </c>
      <c r="O63" s="346">
        <v>0</v>
      </c>
      <c r="P63" s="346">
        <v>0</v>
      </c>
      <c r="Q63" s="346">
        <v>0</v>
      </c>
      <c r="R63" s="346">
        <f t="shared" si="3"/>
        <v>1992268.84</v>
      </c>
      <c r="S63" s="374" t="s">
        <v>1032</v>
      </c>
      <c r="T63" s="325">
        <f t="shared" si="6"/>
        <v>406375.90999999992</v>
      </c>
      <c r="U63" s="364">
        <v>0</v>
      </c>
      <c r="V63" s="365">
        <f t="shared" si="38"/>
        <v>0</v>
      </c>
      <c r="W63" s="365" t="e">
        <f t="shared" si="39"/>
        <v>#DIV/0!</v>
      </c>
      <c r="X63" s="331"/>
      <c r="Y63" s="351">
        <v>0</v>
      </c>
      <c r="Z63" s="351">
        <v>0</v>
      </c>
      <c r="AA63" s="351">
        <v>0</v>
      </c>
      <c r="AB63" s="366" t="e">
        <f t="shared" si="47"/>
        <v>#DIV/0!</v>
      </c>
      <c r="AC63" s="366" t="e">
        <f t="shared" si="48"/>
        <v>#DIV/0!</v>
      </c>
      <c r="AD63" s="367" t="e">
        <f t="shared" si="41"/>
        <v>#DIV/0!</v>
      </c>
      <c r="AF63" s="325">
        <f t="shared" si="4"/>
        <v>0</v>
      </c>
      <c r="AI63" s="351">
        <v>0</v>
      </c>
      <c r="AJ63" s="331">
        <f t="shared" si="50"/>
        <v>0</v>
      </c>
    </row>
    <row r="64" spans="1:37" ht="51">
      <c r="A64" s="360" t="s">
        <v>167</v>
      </c>
      <c r="B64" s="372" t="s">
        <v>1033</v>
      </c>
      <c r="C64" s="362" t="s">
        <v>467</v>
      </c>
      <c r="D64" s="362" t="s">
        <v>1004</v>
      </c>
      <c r="E64" s="362"/>
      <c r="F64" s="362" t="s">
        <v>1028</v>
      </c>
      <c r="G64" s="363">
        <v>4007763</v>
      </c>
      <c r="H64" s="363">
        <v>0</v>
      </c>
      <c r="I64" s="363">
        <v>4007763</v>
      </c>
      <c r="J64" s="346">
        <v>4095529.4000000102</v>
      </c>
      <c r="K64" s="346">
        <v>0</v>
      </c>
      <c r="L64" s="347">
        <v>0</v>
      </c>
      <c r="M64" s="347">
        <v>0</v>
      </c>
      <c r="N64" s="347">
        <v>0</v>
      </c>
      <c r="O64" s="346">
        <v>0</v>
      </c>
      <c r="P64" s="346">
        <v>0</v>
      </c>
      <c r="Q64" s="346">
        <v>0</v>
      </c>
      <c r="R64" s="346">
        <f t="shared" si="3"/>
        <v>4095529.4000000102</v>
      </c>
      <c r="S64" s="344" t="s">
        <v>1029</v>
      </c>
      <c r="T64" s="325">
        <f t="shared" si="6"/>
        <v>-87766.400000010151</v>
      </c>
      <c r="U64" s="364">
        <v>0</v>
      </c>
      <c r="V64" s="365">
        <f t="shared" si="38"/>
        <v>0</v>
      </c>
      <c r="W64" s="365" t="e">
        <f t="shared" si="39"/>
        <v>#DIV/0!</v>
      </c>
      <c r="X64" s="331"/>
      <c r="Y64" s="351">
        <v>0</v>
      </c>
      <c r="Z64" s="351">
        <v>0</v>
      </c>
      <c r="AA64" s="351">
        <v>0</v>
      </c>
      <c r="AB64" s="366" t="e">
        <f t="shared" si="47"/>
        <v>#DIV/0!</v>
      </c>
      <c r="AC64" s="366" t="e">
        <f t="shared" si="48"/>
        <v>#DIV/0!</v>
      </c>
      <c r="AD64" s="367" t="e">
        <f t="shared" si="41"/>
        <v>#DIV/0!</v>
      </c>
      <c r="AF64" s="325">
        <f t="shared" si="4"/>
        <v>0</v>
      </c>
      <c r="AI64" s="351">
        <v>0</v>
      </c>
      <c r="AJ64" s="331">
        <f t="shared" si="50"/>
        <v>0</v>
      </c>
    </row>
    <row r="65" spans="1:36" ht="76.5">
      <c r="A65" s="360" t="s">
        <v>169</v>
      </c>
      <c r="B65" s="372" t="s">
        <v>1034</v>
      </c>
      <c r="C65" s="362" t="s">
        <v>467</v>
      </c>
      <c r="D65" s="381" t="s">
        <v>1024</v>
      </c>
      <c r="E65" s="362"/>
      <c r="F65" s="362" t="s">
        <v>1035</v>
      </c>
      <c r="G65" s="363">
        <v>3000000</v>
      </c>
      <c r="H65" s="363">
        <v>0</v>
      </c>
      <c r="I65" s="363">
        <v>3000000</v>
      </c>
      <c r="J65" s="382">
        <v>0</v>
      </c>
      <c r="K65" s="382">
        <v>0</v>
      </c>
      <c r="L65" s="383">
        <v>0</v>
      </c>
      <c r="M65" s="383">
        <v>0</v>
      </c>
      <c r="N65" s="383">
        <v>0</v>
      </c>
      <c r="O65" s="382">
        <v>500000</v>
      </c>
      <c r="P65" s="382">
        <v>1500000</v>
      </c>
      <c r="Q65" s="382">
        <v>1000000</v>
      </c>
      <c r="R65" s="382">
        <f t="shared" si="3"/>
        <v>3000000</v>
      </c>
      <c r="S65" s="384" t="s">
        <v>1036</v>
      </c>
      <c r="T65" s="325">
        <f t="shared" si="6"/>
        <v>0</v>
      </c>
      <c r="U65" s="364">
        <v>0</v>
      </c>
      <c r="V65" s="365">
        <f t="shared" si="38"/>
        <v>0</v>
      </c>
      <c r="W65" s="365" t="e">
        <f t="shared" si="39"/>
        <v>#DIV/0!</v>
      </c>
      <c r="X65" s="331"/>
      <c r="Y65" s="382">
        <v>0</v>
      </c>
      <c r="Z65" s="382">
        <v>0</v>
      </c>
      <c r="AA65" s="382">
        <v>0</v>
      </c>
      <c r="AB65" s="366" t="e">
        <f t="shared" si="47"/>
        <v>#DIV/0!</v>
      </c>
      <c r="AC65" s="366" t="e">
        <f t="shared" si="48"/>
        <v>#DIV/0!</v>
      </c>
      <c r="AD65" s="367" t="e">
        <f t="shared" si="41"/>
        <v>#DIV/0!</v>
      </c>
      <c r="AF65" s="325">
        <f t="shared" si="4"/>
        <v>0</v>
      </c>
      <c r="AI65" s="382">
        <v>0</v>
      </c>
      <c r="AJ65" s="331">
        <f t="shared" si="50"/>
        <v>0</v>
      </c>
    </row>
    <row r="66" spans="1:36" ht="51">
      <c r="A66" s="360" t="s">
        <v>35</v>
      </c>
      <c r="B66" s="361" t="s">
        <v>1037</v>
      </c>
      <c r="C66" s="362" t="s">
        <v>467</v>
      </c>
      <c r="D66" s="362" t="s">
        <v>1024</v>
      </c>
      <c r="E66" s="362"/>
      <c r="F66" s="362" t="s">
        <v>1038</v>
      </c>
      <c r="G66" s="363">
        <v>14315239</v>
      </c>
      <c r="H66" s="363">
        <v>0</v>
      </c>
      <c r="I66" s="363">
        <v>14315239</v>
      </c>
      <c r="J66" s="346">
        <v>14315238</v>
      </c>
      <c r="K66" s="346">
        <v>0</v>
      </c>
      <c r="L66" s="347">
        <v>0</v>
      </c>
      <c r="M66" s="347">
        <v>0</v>
      </c>
      <c r="N66" s="347">
        <v>0</v>
      </c>
      <c r="O66" s="346">
        <v>0</v>
      </c>
      <c r="P66" s="346">
        <v>0</v>
      </c>
      <c r="Q66" s="346">
        <v>0</v>
      </c>
      <c r="R66" s="346">
        <f t="shared" si="3"/>
        <v>14315238</v>
      </c>
      <c r="S66" s="344"/>
      <c r="T66" s="325">
        <f t="shared" si="6"/>
        <v>1</v>
      </c>
      <c r="U66" s="364">
        <v>0</v>
      </c>
      <c r="V66" s="365">
        <f t="shared" si="38"/>
        <v>0</v>
      </c>
      <c r="W66" s="365" t="e">
        <f t="shared" si="39"/>
        <v>#DIV/0!</v>
      </c>
      <c r="X66" s="331"/>
      <c r="Y66" s="351">
        <v>0</v>
      </c>
      <c r="Z66" s="351">
        <v>0</v>
      </c>
      <c r="AA66" s="351">
        <v>0</v>
      </c>
      <c r="AB66" s="366" t="e">
        <f t="shared" si="47"/>
        <v>#DIV/0!</v>
      </c>
      <c r="AC66" s="366" t="e">
        <f t="shared" si="48"/>
        <v>#DIV/0!</v>
      </c>
      <c r="AD66" s="367" t="e">
        <f t="shared" si="41"/>
        <v>#DIV/0!</v>
      </c>
      <c r="AF66" s="325">
        <f t="shared" si="4"/>
        <v>0</v>
      </c>
      <c r="AI66" s="351">
        <v>0</v>
      </c>
      <c r="AJ66" s="331">
        <f t="shared" si="50"/>
        <v>0</v>
      </c>
    </row>
    <row r="67" spans="1:36" ht="102">
      <c r="A67" s="360" t="s">
        <v>544</v>
      </c>
      <c r="B67" s="361" t="s">
        <v>1039</v>
      </c>
      <c r="C67" s="362" t="s">
        <v>467</v>
      </c>
      <c r="D67" s="362" t="s">
        <v>1004</v>
      </c>
      <c r="E67" s="362"/>
      <c r="F67" s="362"/>
      <c r="G67" s="363">
        <f>G68+G69</f>
        <v>7300105.8599999994</v>
      </c>
      <c r="H67" s="363">
        <f t="shared" ref="H67:Q67" si="87">H68+H69</f>
        <v>0</v>
      </c>
      <c r="I67" s="363">
        <f t="shared" si="87"/>
        <v>7300105.8599999994</v>
      </c>
      <c r="J67" s="363">
        <f t="shared" si="87"/>
        <v>6696939.0899999999</v>
      </c>
      <c r="K67" s="363">
        <f t="shared" si="87"/>
        <v>130905</v>
      </c>
      <c r="L67" s="363">
        <f t="shared" si="87"/>
        <v>0</v>
      </c>
      <c r="M67" s="363">
        <f t="shared" si="87"/>
        <v>573133</v>
      </c>
      <c r="N67" s="363">
        <f t="shared" si="87"/>
        <v>0</v>
      </c>
      <c r="O67" s="363">
        <f t="shared" si="87"/>
        <v>0</v>
      </c>
      <c r="P67" s="363">
        <f t="shared" si="87"/>
        <v>0</v>
      </c>
      <c r="Q67" s="363">
        <f t="shared" si="87"/>
        <v>0</v>
      </c>
      <c r="R67" s="346">
        <f t="shared" si="3"/>
        <v>7400977.0899999999</v>
      </c>
      <c r="S67" s="344"/>
      <c r="T67" s="325">
        <f t="shared" si="6"/>
        <v>-100871.23000000045</v>
      </c>
      <c r="U67" s="364">
        <f>SUM(U68:U69)</f>
        <v>130906</v>
      </c>
      <c r="V67" s="365">
        <f t="shared" si="38"/>
        <v>1</v>
      </c>
      <c r="W67" s="365">
        <f t="shared" si="39"/>
        <v>0.99999236093074417</v>
      </c>
      <c r="X67" s="331"/>
      <c r="Y67" s="363">
        <f>Y68+Y69</f>
        <v>130906</v>
      </c>
      <c r="Z67" s="363">
        <f t="shared" ref="Z67:AA67" si="88">Z68+Z69</f>
        <v>130906</v>
      </c>
      <c r="AA67" s="363">
        <f t="shared" si="88"/>
        <v>130905.44</v>
      </c>
      <c r="AB67" s="366">
        <f t="shared" si="47"/>
        <v>0.99999572212121679</v>
      </c>
      <c r="AC67" s="366">
        <f t="shared" si="48"/>
        <v>0.99999236093074417</v>
      </c>
      <c r="AD67" s="367">
        <f t="shared" si="41"/>
        <v>7.6390365767895801E-6</v>
      </c>
      <c r="AF67" s="325">
        <f t="shared" si="4"/>
        <v>1</v>
      </c>
      <c r="AI67" s="363">
        <f>AI68+AI69</f>
        <v>130906</v>
      </c>
      <c r="AJ67" s="331">
        <f t="shared" si="50"/>
        <v>1</v>
      </c>
    </row>
    <row r="68" spans="1:36" ht="89.25">
      <c r="A68" s="360" t="s">
        <v>168</v>
      </c>
      <c r="B68" s="372" t="s">
        <v>1040</v>
      </c>
      <c r="C68" s="362" t="s">
        <v>467</v>
      </c>
      <c r="D68" s="362" t="s">
        <v>1004</v>
      </c>
      <c r="E68" s="362"/>
      <c r="F68" s="362" t="s">
        <v>986</v>
      </c>
      <c r="G68" s="363">
        <v>611457.76</v>
      </c>
      <c r="H68" s="363">
        <v>0</v>
      </c>
      <c r="I68" s="363">
        <v>611457.76</v>
      </c>
      <c r="J68" s="346">
        <v>718063</v>
      </c>
      <c r="K68" s="346">
        <v>0</v>
      </c>
      <c r="L68" s="347">
        <v>0</v>
      </c>
      <c r="M68" s="347">
        <v>0</v>
      </c>
      <c r="N68" s="347">
        <v>0</v>
      </c>
      <c r="O68" s="346">
        <v>0</v>
      </c>
      <c r="P68" s="346">
        <v>0</v>
      </c>
      <c r="Q68" s="346">
        <v>0</v>
      </c>
      <c r="R68" s="346">
        <f t="shared" si="3"/>
        <v>718063</v>
      </c>
      <c r="S68" s="344" t="s">
        <v>1029</v>
      </c>
      <c r="T68" s="325">
        <f t="shared" si="6"/>
        <v>-106605.23999999999</v>
      </c>
      <c r="U68" s="364">
        <v>0</v>
      </c>
      <c r="V68" s="365">
        <f t="shared" si="38"/>
        <v>0</v>
      </c>
      <c r="W68" s="365" t="e">
        <f t="shared" si="39"/>
        <v>#DIV/0!</v>
      </c>
      <c r="X68" s="331"/>
      <c r="Y68" s="351">
        <v>0</v>
      </c>
      <c r="Z68" s="351">
        <v>0</v>
      </c>
      <c r="AA68" s="351">
        <v>0</v>
      </c>
      <c r="AB68" s="366" t="e">
        <f t="shared" si="47"/>
        <v>#DIV/0!</v>
      </c>
      <c r="AC68" s="366" t="e">
        <f t="shared" si="48"/>
        <v>#DIV/0!</v>
      </c>
      <c r="AD68" s="367" t="e">
        <f t="shared" si="41"/>
        <v>#DIV/0!</v>
      </c>
      <c r="AF68" s="325">
        <f t="shared" si="4"/>
        <v>0</v>
      </c>
      <c r="AI68" s="351">
        <v>0</v>
      </c>
      <c r="AJ68" s="331">
        <f t="shared" si="50"/>
        <v>0</v>
      </c>
    </row>
    <row r="69" spans="1:36" ht="102">
      <c r="A69" s="360" t="s">
        <v>23</v>
      </c>
      <c r="B69" s="372" t="s">
        <v>1041</v>
      </c>
      <c r="C69" s="362" t="s">
        <v>467</v>
      </c>
      <c r="D69" s="362" t="s">
        <v>1004</v>
      </c>
      <c r="E69" s="362"/>
      <c r="F69" s="362" t="s">
        <v>1042</v>
      </c>
      <c r="G69" s="363">
        <v>6688648.0999999996</v>
      </c>
      <c r="H69" s="363">
        <v>0</v>
      </c>
      <c r="I69" s="363">
        <v>6688648.0999999996</v>
      </c>
      <c r="J69" s="346">
        <v>5978876.0899999999</v>
      </c>
      <c r="K69" s="346">
        <v>130905</v>
      </c>
      <c r="L69" s="347">
        <v>0</v>
      </c>
      <c r="M69" s="347">
        <v>573133</v>
      </c>
      <c r="N69" s="347">
        <v>0</v>
      </c>
      <c r="O69" s="346">
        <v>0</v>
      </c>
      <c r="P69" s="346">
        <v>0</v>
      </c>
      <c r="Q69" s="346">
        <v>0</v>
      </c>
      <c r="R69" s="346">
        <f>J69+K69+L69+M69+N69+O69+P69+Q69</f>
        <v>6682914.0899999999</v>
      </c>
      <c r="S69" s="344" t="s">
        <v>1043</v>
      </c>
      <c r="T69" s="325">
        <f t="shared" si="6"/>
        <v>5734.0099999997765</v>
      </c>
      <c r="U69" s="364">
        <f>433519-198385-105835+1607</f>
        <v>130906</v>
      </c>
      <c r="V69" s="365">
        <f t="shared" si="38"/>
        <v>1</v>
      </c>
      <c r="W69" s="365">
        <f t="shared" si="39"/>
        <v>0.99999236093074417</v>
      </c>
      <c r="X69" s="331"/>
      <c r="Y69" s="351">
        <v>130906</v>
      </c>
      <c r="Z69" s="351">
        <v>130906</v>
      </c>
      <c r="AA69" s="351">
        <v>130905.44</v>
      </c>
      <c r="AB69" s="366">
        <f t="shared" si="47"/>
        <v>0.99999572212121679</v>
      </c>
      <c r="AC69" s="366">
        <f t="shared" si="48"/>
        <v>0.99999236093074417</v>
      </c>
      <c r="AD69" s="367">
        <f t="shared" si="41"/>
        <v>7.6390365767895801E-6</v>
      </c>
      <c r="AF69" s="325">
        <f t="shared" si="4"/>
        <v>1</v>
      </c>
      <c r="AI69" s="351">
        <v>130906</v>
      </c>
      <c r="AJ69" s="331">
        <f t="shared" si="50"/>
        <v>1</v>
      </c>
    </row>
    <row r="70" spans="1:36" ht="76.5">
      <c r="A70" s="360" t="s">
        <v>24</v>
      </c>
      <c r="B70" s="361" t="s">
        <v>1044</v>
      </c>
      <c r="C70" s="362" t="s">
        <v>467</v>
      </c>
      <c r="D70" s="362" t="s">
        <v>1004</v>
      </c>
      <c r="E70" s="362"/>
      <c r="F70" s="362" t="s">
        <v>986</v>
      </c>
      <c r="G70" s="363">
        <v>2318345.88</v>
      </c>
      <c r="H70" s="363">
        <v>0</v>
      </c>
      <c r="I70" s="363">
        <v>2318345.88</v>
      </c>
      <c r="J70" s="346">
        <v>1601943</v>
      </c>
      <c r="K70" s="346">
        <v>465728</v>
      </c>
      <c r="L70" s="347">
        <v>452239</v>
      </c>
      <c r="M70" s="347">
        <v>0</v>
      </c>
      <c r="N70" s="347">
        <v>0</v>
      </c>
      <c r="O70" s="346">
        <v>37000</v>
      </c>
      <c r="P70" s="346">
        <v>0</v>
      </c>
      <c r="Q70" s="346">
        <v>0</v>
      </c>
      <c r="R70" s="346">
        <f t="shared" si="3"/>
        <v>2556910</v>
      </c>
      <c r="S70" s="344" t="s">
        <v>1045</v>
      </c>
      <c r="T70" s="325">
        <f t="shared" si="6"/>
        <v>-238564.12000000011</v>
      </c>
      <c r="U70" s="364">
        <f>566229</f>
        <v>566229</v>
      </c>
      <c r="V70" s="365">
        <f t="shared" si="38"/>
        <v>100501</v>
      </c>
      <c r="W70" s="365">
        <f t="shared" si="39"/>
        <v>0.8225082078099144</v>
      </c>
      <c r="X70" s="331"/>
      <c r="Y70" s="351">
        <v>502728</v>
      </c>
      <c r="Z70" s="351">
        <v>285299</v>
      </c>
      <c r="AA70" s="351">
        <v>285297.18</v>
      </c>
      <c r="AB70" s="366">
        <f t="shared" si="47"/>
        <v>0.56749809041867572</v>
      </c>
      <c r="AC70" s="366">
        <f t="shared" si="48"/>
        <v>0.92640155312614381</v>
      </c>
      <c r="AD70" s="367">
        <f t="shared" si="41"/>
        <v>1.9891345234952654E-6</v>
      </c>
      <c r="AF70" s="325">
        <f t="shared" si="4"/>
        <v>37000</v>
      </c>
      <c r="AI70" s="351">
        <v>502728</v>
      </c>
      <c r="AJ70" s="331">
        <f t="shared" si="50"/>
        <v>37000</v>
      </c>
    </row>
    <row r="71" spans="1:36" ht="76.5">
      <c r="A71" s="360" t="s">
        <v>550</v>
      </c>
      <c r="B71" s="361" t="s">
        <v>1046</v>
      </c>
      <c r="C71" s="362" t="s">
        <v>467</v>
      </c>
      <c r="D71" s="362" t="s">
        <v>1004</v>
      </c>
      <c r="E71" s="362"/>
      <c r="F71" s="362" t="s">
        <v>1047</v>
      </c>
      <c r="G71" s="363">
        <v>60503786.329999998</v>
      </c>
      <c r="H71" s="363">
        <v>15707779</v>
      </c>
      <c r="I71" s="363">
        <v>76211565.329999998</v>
      </c>
      <c r="J71" s="346">
        <v>54239639.689999998</v>
      </c>
      <c r="K71" s="346">
        <v>10598440</v>
      </c>
      <c r="L71" s="347">
        <v>10402799</v>
      </c>
      <c r="M71" s="347">
        <v>1899010</v>
      </c>
      <c r="N71" s="347">
        <v>0</v>
      </c>
      <c r="O71" s="346">
        <v>10000</v>
      </c>
      <c r="P71" s="346">
        <v>0</v>
      </c>
      <c r="Q71" s="346">
        <v>0</v>
      </c>
      <c r="R71" s="346">
        <f t="shared" ref="R71:R134" si="89">J71+K71+L71+M71+N71+O71+P71+Q71</f>
        <v>77149888.689999998</v>
      </c>
      <c r="S71" s="344" t="s">
        <v>1048</v>
      </c>
      <c r="T71" s="325">
        <f t="shared" si="6"/>
        <v>-938323.3599999994</v>
      </c>
      <c r="U71" s="364">
        <v>0</v>
      </c>
      <c r="V71" s="365">
        <f t="shared" si="38"/>
        <v>-10598440</v>
      </c>
      <c r="W71" s="365" t="e">
        <f t="shared" si="39"/>
        <v>#DIV/0!</v>
      </c>
      <c r="X71" s="331"/>
      <c r="Y71" s="351">
        <v>10608440</v>
      </c>
      <c r="Z71" s="351">
        <v>8154204</v>
      </c>
      <c r="AA71" s="351">
        <v>8154168.3399999999</v>
      </c>
      <c r="AB71" s="366">
        <f t="shared" si="47"/>
        <v>0.76864914539743823</v>
      </c>
      <c r="AC71" s="366">
        <f t="shared" si="48"/>
        <v>0.99905735433296505</v>
      </c>
      <c r="AD71" s="367">
        <f t="shared" si="41"/>
        <v>9.426415446528419E-8</v>
      </c>
      <c r="AF71" s="325">
        <f t="shared" ref="AF71:AF134" si="90">Y71-K71</f>
        <v>10000</v>
      </c>
      <c r="AI71" s="351">
        <v>10608440</v>
      </c>
      <c r="AJ71" s="331">
        <f t="shared" si="50"/>
        <v>10000</v>
      </c>
    </row>
    <row r="72" spans="1:36" ht="51">
      <c r="A72" s="360" t="s">
        <v>25</v>
      </c>
      <c r="B72" s="361" t="s">
        <v>1049</v>
      </c>
      <c r="C72" s="362" t="s">
        <v>467</v>
      </c>
      <c r="D72" s="362" t="s">
        <v>1004</v>
      </c>
      <c r="E72" s="362"/>
      <c r="F72" s="362" t="s">
        <v>1028</v>
      </c>
      <c r="G72" s="363">
        <v>0</v>
      </c>
      <c r="H72" s="363">
        <v>0</v>
      </c>
      <c r="I72" s="363">
        <v>0</v>
      </c>
      <c r="J72" s="346">
        <v>0</v>
      </c>
      <c r="K72" s="346">
        <v>0</v>
      </c>
      <c r="L72" s="347">
        <v>0</v>
      </c>
      <c r="M72" s="347">
        <v>0</v>
      </c>
      <c r="N72" s="347">
        <v>0</v>
      </c>
      <c r="O72" s="346">
        <v>0</v>
      </c>
      <c r="P72" s="346">
        <v>0</v>
      </c>
      <c r="Q72" s="346">
        <v>0</v>
      </c>
      <c r="R72" s="346">
        <f t="shared" si="89"/>
        <v>0</v>
      </c>
      <c r="S72" s="344"/>
      <c r="T72" s="325">
        <f t="shared" ref="T72:T135" si="91">I72-R72</f>
        <v>0</v>
      </c>
      <c r="U72" s="364">
        <v>0</v>
      </c>
      <c r="V72" s="365">
        <f t="shared" si="38"/>
        <v>0</v>
      </c>
      <c r="W72" s="365" t="e">
        <f t="shared" si="39"/>
        <v>#DIV/0!</v>
      </c>
      <c r="X72" s="331"/>
      <c r="Y72" s="351">
        <v>0</v>
      </c>
      <c r="Z72" s="351">
        <v>0</v>
      </c>
      <c r="AA72" s="351">
        <v>0</v>
      </c>
      <c r="AB72" s="366" t="e">
        <f t="shared" si="47"/>
        <v>#DIV/0!</v>
      </c>
      <c r="AC72" s="366" t="e">
        <f t="shared" si="48"/>
        <v>#DIV/0!</v>
      </c>
      <c r="AD72" s="367" t="e">
        <f t="shared" si="41"/>
        <v>#DIV/0!</v>
      </c>
      <c r="AF72" s="325">
        <f t="shared" si="90"/>
        <v>0</v>
      </c>
      <c r="AI72" s="351">
        <v>0</v>
      </c>
      <c r="AJ72" s="331">
        <f t="shared" si="50"/>
        <v>0</v>
      </c>
    </row>
    <row r="73" spans="1:36" ht="102">
      <c r="A73" s="360" t="s">
        <v>26</v>
      </c>
      <c r="B73" s="361" t="s">
        <v>1050</v>
      </c>
      <c r="C73" s="362" t="s">
        <v>467</v>
      </c>
      <c r="D73" s="362" t="s">
        <v>1004</v>
      </c>
      <c r="E73" s="362"/>
      <c r="F73" s="362" t="s">
        <v>1028</v>
      </c>
      <c r="G73" s="363">
        <v>1000000.13</v>
      </c>
      <c r="H73" s="363">
        <v>0</v>
      </c>
      <c r="I73" s="363">
        <v>1000000.13</v>
      </c>
      <c r="J73" s="346">
        <v>194894.06</v>
      </c>
      <c r="K73" s="346">
        <v>300165</v>
      </c>
      <c r="L73" s="347">
        <v>395890</v>
      </c>
      <c r="M73" s="347">
        <v>76030</v>
      </c>
      <c r="N73" s="347">
        <v>0</v>
      </c>
      <c r="O73" s="346">
        <v>30289</v>
      </c>
      <c r="P73" s="346">
        <v>2732</v>
      </c>
      <c r="Q73" s="346">
        <v>0</v>
      </c>
      <c r="R73" s="346">
        <f t="shared" si="89"/>
        <v>1000000.06</v>
      </c>
      <c r="S73" s="344"/>
      <c r="T73" s="325">
        <f t="shared" si="91"/>
        <v>6.9999999948777258E-2</v>
      </c>
      <c r="U73" s="364">
        <v>414867</v>
      </c>
      <c r="V73" s="365">
        <f t="shared" si="38"/>
        <v>114702</v>
      </c>
      <c r="W73" s="365">
        <f t="shared" si="39"/>
        <v>0.72352103204159401</v>
      </c>
      <c r="X73" s="331"/>
      <c r="Y73" s="351">
        <v>333186</v>
      </c>
      <c r="Z73" s="351">
        <v>235852</v>
      </c>
      <c r="AA73" s="351">
        <v>197595.02</v>
      </c>
      <c r="AB73" s="366">
        <f t="shared" si="47"/>
        <v>0.59304718685659064</v>
      </c>
      <c r="AC73" s="366">
        <f t="shared" si="48"/>
        <v>0.90089319479209806</v>
      </c>
      <c r="AD73" s="367">
        <f t="shared" si="41"/>
        <v>2.5144886914530749E-6</v>
      </c>
      <c r="AF73" s="325">
        <f t="shared" si="90"/>
        <v>33021</v>
      </c>
      <c r="AI73" s="351">
        <v>333186</v>
      </c>
      <c r="AJ73" s="331">
        <f t="shared" si="50"/>
        <v>33021</v>
      </c>
    </row>
    <row r="74" spans="1:36" ht="127.5">
      <c r="A74" s="360" t="s">
        <v>27</v>
      </c>
      <c r="B74" s="361" t="s">
        <v>1051</v>
      </c>
      <c r="C74" s="362" t="s">
        <v>467</v>
      </c>
      <c r="D74" s="362" t="s">
        <v>1004</v>
      </c>
      <c r="E74" s="362"/>
      <c r="F74" s="362" t="s">
        <v>1028</v>
      </c>
      <c r="G74" s="363">
        <v>0</v>
      </c>
      <c r="H74" s="363">
        <v>0</v>
      </c>
      <c r="I74" s="363">
        <v>0</v>
      </c>
      <c r="J74" s="346">
        <v>0</v>
      </c>
      <c r="K74" s="346">
        <v>0</v>
      </c>
      <c r="L74" s="347">
        <v>0</v>
      </c>
      <c r="M74" s="347">
        <v>0</v>
      </c>
      <c r="N74" s="347">
        <v>0</v>
      </c>
      <c r="O74" s="346">
        <v>0</v>
      </c>
      <c r="P74" s="346">
        <v>0</v>
      </c>
      <c r="Q74" s="346">
        <v>0</v>
      </c>
      <c r="R74" s="346">
        <f t="shared" si="89"/>
        <v>0</v>
      </c>
      <c r="S74" s="344"/>
      <c r="T74" s="325">
        <f t="shared" si="91"/>
        <v>0</v>
      </c>
      <c r="U74" s="364">
        <v>0</v>
      </c>
      <c r="V74" s="365">
        <f t="shared" si="38"/>
        <v>0</v>
      </c>
      <c r="W74" s="365" t="e">
        <f t="shared" si="39"/>
        <v>#DIV/0!</v>
      </c>
      <c r="X74" s="331"/>
      <c r="Y74" s="351">
        <v>0</v>
      </c>
      <c r="Z74" s="351">
        <v>0</v>
      </c>
      <c r="AA74" s="351">
        <v>0</v>
      </c>
      <c r="AB74" s="366" t="e">
        <f t="shared" si="47"/>
        <v>#DIV/0!</v>
      </c>
      <c r="AC74" s="366" t="e">
        <f t="shared" si="48"/>
        <v>#DIV/0!</v>
      </c>
      <c r="AD74" s="367" t="e">
        <f t="shared" si="41"/>
        <v>#DIV/0!</v>
      </c>
      <c r="AF74" s="325">
        <f t="shared" si="90"/>
        <v>0</v>
      </c>
      <c r="AI74" s="351">
        <v>0</v>
      </c>
      <c r="AJ74" s="331">
        <f t="shared" si="50"/>
        <v>0</v>
      </c>
    </row>
    <row r="75" spans="1:36" ht="38.25">
      <c r="A75" s="360" t="s">
        <v>36</v>
      </c>
      <c r="B75" s="361" t="s">
        <v>1052</v>
      </c>
      <c r="C75" s="362" t="s">
        <v>467</v>
      </c>
      <c r="D75" s="362" t="s">
        <v>1024</v>
      </c>
      <c r="E75" s="362"/>
      <c r="F75" s="362" t="s">
        <v>1053</v>
      </c>
      <c r="G75" s="363">
        <v>106292.78</v>
      </c>
      <c r="H75" s="363">
        <v>0</v>
      </c>
      <c r="I75" s="363">
        <v>106292.78</v>
      </c>
      <c r="J75" s="346">
        <v>100952.21</v>
      </c>
      <c r="K75" s="346">
        <v>0</v>
      </c>
      <c r="L75" s="347">
        <v>0</v>
      </c>
      <c r="M75" s="347">
        <v>0</v>
      </c>
      <c r="N75" s="347">
        <v>0</v>
      </c>
      <c r="O75" s="346">
        <v>0</v>
      </c>
      <c r="P75" s="346">
        <v>0</v>
      </c>
      <c r="Q75" s="346">
        <v>0</v>
      </c>
      <c r="R75" s="346">
        <f t="shared" si="89"/>
        <v>100952.21</v>
      </c>
      <c r="S75" s="344"/>
      <c r="T75" s="325">
        <f t="shared" si="91"/>
        <v>5340.5699999999924</v>
      </c>
      <c r="U75" s="364">
        <v>0</v>
      </c>
      <c r="V75" s="365">
        <f t="shared" si="38"/>
        <v>0</v>
      </c>
      <c r="W75" s="365" t="e">
        <f t="shared" si="39"/>
        <v>#DIV/0!</v>
      </c>
      <c r="X75" s="331"/>
      <c r="Y75" s="351">
        <v>0</v>
      </c>
      <c r="Z75" s="351">
        <v>0</v>
      </c>
      <c r="AA75" s="351">
        <v>0</v>
      </c>
      <c r="AB75" s="366" t="e">
        <f t="shared" si="47"/>
        <v>#DIV/0!</v>
      </c>
      <c r="AC75" s="366" t="e">
        <f t="shared" si="48"/>
        <v>#DIV/0!</v>
      </c>
      <c r="AD75" s="367" t="e">
        <f t="shared" si="41"/>
        <v>#DIV/0!</v>
      </c>
      <c r="AF75" s="325">
        <f t="shared" si="90"/>
        <v>0</v>
      </c>
      <c r="AI75" s="351">
        <v>0</v>
      </c>
      <c r="AJ75" s="331">
        <f t="shared" si="50"/>
        <v>0</v>
      </c>
    </row>
    <row r="76" spans="1:36" ht="25.5">
      <c r="A76" s="321" t="s">
        <v>556</v>
      </c>
      <c r="B76" s="359" t="s">
        <v>1054</v>
      </c>
      <c r="C76" s="341" t="s">
        <v>467</v>
      </c>
      <c r="D76" s="341" t="s">
        <v>1055</v>
      </c>
      <c r="E76" s="341"/>
      <c r="F76" s="341"/>
      <c r="G76" s="370">
        <f>G77+G78+G79</f>
        <v>10098255</v>
      </c>
      <c r="H76" s="370">
        <f t="shared" ref="H76:Q76" si="92">H77+H78+H79</f>
        <v>1200000</v>
      </c>
      <c r="I76" s="370">
        <f t="shared" si="92"/>
        <v>11298255</v>
      </c>
      <c r="J76" s="370">
        <f t="shared" si="92"/>
        <v>6964468</v>
      </c>
      <c r="K76" s="370">
        <f t="shared" si="92"/>
        <v>1900000</v>
      </c>
      <c r="L76" s="370">
        <f t="shared" si="92"/>
        <v>1336384</v>
      </c>
      <c r="M76" s="370">
        <f t="shared" si="92"/>
        <v>0</v>
      </c>
      <c r="N76" s="370">
        <f t="shared" si="92"/>
        <v>0</v>
      </c>
      <c r="O76" s="370">
        <f t="shared" si="92"/>
        <v>0</v>
      </c>
      <c r="P76" s="370">
        <f t="shared" si="92"/>
        <v>1200000</v>
      </c>
      <c r="Q76" s="370">
        <f t="shared" si="92"/>
        <v>0</v>
      </c>
      <c r="R76" s="346">
        <f t="shared" si="89"/>
        <v>11400852</v>
      </c>
      <c r="S76" s="344"/>
      <c r="T76" s="325">
        <f t="shared" si="91"/>
        <v>-102597</v>
      </c>
      <c r="U76" s="326">
        <f>SUM(U77:U79)</f>
        <v>1900000</v>
      </c>
      <c r="V76" s="326">
        <f t="shared" si="38"/>
        <v>0</v>
      </c>
      <c r="W76" s="326">
        <f t="shared" si="39"/>
        <v>1</v>
      </c>
      <c r="X76" s="331"/>
      <c r="Y76" s="370">
        <f>Y77+Y78+Y79</f>
        <v>1900000</v>
      </c>
      <c r="Z76" s="370">
        <f t="shared" ref="Z76:AA76" si="93">Z77+Z78+Z79</f>
        <v>1509624</v>
      </c>
      <c r="AA76" s="370">
        <f t="shared" si="93"/>
        <v>1111681.83</v>
      </c>
      <c r="AB76" s="345">
        <f t="shared" si="47"/>
        <v>0.5850957</v>
      </c>
      <c r="AC76" s="371">
        <f t="shared" si="48"/>
        <v>1</v>
      </c>
      <c r="AD76" s="342">
        <f t="shared" si="41"/>
        <v>3.875771052924437E-7</v>
      </c>
      <c r="AF76" s="325">
        <f t="shared" si="90"/>
        <v>0</v>
      </c>
      <c r="AI76" s="370">
        <f>AI77+AI78+AI79</f>
        <v>1900000</v>
      </c>
      <c r="AJ76" s="331">
        <f t="shared" si="50"/>
        <v>0</v>
      </c>
    </row>
    <row r="77" spans="1:36" ht="51">
      <c r="A77" s="360" t="s">
        <v>67</v>
      </c>
      <c r="B77" s="361" t="s">
        <v>1056</v>
      </c>
      <c r="C77" s="362" t="s">
        <v>467</v>
      </c>
      <c r="D77" s="362" t="s">
        <v>1055</v>
      </c>
      <c r="E77" s="362"/>
      <c r="F77" s="362" t="s">
        <v>1028</v>
      </c>
      <c r="G77" s="363">
        <v>0</v>
      </c>
      <c r="H77" s="363">
        <v>0</v>
      </c>
      <c r="I77" s="363">
        <v>0</v>
      </c>
      <c r="J77" s="346">
        <v>0</v>
      </c>
      <c r="K77" s="346">
        <v>0</v>
      </c>
      <c r="L77" s="347">
        <v>0</v>
      </c>
      <c r="M77" s="347">
        <v>0</v>
      </c>
      <c r="N77" s="347">
        <v>0</v>
      </c>
      <c r="O77" s="346">
        <v>0</v>
      </c>
      <c r="P77" s="346">
        <v>0</v>
      </c>
      <c r="Q77" s="346">
        <v>0</v>
      </c>
      <c r="R77" s="346">
        <f t="shared" si="89"/>
        <v>0</v>
      </c>
      <c r="S77" s="344"/>
      <c r="T77" s="325">
        <f t="shared" si="91"/>
        <v>0</v>
      </c>
      <c r="U77" s="364">
        <v>0</v>
      </c>
      <c r="V77" s="365">
        <f t="shared" si="38"/>
        <v>0</v>
      </c>
      <c r="W77" s="365" t="e">
        <f t="shared" si="39"/>
        <v>#DIV/0!</v>
      </c>
      <c r="X77" s="331"/>
      <c r="Y77" s="351">
        <v>0</v>
      </c>
      <c r="Z77" s="351">
        <v>0</v>
      </c>
      <c r="AA77" s="351">
        <v>0</v>
      </c>
      <c r="AB77" s="366" t="e">
        <f t="shared" si="47"/>
        <v>#DIV/0!</v>
      </c>
      <c r="AC77" s="366" t="e">
        <f t="shared" si="48"/>
        <v>#DIV/0!</v>
      </c>
      <c r="AD77" s="367" t="e">
        <f t="shared" si="41"/>
        <v>#DIV/0!</v>
      </c>
      <c r="AF77" s="325">
        <f t="shared" si="90"/>
        <v>0</v>
      </c>
      <c r="AI77" s="351">
        <v>0</v>
      </c>
      <c r="AJ77" s="331">
        <f t="shared" si="50"/>
        <v>0</v>
      </c>
    </row>
    <row r="78" spans="1:36" ht="38.25">
      <c r="A78" s="360" t="s">
        <v>68</v>
      </c>
      <c r="B78" s="361" t="s">
        <v>1057</v>
      </c>
      <c r="C78" s="362" t="s">
        <v>467</v>
      </c>
      <c r="D78" s="362" t="s">
        <v>1055</v>
      </c>
      <c r="E78" s="362"/>
      <c r="F78" s="362" t="s">
        <v>1028</v>
      </c>
      <c r="G78" s="363">
        <v>0</v>
      </c>
      <c r="H78" s="363">
        <v>0</v>
      </c>
      <c r="I78" s="363">
        <v>0</v>
      </c>
      <c r="J78" s="346">
        <v>0</v>
      </c>
      <c r="K78" s="346">
        <v>0</v>
      </c>
      <c r="L78" s="347">
        <v>0</v>
      </c>
      <c r="M78" s="347">
        <v>0</v>
      </c>
      <c r="N78" s="347">
        <v>0</v>
      </c>
      <c r="O78" s="346">
        <v>0</v>
      </c>
      <c r="P78" s="346">
        <v>0</v>
      </c>
      <c r="Q78" s="346">
        <v>0</v>
      </c>
      <c r="R78" s="346">
        <f t="shared" si="89"/>
        <v>0</v>
      </c>
      <c r="S78" s="344"/>
      <c r="T78" s="325">
        <f t="shared" si="91"/>
        <v>0</v>
      </c>
      <c r="U78" s="364">
        <v>0</v>
      </c>
      <c r="V78" s="365">
        <f t="shared" si="38"/>
        <v>0</v>
      </c>
      <c r="W78" s="365" t="e">
        <f t="shared" si="39"/>
        <v>#DIV/0!</v>
      </c>
      <c r="X78" s="331"/>
      <c r="Y78" s="351">
        <v>0</v>
      </c>
      <c r="Z78" s="351">
        <v>0</v>
      </c>
      <c r="AA78" s="351">
        <v>0</v>
      </c>
      <c r="AB78" s="366" t="e">
        <f t="shared" si="47"/>
        <v>#DIV/0!</v>
      </c>
      <c r="AC78" s="366" t="e">
        <f t="shared" si="48"/>
        <v>#DIV/0!</v>
      </c>
      <c r="AD78" s="367" t="e">
        <f t="shared" si="41"/>
        <v>#DIV/0!</v>
      </c>
      <c r="AF78" s="325">
        <f t="shared" si="90"/>
        <v>0</v>
      </c>
      <c r="AI78" s="351">
        <v>0</v>
      </c>
      <c r="AJ78" s="331">
        <f t="shared" si="50"/>
        <v>0</v>
      </c>
    </row>
    <row r="79" spans="1:36" ht="102">
      <c r="A79" s="360" t="s">
        <v>69</v>
      </c>
      <c r="B79" s="361" t="s">
        <v>1058</v>
      </c>
      <c r="C79" s="362" t="s">
        <v>467</v>
      </c>
      <c r="D79" s="362" t="s">
        <v>1055</v>
      </c>
      <c r="E79" s="362"/>
      <c r="F79" s="362" t="s">
        <v>1028</v>
      </c>
      <c r="G79" s="363">
        <v>10098255</v>
      </c>
      <c r="H79" s="376">
        <v>1200000</v>
      </c>
      <c r="I79" s="376">
        <v>11298255</v>
      </c>
      <c r="J79" s="368">
        <v>6964468</v>
      </c>
      <c r="K79" s="346">
        <v>1900000</v>
      </c>
      <c r="L79" s="347">
        <v>1336384</v>
      </c>
      <c r="M79" s="347">
        <v>0</v>
      </c>
      <c r="N79" s="347">
        <v>0</v>
      </c>
      <c r="O79" s="346">
        <v>0</v>
      </c>
      <c r="P79" s="346">
        <v>1200000</v>
      </c>
      <c r="Q79" s="346">
        <v>0</v>
      </c>
      <c r="R79" s="346">
        <f t="shared" si="89"/>
        <v>11400852</v>
      </c>
      <c r="S79" s="344" t="s">
        <v>1059</v>
      </c>
      <c r="T79" s="325">
        <f t="shared" si="91"/>
        <v>-102597</v>
      </c>
      <c r="U79" s="385">
        <v>1900000</v>
      </c>
      <c r="V79" s="365">
        <f t="shared" si="38"/>
        <v>0</v>
      </c>
      <c r="W79" s="365">
        <f t="shared" si="39"/>
        <v>1</v>
      </c>
      <c r="X79" s="331"/>
      <c r="Y79" s="351">
        <v>1900000</v>
      </c>
      <c r="Z79" s="351">
        <v>1509624</v>
      </c>
      <c r="AA79" s="351">
        <v>1111681.83</v>
      </c>
      <c r="AB79" s="366">
        <f t="shared" si="47"/>
        <v>0.5850957</v>
      </c>
      <c r="AC79" s="366">
        <f t="shared" si="48"/>
        <v>1</v>
      </c>
      <c r="AD79" s="367">
        <f t="shared" si="41"/>
        <v>3.875771052924437E-7</v>
      </c>
      <c r="AF79" s="325">
        <f t="shared" si="90"/>
        <v>0</v>
      </c>
      <c r="AI79" s="351">
        <v>1900000</v>
      </c>
      <c r="AJ79" s="331">
        <f t="shared" si="50"/>
        <v>0</v>
      </c>
    </row>
    <row r="80" spans="1:36" ht="38.25">
      <c r="A80" s="321" t="s">
        <v>562</v>
      </c>
      <c r="B80" s="359" t="s">
        <v>1060</v>
      </c>
      <c r="C80" s="341" t="s">
        <v>467</v>
      </c>
      <c r="D80" s="341"/>
      <c r="E80" s="341"/>
      <c r="F80" s="341"/>
      <c r="G80" s="370">
        <f>G81</f>
        <v>36258630.349999994</v>
      </c>
      <c r="H80" s="370">
        <f t="shared" ref="H80:Q80" si="94">H81</f>
        <v>2125171.2999999998</v>
      </c>
      <c r="I80" s="370">
        <f t="shared" si="94"/>
        <v>38383802.149999999</v>
      </c>
      <c r="J80" s="370">
        <f t="shared" si="94"/>
        <v>18592385.93</v>
      </c>
      <c r="K80" s="370">
        <f t="shared" si="94"/>
        <v>9660179</v>
      </c>
      <c r="L80" s="370">
        <f t="shared" si="94"/>
        <v>5679019.8900000006</v>
      </c>
      <c r="M80" s="370">
        <f t="shared" si="94"/>
        <v>570160</v>
      </c>
      <c r="N80" s="370">
        <f t="shared" si="94"/>
        <v>0</v>
      </c>
      <c r="O80" s="370">
        <f t="shared" si="94"/>
        <v>2015488</v>
      </c>
      <c r="P80" s="370">
        <f t="shared" si="94"/>
        <v>1179367</v>
      </c>
      <c r="Q80" s="370">
        <f t="shared" si="94"/>
        <v>9963</v>
      </c>
      <c r="R80" s="346">
        <f t="shared" si="89"/>
        <v>37706562.82</v>
      </c>
      <c r="S80" s="344"/>
      <c r="T80" s="325">
        <f t="shared" si="91"/>
        <v>677239.32999999821</v>
      </c>
      <c r="U80" s="326">
        <f>U81</f>
        <v>10418343</v>
      </c>
      <c r="V80" s="326">
        <f t="shared" si="38"/>
        <v>758164</v>
      </c>
      <c r="W80" s="326">
        <f t="shared" si="39"/>
        <v>0.92722796705771737</v>
      </c>
      <c r="X80" s="331"/>
      <c r="Y80" s="370">
        <f>Y81</f>
        <v>10353902</v>
      </c>
      <c r="Z80" s="370">
        <f t="shared" ref="Z80:AA80" si="95">Z81</f>
        <v>7678943</v>
      </c>
      <c r="AA80" s="370">
        <f t="shared" si="95"/>
        <v>7677337.9199999999</v>
      </c>
      <c r="AB80" s="345">
        <f t="shared" si="47"/>
        <v>0.74149223355600624</v>
      </c>
      <c r="AC80" s="371">
        <f t="shared" si="48"/>
        <v>0.93299888293321687</v>
      </c>
      <c r="AD80" s="342">
        <f t="shared" si="41"/>
        <v>9.6561757725771148E-8</v>
      </c>
      <c r="AF80" s="325">
        <f t="shared" si="90"/>
        <v>693723</v>
      </c>
      <c r="AI80" s="370">
        <f>AI81</f>
        <v>10353902</v>
      </c>
      <c r="AJ80" s="331">
        <f t="shared" si="50"/>
        <v>693723</v>
      </c>
    </row>
    <row r="81" spans="1:37" ht="25.5">
      <c r="A81" s="321" t="s">
        <v>564</v>
      </c>
      <c r="B81" s="359" t="s">
        <v>1061</v>
      </c>
      <c r="C81" s="341" t="s">
        <v>467</v>
      </c>
      <c r="D81" s="341"/>
      <c r="E81" s="341"/>
      <c r="F81" s="341"/>
      <c r="G81" s="370">
        <f>G82+G85</f>
        <v>36258630.349999994</v>
      </c>
      <c r="H81" s="370">
        <f t="shared" ref="H81:Q81" si="96">H82+H85</f>
        <v>2125171.2999999998</v>
      </c>
      <c r="I81" s="370">
        <f t="shared" si="96"/>
        <v>38383802.149999999</v>
      </c>
      <c r="J81" s="370">
        <f t="shared" si="96"/>
        <v>18592385.93</v>
      </c>
      <c r="K81" s="370">
        <f t="shared" si="96"/>
        <v>9660179</v>
      </c>
      <c r="L81" s="370">
        <f t="shared" si="96"/>
        <v>5679019.8900000006</v>
      </c>
      <c r="M81" s="370">
        <f t="shared" si="96"/>
        <v>570160</v>
      </c>
      <c r="N81" s="370">
        <f t="shared" si="96"/>
        <v>0</v>
      </c>
      <c r="O81" s="370">
        <f t="shared" si="96"/>
        <v>2015488</v>
      </c>
      <c r="P81" s="370">
        <f t="shared" si="96"/>
        <v>1179367</v>
      </c>
      <c r="Q81" s="370">
        <f t="shared" si="96"/>
        <v>9963</v>
      </c>
      <c r="R81" s="346">
        <f t="shared" si="89"/>
        <v>37706562.82</v>
      </c>
      <c r="S81" s="344"/>
      <c r="T81" s="325">
        <f t="shared" si="91"/>
        <v>677239.32999999821</v>
      </c>
      <c r="U81" s="326">
        <f>U82+U85</f>
        <v>10418343</v>
      </c>
      <c r="V81" s="326">
        <f t="shared" si="38"/>
        <v>758164</v>
      </c>
      <c r="W81" s="326">
        <f t="shared" si="39"/>
        <v>0.92722796705771737</v>
      </c>
      <c r="X81" s="331"/>
      <c r="Y81" s="370">
        <f>Y82+Y85</f>
        <v>10353902</v>
      </c>
      <c r="Z81" s="370">
        <f t="shared" ref="Z81:AA81" si="97">Z82+Z85</f>
        <v>7678943</v>
      </c>
      <c r="AA81" s="370">
        <f t="shared" si="97"/>
        <v>7677337.9199999999</v>
      </c>
      <c r="AB81" s="345">
        <f>AA81/Y81</f>
        <v>0.74149223355600624</v>
      </c>
      <c r="AC81" s="345">
        <f t="shared" si="48"/>
        <v>0.93299888293321687</v>
      </c>
      <c r="AD81" s="342">
        <f t="shared" si="41"/>
        <v>9.6561757725771148E-8</v>
      </c>
      <c r="AF81" s="325">
        <f t="shared" si="90"/>
        <v>693723</v>
      </c>
      <c r="AI81" s="370">
        <f>AI82+AI85</f>
        <v>10353902</v>
      </c>
      <c r="AJ81" s="331">
        <f t="shared" si="50"/>
        <v>693723</v>
      </c>
    </row>
    <row r="82" spans="1:37" ht="51">
      <c r="A82" s="360" t="s">
        <v>566</v>
      </c>
      <c r="B82" s="361" t="s">
        <v>1062</v>
      </c>
      <c r="C82" s="362" t="s">
        <v>467</v>
      </c>
      <c r="D82" s="362" t="s">
        <v>1004</v>
      </c>
      <c r="E82" s="362"/>
      <c r="F82" s="362"/>
      <c r="G82" s="363">
        <f>G83+G84</f>
        <v>21274461.119999997</v>
      </c>
      <c r="H82" s="363">
        <f t="shared" ref="H82:Q82" si="98">H83+H84</f>
        <v>2125171.2999999998</v>
      </c>
      <c r="I82" s="363">
        <f t="shared" si="98"/>
        <v>23399632.920000002</v>
      </c>
      <c r="J82" s="363">
        <f t="shared" si="98"/>
        <v>13355059.07</v>
      </c>
      <c r="K82" s="363">
        <f t="shared" si="98"/>
        <v>4111921</v>
      </c>
      <c r="L82" s="363">
        <f t="shared" si="98"/>
        <v>2524275</v>
      </c>
      <c r="M82" s="363">
        <f t="shared" si="98"/>
        <v>0</v>
      </c>
      <c r="N82" s="363">
        <f t="shared" si="98"/>
        <v>0</v>
      </c>
      <c r="O82" s="363">
        <f t="shared" si="98"/>
        <v>1715577</v>
      </c>
      <c r="P82" s="363">
        <f t="shared" si="98"/>
        <v>1175252</v>
      </c>
      <c r="Q82" s="363">
        <f t="shared" si="98"/>
        <v>0</v>
      </c>
      <c r="R82" s="346">
        <f t="shared" si="89"/>
        <v>22882084.07</v>
      </c>
      <c r="S82" s="344"/>
      <c r="T82" s="325">
        <f t="shared" si="91"/>
        <v>517548.85000000149</v>
      </c>
      <c r="U82" s="364">
        <f>SUM(U83:U84)</f>
        <v>4365516</v>
      </c>
      <c r="V82" s="365">
        <f t="shared" si="38"/>
        <v>253595</v>
      </c>
      <c r="W82" s="365">
        <f t="shared" si="39"/>
        <v>0.94190950164883147</v>
      </c>
      <c r="X82" s="331"/>
      <c r="Y82" s="363">
        <f>Y83+Y84</f>
        <v>4491655</v>
      </c>
      <c r="Z82" s="363">
        <f t="shared" ref="Z82:AA82" si="99">Z83+Z84</f>
        <v>3197395</v>
      </c>
      <c r="AA82" s="363">
        <f t="shared" si="99"/>
        <v>3197387.44</v>
      </c>
      <c r="AB82" s="366">
        <f t="shared" si="47"/>
        <v>0.71185062966768375</v>
      </c>
      <c r="AC82" s="366">
        <f t="shared" si="48"/>
        <v>0.91545788801677774</v>
      </c>
      <c r="AD82" s="367">
        <f t="shared" si="41"/>
        <v>2.226345602178285E-7</v>
      </c>
      <c r="AF82" s="325">
        <f t="shared" si="90"/>
        <v>379734</v>
      </c>
      <c r="AI82" s="363">
        <f>AI83+AI84</f>
        <v>4491655</v>
      </c>
      <c r="AJ82" s="331">
        <f t="shared" si="50"/>
        <v>379734</v>
      </c>
    </row>
    <row r="83" spans="1:37" ht="63.75">
      <c r="A83" s="360" t="s">
        <v>28</v>
      </c>
      <c r="B83" s="372" t="s">
        <v>1063</v>
      </c>
      <c r="C83" s="362" t="s">
        <v>467</v>
      </c>
      <c r="D83" s="362" t="s">
        <v>1004</v>
      </c>
      <c r="E83" s="362"/>
      <c r="F83" s="362" t="s">
        <v>1028</v>
      </c>
      <c r="G83" s="363">
        <v>11944613.619999999</v>
      </c>
      <c r="H83" s="363">
        <v>1194461.3</v>
      </c>
      <c r="I83" s="363">
        <v>13139074.92</v>
      </c>
      <c r="J83" s="346">
        <v>8077054.0700000003</v>
      </c>
      <c r="K83" s="346">
        <v>1765498</v>
      </c>
      <c r="L83" s="347">
        <v>1471344</v>
      </c>
      <c r="M83" s="347">
        <v>0</v>
      </c>
      <c r="N83" s="347">
        <v>0</v>
      </c>
      <c r="O83" s="346">
        <v>1094810</v>
      </c>
      <c r="P83" s="346">
        <v>785757</v>
      </c>
      <c r="Q83" s="346">
        <v>0</v>
      </c>
      <c r="R83" s="346">
        <f t="shared" si="89"/>
        <v>13194463.07</v>
      </c>
      <c r="S83" s="344" t="s">
        <v>1048</v>
      </c>
      <c r="T83" s="325">
        <f t="shared" si="91"/>
        <v>-55388.150000000373</v>
      </c>
      <c r="U83" s="364">
        <v>2508405</v>
      </c>
      <c r="V83" s="365">
        <f t="shared" ref="V83:V146" si="100">U83-K83</f>
        <v>742907</v>
      </c>
      <c r="W83" s="365">
        <f t="shared" ref="W83:W146" si="101">K83/U83</f>
        <v>0.70383291374399271</v>
      </c>
      <c r="X83" s="331"/>
      <c r="Y83" s="351">
        <v>2065680</v>
      </c>
      <c r="Z83" s="351">
        <v>1225934</v>
      </c>
      <c r="AA83" s="351">
        <v>1225934</v>
      </c>
      <c r="AB83" s="366">
        <f t="shared" si="47"/>
        <v>0.59347720847372298</v>
      </c>
      <c r="AC83" s="366">
        <f t="shared" si="48"/>
        <v>0.85468126718562409</v>
      </c>
      <c r="AD83" s="367">
        <f t="shared" ref="AD83:AD146" si="102">AB83/Z83</f>
        <v>4.8410208744820113E-7</v>
      </c>
      <c r="AF83" s="325">
        <f t="shared" si="90"/>
        <v>300182</v>
      </c>
      <c r="AI83" s="351">
        <v>2065680</v>
      </c>
      <c r="AJ83" s="331">
        <f t="shared" si="50"/>
        <v>300182</v>
      </c>
    </row>
    <row r="84" spans="1:37" ht="114.75">
      <c r="A84" s="360" t="s">
        <v>29</v>
      </c>
      <c r="B84" s="372" t="s">
        <v>1064</v>
      </c>
      <c r="C84" s="362" t="s">
        <v>467</v>
      </c>
      <c r="D84" s="362" t="s">
        <v>1004</v>
      </c>
      <c r="E84" s="362"/>
      <c r="F84" s="362" t="s">
        <v>1028</v>
      </c>
      <c r="G84" s="363">
        <v>9329847.5</v>
      </c>
      <c r="H84" s="363">
        <v>930710</v>
      </c>
      <c r="I84" s="363">
        <v>10260558</v>
      </c>
      <c r="J84" s="347">
        <v>5278005</v>
      </c>
      <c r="K84" s="346">
        <v>2346423</v>
      </c>
      <c r="L84" s="347">
        <v>1052931</v>
      </c>
      <c r="M84" s="347">
        <v>0</v>
      </c>
      <c r="N84" s="347">
        <v>0</v>
      </c>
      <c r="O84" s="346">
        <v>620767</v>
      </c>
      <c r="P84" s="346">
        <v>389495</v>
      </c>
      <c r="Q84" s="346">
        <v>0</v>
      </c>
      <c r="R84" s="346">
        <f t="shared" si="89"/>
        <v>9687621</v>
      </c>
      <c r="S84" s="374" t="s">
        <v>1065</v>
      </c>
      <c r="T84" s="325">
        <f t="shared" si="91"/>
        <v>572937</v>
      </c>
      <c r="U84" s="364">
        <v>1857111</v>
      </c>
      <c r="V84" s="365">
        <f t="shared" si="100"/>
        <v>-489312</v>
      </c>
      <c r="W84" s="365">
        <f t="shared" si="101"/>
        <v>1.2634802120067137</v>
      </c>
      <c r="X84" s="331"/>
      <c r="Y84" s="351">
        <v>2425975</v>
      </c>
      <c r="Z84" s="351">
        <v>1971461</v>
      </c>
      <c r="AA84" s="351">
        <v>1971453.44</v>
      </c>
      <c r="AB84" s="366">
        <f t="shared" si="47"/>
        <v>0.81264375766444419</v>
      </c>
      <c r="AC84" s="366">
        <f t="shared" si="48"/>
        <v>0.96720823586393101</v>
      </c>
      <c r="AD84" s="367">
        <f t="shared" si="102"/>
        <v>4.1220382125968721E-7</v>
      </c>
      <c r="AF84" s="325">
        <f t="shared" si="90"/>
        <v>79552</v>
      </c>
      <c r="AI84" s="351">
        <v>2425975</v>
      </c>
      <c r="AJ84" s="331">
        <f t="shared" si="50"/>
        <v>79552</v>
      </c>
    </row>
    <row r="85" spans="1:37" ht="89.25">
      <c r="A85" s="360" t="s">
        <v>571</v>
      </c>
      <c r="B85" s="361" t="s">
        <v>1066</v>
      </c>
      <c r="C85" s="362" t="s">
        <v>467</v>
      </c>
      <c r="D85" s="362" t="s">
        <v>1004</v>
      </c>
      <c r="E85" s="362"/>
      <c r="F85" s="362"/>
      <c r="G85" s="363">
        <f>G86+G87+G88</f>
        <v>14984169.229999999</v>
      </c>
      <c r="H85" s="363">
        <f t="shared" ref="H85:R85" si="103">H86+H87+H88</f>
        <v>0</v>
      </c>
      <c r="I85" s="363">
        <f t="shared" si="103"/>
        <v>14984169.229999999</v>
      </c>
      <c r="J85" s="363">
        <f t="shared" si="103"/>
        <v>5237326.8599999994</v>
      </c>
      <c r="K85" s="363">
        <f t="shared" si="103"/>
        <v>5548258</v>
      </c>
      <c r="L85" s="363">
        <f t="shared" si="103"/>
        <v>3154744.89</v>
      </c>
      <c r="M85" s="363">
        <f t="shared" si="103"/>
        <v>570160</v>
      </c>
      <c r="N85" s="363">
        <f t="shared" si="103"/>
        <v>0</v>
      </c>
      <c r="O85" s="363">
        <f t="shared" si="103"/>
        <v>299911</v>
      </c>
      <c r="P85" s="363">
        <f t="shared" si="103"/>
        <v>4115</v>
      </c>
      <c r="Q85" s="363">
        <f t="shared" si="103"/>
        <v>9963</v>
      </c>
      <c r="R85" s="363">
        <f t="shared" si="103"/>
        <v>14824478.75</v>
      </c>
      <c r="S85" s="344"/>
      <c r="T85" s="325">
        <f t="shared" si="91"/>
        <v>159690.47999999858</v>
      </c>
      <c r="U85" s="364">
        <f>SUM(U86:U88)</f>
        <v>6052827</v>
      </c>
      <c r="V85" s="365">
        <f t="shared" si="100"/>
        <v>504569</v>
      </c>
      <c r="W85" s="365">
        <f t="shared" si="101"/>
        <v>0.91663911755614358</v>
      </c>
      <c r="X85" s="331"/>
      <c r="Y85" s="363">
        <f>Y86+Y87+Y88</f>
        <v>5862247</v>
      </c>
      <c r="Z85" s="363">
        <f t="shared" ref="Z85:AA85" si="104">Z86+Z87+Z88</f>
        <v>4481548</v>
      </c>
      <c r="AA85" s="363">
        <f t="shared" si="104"/>
        <v>4479950.4800000004</v>
      </c>
      <c r="AB85" s="366">
        <f t="shared" ref="AB85:AB148" si="105">AA85/Y85</f>
        <v>0.76420363727423979</v>
      </c>
      <c r="AC85" s="366">
        <f t="shared" ref="AC85:AC148" si="106">K85/Y85</f>
        <v>0.94643879727346869</v>
      </c>
      <c r="AD85" s="367">
        <f t="shared" si="102"/>
        <v>1.7052224750783431E-7</v>
      </c>
      <c r="AF85" s="325">
        <f t="shared" si="90"/>
        <v>313989</v>
      </c>
      <c r="AI85" s="363">
        <f>AI86+AI87+AI88</f>
        <v>5862247</v>
      </c>
      <c r="AJ85" s="331">
        <f t="shared" ref="AJ85:AJ148" si="107">AI85-K85</f>
        <v>313989</v>
      </c>
    </row>
    <row r="86" spans="1:37" ht="51">
      <c r="A86" s="360" t="s">
        <v>30</v>
      </c>
      <c r="B86" s="372" t="s">
        <v>1067</v>
      </c>
      <c r="C86" s="362" t="s">
        <v>467</v>
      </c>
      <c r="D86" s="362" t="s">
        <v>1004</v>
      </c>
      <c r="E86" s="362"/>
      <c r="F86" s="362" t="s">
        <v>1028</v>
      </c>
      <c r="G86" s="363">
        <v>1484807.69</v>
      </c>
      <c r="H86" s="363">
        <v>0</v>
      </c>
      <c r="I86" s="363">
        <v>1484807.69</v>
      </c>
      <c r="J86" s="346">
        <v>463020.26</v>
      </c>
      <c r="K86" s="386">
        <v>504808</v>
      </c>
      <c r="L86" s="387">
        <v>516172.89</v>
      </c>
      <c r="M86" s="387">
        <v>0</v>
      </c>
      <c r="N86" s="387">
        <v>0</v>
      </c>
      <c r="O86" s="386">
        <v>35000</v>
      </c>
      <c r="P86" s="386">
        <v>0</v>
      </c>
      <c r="Q86" s="386">
        <v>0</v>
      </c>
      <c r="R86" s="346">
        <f t="shared" si="89"/>
        <v>1519001.15</v>
      </c>
      <c r="S86" s="344" t="s">
        <v>1068</v>
      </c>
      <c r="T86" s="325">
        <f t="shared" si="91"/>
        <v>-34193.459999999963</v>
      </c>
      <c r="U86" s="364">
        <v>770455</v>
      </c>
      <c r="V86" s="365">
        <f t="shared" si="100"/>
        <v>265647</v>
      </c>
      <c r="W86" s="365">
        <f t="shared" si="101"/>
        <v>0.65520763704564189</v>
      </c>
      <c r="X86" s="331"/>
      <c r="Y86" s="351">
        <v>539808</v>
      </c>
      <c r="Z86" s="351">
        <v>434244</v>
      </c>
      <c r="AA86" s="351">
        <v>434128.71</v>
      </c>
      <c r="AB86" s="366">
        <f t="shared" si="105"/>
        <v>0.80422800329005872</v>
      </c>
      <c r="AC86" s="366">
        <f t="shared" si="106"/>
        <v>0.93516213172090823</v>
      </c>
      <c r="AD86" s="367">
        <f t="shared" si="102"/>
        <v>1.8520186883182238E-6</v>
      </c>
      <c r="AF86" s="325">
        <f t="shared" si="90"/>
        <v>35000</v>
      </c>
      <c r="AI86" s="351">
        <v>539808</v>
      </c>
      <c r="AJ86" s="331">
        <f t="shared" si="107"/>
        <v>35000</v>
      </c>
    </row>
    <row r="87" spans="1:37" ht="89.25">
      <c r="A87" s="360" t="s">
        <v>31</v>
      </c>
      <c r="B87" s="372" t="s">
        <v>1069</v>
      </c>
      <c r="C87" s="362" t="s">
        <v>467</v>
      </c>
      <c r="D87" s="362" t="s">
        <v>1004</v>
      </c>
      <c r="E87" s="362"/>
      <c r="F87" s="362" t="s">
        <v>1070</v>
      </c>
      <c r="G87" s="363">
        <v>3782517.83</v>
      </c>
      <c r="H87" s="363">
        <v>0</v>
      </c>
      <c r="I87" s="363">
        <v>3782517.83</v>
      </c>
      <c r="J87" s="346">
        <v>2385939.7800000003</v>
      </c>
      <c r="K87" s="386">
        <v>826540</v>
      </c>
      <c r="L87" s="387">
        <v>412383</v>
      </c>
      <c r="M87" s="387">
        <v>157653</v>
      </c>
      <c r="N87" s="387">
        <v>0</v>
      </c>
      <c r="O87" s="386">
        <v>0</v>
      </c>
      <c r="P87" s="386">
        <v>0</v>
      </c>
      <c r="Q87" s="386">
        <v>0</v>
      </c>
      <c r="R87" s="346">
        <f t="shared" si="89"/>
        <v>3782515.7800000003</v>
      </c>
      <c r="S87" s="344"/>
      <c r="T87" s="325">
        <f t="shared" si="91"/>
        <v>2.0499999998137355</v>
      </c>
      <c r="U87" s="364">
        <v>826540</v>
      </c>
      <c r="V87" s="365">
        <f t="shared" si="100"/>
        <v>0</v>
      </c>
      <c r="W87" s="365">
        <f t="shared" si="101"/>
        <v>1</v>
      </c>
      <c r="X87" s="331"/>
      <c r="Y87" s="351">
        <v>826540</v>
      </c>
      <c r="Z87" s="351">
        <v>752848</v>
      </c>
      <c r="AA87" s="351">
        <v>752188.83</v>
      </c>
      <c r="AB87" s="366">
        <f t="shared" si="105"/>
        <v>0.91004528516466232</v>
      </c>
      <c r="AC87" s="366">
        <f t="shared" si="106"/>
        <v>1</v>
      </c>
      <c r="AD87" s="367">
        <f t="shared" si="102"/>
        <v>1.2088034837904361E-6</v>
      </c>
      <c r="AF87" s="325">
        <f t="shared" si="90"/>
        <v>0</v>
      </c>
      <c r="AI87" s="351">
        <v>826540</v>
      </c>
      <c r="AJ87" s="331">
        <f t="shared" si="107"/>
        <v>0</v>
      </c>
    </row>
    <row r="88" spans="1:37" ht="102">
      <c r="A88" s="360" t="s">
        <v>32</v>
      </c>
      <c r="B88" s="372" t="s">
        <v>1071</v>
      </c>
      <c r="C88" s="362" t="s">
        <v>467</v>
      </c>
      <c r="D88" s="362" t="s">
        <v>1004</v>
      </c>
      <c r="E88" s="362" t="s">
        <v>1072</v>
      </c>
      <c r="F88" s="362" t="s">
        <v>1073</v>
      </c>
      <c r="G88" s="363">
        <v>9716843.709999999</v>
      </c>
      <c r="H88" s="363">
        <v>0</v>
      </c>
      <c r="I88" s="363">
        <v>9716843.709999999</v>
      </c>
      <c r="J88" s="346">
        <v>2388366.8199999998</v>
      </c>
      <c r="K88" s="386">
        <v>4216910</v>
      </c>
      <c r="L88" s="387">
        <v>2226189</v>
      </c>
      <c r="M88" s="387">
        <v>412507</v>
      </c>
      <c r="N88" s="387">
        <v>0</v>
      </c>
      <c r="O88" s="386">
        <v>264911</v>
      </c>
      <c r="P88" s="386">
        <v>4115</v>
      </c>
      <c r="Q88" s="386">
        <v>9963</v>
      </c>
      <c r="R88" s="346">
        <f t="shared" si="89"/>
        <v>9522961.8200000003</v>
      </c>
      <c r="S88" s="374" t="s">
        <v>1074</v>
      </c>
      <c r="T88" s="325">
        <f t="shared" si="91"/>
        <v>193881.88999999873</v>
      </c>
      <c r="U88" s="364">
        <v>4455832</v>
      </c>
      <c r="V88" s="365">
        <f t="shared" si="100"/>
        <v>238922</v>
      </c>
      <c r="W88" s="365">
        <f t="shared" si="101"/>
        <v>0.94637993532969822</v>
      </c>
      <c r="X88" s="331"/>
      <c r="Y88" s="351">
        <v>4495899</v>
      </c>
      <c r="Z88" s="351">
        <v>3294456</v>
      </c>
      <c r="AA88" s="351">
        <v>3293632.94</v>
      </c>
      <c r="AB88" s="366">
        <f t="shared" si="105"/>
        <v>0.73258606120822556</v>
      </c>
      <c r="AC88" s="366">
        <f t="shared" si="106"/>
        <v>0.93794589246778004</v>
      </c>
      <c r="AD88" s="367">
        <f t="shared" si="102"/>
        <v>2.2236935664286473E-7</v>
      </c>
      <c r="AF88" s="325">
        <f t="shared" si="90"/>
        <v>278989</v>
      </c>
      <c r="AG88" s="305">
        <v>278989</v>
      </c>
      <c r="AI88" s="351">
        <v>4495899</v>
      </c>
      <c r="AJ88" s="331">
        <f t="shared" si="107"/>
        <v>278989</v>
      </c>
      <c r="AK88" s="305">
        <v>278989</v>
      </c>
    </row>
    <row r="89" spans="1:37" ht="25.5">
      <c r="A89" s="321" t="s">
        <v>578</v>
      </c>
      <c r="B89" s="359" t="s">
        <v>1075</v>
      </c>
      <c r="C89" s="341" t="s">
        <v>467</v>
      </c>
      <c r="D89" s="341"/>
      <c r="E89" s="341"/>
      <c r="F89" s="341"/>
      <c r="G89" s="370">
        <f>G90+G98+G104</f>
        <v>16885634.279999997</v>
      </c>
      <c r="H89" s="370">
        <f t="shared" ref="H89:Q89" si="108">H90+H98+H104</f>
        <v>0</v>
      </c>
      <c r="I89" s="370">
        <f t="shared" si="108"/>
        <v>16885634.279999997</v>
      </c>
      <c r="J89" s="370">
        <f t="shared" si="108"/>
        <v>7948500.6799999997</v>
      </c>
      <c r="K89" s="370">
        <f t="shared" si="108"/>
        <v>3728569</v>
      </c>
      <c r="L89" s="370">
        <f t="shared" si="108"/>
        <v>2542945</v>
      </c>
      <c r="M89" s="370">
        <f t="shared" si="108"/>
        <v>451585</v>
      </c>
      <c r="N89" s="370">
        <f t="shared" si="108"/>
        <v>13795</v>
      </c>
      <c r="O89" s="370">
        <f t="shared" si="108"/>
        <v>1508620</v>
      </c>
      <c r="P89" s="370">
        <f t="shared" si="108"/>
        <v>291008</v>
      </c>
      <c r="Q89" s="370">
        <f t="shared" si="108"/>
        <v>33059</v>
      </c>
      <c r="R89" s="346">
        <f t="shared" si="89"/>
        <v>16518081.68</v>
      </c>
      <c r="S89" s="344"/>
      <c r="T89" s="325">
        <f t="shared" si="91"/>
        <v>367552.59999999776</v>
      </c>
      <c r="U89" s="326">
        <f>U90+U98+U104</f>
        <v>4435596</v>
      </c>
      <c r="V89" s="326">
        <f t="shared" si="100"/>
        <v>707027</v>
      </c>
      <c r="W89" s="326">
        <f t="shared" si="101"/>
        <v>0.84060157868300001</v>
      </c>
      <c r="X89" s="331"/>
      <c r="Y89" s="370">
        <f>Y90+Y98+Y104</f>
        <v>5504459</v>
      </c>
      <c r="Z89" s="370">
        <f t="shared" ref="Z89:AA89" si="109">Z90+Z98+Z104</f>
        <v>4020262</v>
      </c>
      <c r="AA89" s="370">
        <f t="shared" si="109"/>
        <v>3172822.9400000004</v>
      </c>
      <c r="AB89" s="345">
        <f t="shared" si="105"/>
        <v>0.57640958720920632</v>
      </c>
      <c r="AC89" s="345">
        <f t="shared" si="106"/>
        <v>0.67737247202676953</v>
      </c>
      <c r="AD89" s="342">
        <f t="shared" si="102"/>
        <v>1.4337612504090688E-7</v>
      </c>
      <c r="AF89" s="325">
        <f t="shared" si="90"/>
        <v>1775890</v>
      </c>
      <c r="AI89" s="370">
        <f>AI90+AI98+AI104</f>
        <v>4853564</v>
      </c>
      <c r="AJ89" s="331">
        <f t="shared" si="107"/>
        <v>1124995</v>
      </c>
    </row>
    <row r="90" spans="1:37" ht="38.25">
      <c r="A90" s="321" t="s">
        <v>580</v>
      </c>
      <c r="B90" s="359" t="s">
        <v>1076</v>
      </c>
      <c r="C90" s="341" t="s">
        <v>467</v>
      </c>
      <c r="D90" s="341"/>
      <c r="E90" s="341"/>
      <c r="F90" s="341"/>
      <c r="G90" s="370">
        <f>G91+G94+G95</f>
        <v>5779652.5</v>
      </c>
      <c r="H90" s="370">
        <f t="shared" ref="H90:Q90" si="110">H91+H94+H95</f>
        <v>0</v>
      </c>
      <c r="I90" s="370">
        <f t="shared" si="110"/>
        <v>5779652.5</v>
      </c>
      <c r="J90" s="370">
        <f t="shared" si="110"/>
        <v>2512664.7299999995</v>
      </c>
      <c r="K90" s="370">
        <f t="shared" si="110"/>
        <v>1028328</v>
      </c>
      <c r="L90" s="370">
        <f t="shared" si="110"/>
        <v>1165609</v>
      </c>
      <c r="M90" s="370">
        <f t="shared" si="110"/>
        <v>27650</v>
      </c>
      <c r="N90" s="370">
        <f t="shared" si="110"/>
        <v>0</v>
      </c>
      <c r="O90" s="370">
        <f t="shared" si="110"/>
        <v>887470</v>
      </c>
      <c r="P90" s="370">
        <f t="shared" si="110"/>
        <v>186475</v>
      </c>
      <c r="Q90" s="370">
        <f t="shared" si="110"/>
        <v>0</v>
      </c>
      <c r="R90" s="346">
        <f t="shared" si="89"/>
        <v>5808196.7299999995</v>
      </c>
      <c r="S90" s="344"/>
      <c r="T90" s="325">
        <f t="shared" si="91"/>
        <v>-28544.229999999516</v>
      </c>
      <c r="U90" s="326">
        <f>U91+U94+U95</f>
        <v>1708776</v>
      </c>
      <c r="V90" s="326">
        <f t="shared" si="100"/>
        <v>680448</v>
      </c>
      <c r="W90" s="326">
        <f t="shared" si="101"/>
        <v>0.60179216000224722</v>
      </c>
      <c r="X90" s="331"/>
      <c r="Y90" s="370">
        <f>Y91+Y94+Y95</f>
        <v>1983584</v>
      </c>
      <c r="Z90" s="370">
        <f t="shared" ref="Z90:AA90" si="111">Z91+Z94+Z95</f>
        <v>1295276</v>
      </c>
      <c r="AA90" s="370">
        <f t="shared" si="111"/>
        <v>859980.31</v>
      </c>
      <c r="AB90" s="345">
        <f t="shared" si="105"/>
        <v>0.43354872291770857</v>
      </c>
      <c r="AC90" s="345">
        <f t="shared" si="106"/>
        <v>0.51841918466775294</v>
      </c>
      <c r="AD90" s="342">
        <f t="shared" si="102"/>
        <v>3.3471532161308365E-7</v>
      </c>
      <c r="AF90" s="325">
        <f t="shared" si="90"/>
        <v>955256</v>
      </c>
      <c r="AI90" s="370">
        <f>AI91+AI94+AI95</f>
        <v>1706808</v>
      </c>
      <c r="AJ90" s="331">
        <f t="shared" si="107"/>
        <v>678480</v>
      </c>
    </row>
    <row r="91" spans="1:37" ht="51">
      <c r="A91" s="360" t="s">
        <v>582</v>
      </c>
      <c r="B91" s="361" t="s">
        <v>1077</v>
      </c>
      <c r="C91" s="362" t="s">
        <v>467</v>
      </c>
      <c r="D91" s="362"/>
      <c r="E91" s="362"/>
      <c r="F91" s="362"/>
      <c r="G91" s="363">
        <f>G92+G93</f>
        <v>2781474.04</v>
      </c>
      <c r="H91" s="363">
        <f t="shared" ref="H91:Q91" si="112">H92+H93</f>
        <v>0</v>
      </c>
      <c r="I91" s="363">
        <f t="shared" si="112"/>
        <v>2781474.04</v>
      </c>
      <c r="J91" s="363">
        <f t="shared" si="112"/>
        <v>865995.74</v>
      </c>
      <c r="K91" s="363">
        <f t="shared" si="112"/>
        <v>644609</v>
      </c>
      <c r="L91" s="363">
        <f t="shared" si="112"/>
        <v>754087</v>
      </c>
      <c r="M91" s="363">
        <f t="shared" si="112"/>
        <v>0</v>
      </c>
      <c r="N91" s="363">
        <f t="shared" si="112"/>
        <v>0</v>
      </c>
      <c r="O91" s="363">
        <f t="shared" si="112"/>
        <v>516782</v>
      </c>
      <c r="P91" s="363">
        <f t="shared" si="112"/>
        <v>0</v>
      </c>
      <c r="Q91" s="363">
        <f t="shared" si="112"/>
        <v>0</v>
      </c>
      <c r="R91" s="346">
        <f t="shared" si="89"/>
        <v>2781473.74</v>
      </c>
      <c r="S91" s="344"/>
      <c r="T91" s="325">
        <f t="shared" si="91"/>
        <v>0.29999999981373549</v>
      </c>
      <c r="U91" s="364">
        <f>SUM(U92:U93)</f>
        <v>802185</v>
      </c>
      <c r="V91" s="365">
        <f t="shared" si="100"/>
        <v>157576</v>
      </c>
      <c r="W91" s="365">
        <f t="shared" si="101"/>
        <v>0.80356650897236925</v>
      </c>
      <c r="X91" s="331"/>
      <c r="Y91" s="363">
        <f t="shared" ref="Y91:AA91" si="113">Y92+Y93</f>
        <v>1122369</v>
      </c>
      <c r="Z91" s="363">
        <f t="shared" si="113"/>
        <v>727868</v>
      </c>
      <c r="AA91" s="363">
        <f t="shared" si="113"/>
        <v>535376.42000000004</v>
      </c>
      <c r="AB91" s="366">
        <f t="shared" si="105"/>
        <v>0.4770057084612993</v>
      </c>
      <c r="AC91" s="366">
        <f t="shared" si="106"/>
        <v>0.57432894172950255</v>
      </c>
      <c r="AD91" s="367">
        <f t="shared" si="102"/>
        <v>6.5534644806654411E-7</v>
      </c>
      <c r="AF91" s="325">
        <f t="shared" si="90"/>
        <v>477760</v>
      </c>
      <c r="AI91" s="363">
        <f t="shared" ref="AI91" si="114">AI92+AI93</f>
        <v>1122369</v>
      </c>
      <c r="AJ91" s="331">
        <f t="shared" si="107"/>
        <v>477760</v>
      </c>
    </row>
    <row r="92" spans="1:37" ht="76.5">
      <c r="A92" s="360" t="s">
        <v>37</v>
      </c>
      <c r="B92" s="372" t="s">
        <v>1078</v>
      </c>
      <c r="C92" s="362" t="s">
        <v>467</v>
      </c>
      <c r="D92" s="362" t="s">
        <v>1079</v>
      </c>
      <c r="E92" s="362"/>
      <c r="F92" s="362" t="s">
        <v>986</v>
      </c>
      <c r="G92" s="363">
        <v>2781474.04</v>
      </c>
      <c r="H92" s="363">
        <v>0</v>
      </c>
      <c r="I92" s="363">
        <v>2781474.04</v>
      </c>
      <c r="J92" s="346">
        <v>865995.74</v>
      </c>
      <c r="K92" s="346">
        <v>644609</v>
      </c>
      <c r="L92" s="347">
        <v>754087</v>
      </c>
      <c r="M92" s="347">
        <v>0</v>
      </c>
      <c r="N92" s="347">
        <v>0</v>
      </c>
      <c r="O92" s="346">
        <v>516782</v>
      </c>
      <c r="P92" s="346">
        <v>0</v>
      </c>
      <c r="Q92" s="346">
        <v>0</v>
      </c>
      <c r="R92" s="346">
        <f t="shared" si="89"/>
        <v>2781473.74</v>
      </c>
      <c r="S92" s="344"/>
      <c r="T92" s="325">
        <f t="shared" si="91"/>
        <v>0.29999999981373549</v>
      </c>
      <c r="U92" s="364">
        <v>802185</v>
      </c>
      <c r="V92" s="365">
        <f t="shared" si="100"/>
        <v>157576</v>
      </c>
      <c r="W92" s="365">
        <f t="shared" si="101"/>
        <v>0.80356650897236925</v>
      </c>
      <c r="X92" s="331"/>
      <c r="Y92" s="351">
        <v>1122369</v>
      </c>
      <c r="Z92" s="351">
        <v>727868</v>
      </c>
      <c r="AA92" s="351">
        <v>535376.42000000004</v>
      </c>
      <c r="AB92" s="366">
        <f t="shared" si="105"/>
        <v>0.4770057084612993</v>
      </c>
      <c r="AC92" s="366">
        <f t="shared" si="106"/>
        <v>0.57432894172950255</v>
      </c>
      <c r="AD92" s="367">
        <f t="shared" si="102"/>
        <v>6.5534644806654411E-7</v>
      </c>
      <c r="AF92" s="325">
        <f t="shared" si="90"/>
        <v>477760</v>
      </c>
      <c r="AI92" s="351">
        <v>1122369</v>
      </c>
      <c r="AJ92" s="331">
        <f t="shared" si="107"/>
        <v>477760</v>
      </c>
    </row>
    <row r="93" spans="1:37" ht="38.25">
      <c r="A93" s="360" t="s">
        <v>38</v>
      </c>
      <c r="B93" s="372" t="s">
        <v>1080</v>
      </c>
      <c r="C93" s="362" t="s">
        <v>467</v>
      </c>
      <c r="D93" s="362" t="s">
        <v>1081</v>
      </c>
      <c r="E93" s="362"/>
      <c r="F93" s="362" t="s">
        <v>1082</v>
      </c>
      <c r="G93" s="363">
        <v>0</v>
      </c>
      <c r="H93" s="363">
        <v>0</v>
      </c>
      <c r="I93" s="363">
        <v>0</v>
      </c>
      <c r="J93" s="346">
        <v>0</v>
      </c>
      <c r="K93" s="346">
        <v>0</v>
      </c>
      <c r="L93" s="347">
        <v>0</v>
      </c>
      <c r="M93" s="347">
        <v>0</v>
      </c>
      <c r="N93" s="347">
        <v>0</v>
      </c>
      <c r="O93" s="346">
        <v>0</v>
      </c>
      <c r="P93" s="346">
        <v>0</v>
      </c>
      <c r="Q93" s="346">
        <v>0</v>
      </c>
      <c r="R93" s="346">
        <f t="shared" si="89"/>
        <v>0</v>
      </c>
      <c r="S93" s="344"/>
      <c r="T93" s="325">
        <f t="shared" si="91"/>
        <v>0</v>
      </c>
      <c r="U93" s="364">
        <v>0</v>
      </c>
      <c r="V93" s="365">
        <f t="shared" si="100"/>
        <v>0</v>
      </c>
      <c r="W93" s="365" t="e">
        <f t="shared" si="101"/>
        <v>#DIV/0!</v>
      </c>
      <c r="X93" s="331"/>
      <c r="Y93" s="351">
        <v>0</v>
      </c>
      <c r="Z93" s="351">
        <v>0</v>
      </c>
      <c r="AA93" s="351">
        <v>0</v>
      </c>
      <c r="AB93" s="366" t="e">
        <f t="shared" si="105"/>
        <v>#DIV/0!</v>
      </c>
      <c r="AC93" s="366" t="e">
        <f t="shared" si="106"/>
        <v>#DIV/0!</v>
      </c>
      <c r="AD93" s="367" t="e">
        <f t="shared" si="102"/>
        <v>#DIV/0!</v>
      </c>
      <c r="AF93" s="325">
        <f t="shared" si="90"/>
        <v>0</v>
      </c>
      <c r="AI93" s="351">
        <v>0</v>
      </c>
      <c r="AJ93" s="331">
        <f t="shared" si="107"/>
        <v>0</v>
      </c>
    </row>
    <row r="94" spans="1:37" ht="229.5">
      <c r="A94" s="360" t="s">
        <v>39</v>
      </c>
      <c r="B94" s="361" t="s">
        <v>1083</v>
      </c>
      <c r="C94" s="362" t="s">
        <v>467</v>
      </c>
      <c r="D94" s="362" t="s">
        <v>1081</v>
      </c>
      <c r="E94" s="362"/>
      <c r="F94" s="362" t="s">
        <v>1028</v>
      </c>
      <c r="G94" s="363">
        <v>2066020</v>
      </c>
      <c r="H94" s="363">
        <v>0</v>
      </c>
      <c r="I94" s="363">
        <v>2066020</v>
      </c>
      <c r="J94" s="346">
        <v>717410.16</v>
      </c>
      <c r="K94" s="346">
        <v>383719</v>
      </c>
      <c r="L94" s="347">
        <v>411522</v>
      </c>
      <c r="M94" s="347">
        <v>27650</v>
      </c>
      <c r="N94" s="347">
        <v>0</v>
      </c>
      <c r="O94" s="346">
        <v>345748</v>
      </c>
      <c r="P94" s="346">
        <v>186475</v>
      </c>
      <c r="Q94" s="346">
        <v>0</v>
      </c>
      <c r="R94" s="346">
        <f t="shared" si="89"/>
        <v>2072524.1600000001</v>
      </c>
      <c r="S94" s="344" t="s">
        <v>1084</v>
      </c>
      <c r="T94" s="325">
        <f>I94-R94</f>
        <v>-6504.160000000149</v>
      </c>
      <c r="U94" s="385">
        <v>906591</v>
      </c>
      <c r="V94" s="365">
        <f t="shared" si="100"/>
        <v>522872</v>
      </c>
      <c r="W94" s="365">
        <f t="shared" si="101"/>
        <v>0.42325480839761259</v>
      </c>
      <c r="X94" s="331"/>
      <c r="Y94" s="351">
        <v>861215</v>
      </c>
      <c r="Z94" s="351">
        <v>567408</v>
      </c>
      <c r="AA94" s="351">
        <v>324603.89</v>
      </c>
      <c r="AB94" s="366">
        <f t="shared" si="105"/>
        <v>0.37691388329278985</v>
      </c>
      <c r="AC94" s="366">
        <f t="shared" si="106"/>
        <v>0.44555540718635883</v>
      </c>
      <c r="AD94" s="367">
        <f t="shared" si="102"/>
        <v>6.6427312144486832E-7</v>
      </c>
      <c r="AF94" s="325">
        <f t="shared" si="90"/>
        <v>477496</v>
      </c>
      <c r="AI94" s="351">
        <f>861215-276776</f>
        <v>584439</v>
      </c>
      <c r="AJ94" s="331">
        <f t="shared" si="107"/>
        <v>200720</v>
      </c>
    </row>
    <row r="95" spans="1:37" ht="76.5">
      <c r="A95" s="360" t="s">
        <v>589</v>
      </c>
      <c r="B95" s="361" t="s">
        <v>1085</v>
      </c>
      <c r="C95" s="362" t="s">
        <v>467</v>
      </c>
      <c r="D95" s="362" t="s">
        <v>1081</v>
      </c>
      <c r="E95" s="362"/>
      <c r="F95" s="362"/>
      <c r="G95" s="363">
        <f>G96+G97</f>
        <v>932158.46</v>
      </c>
      <c r="H95" s="363">
        <f t="shared" ref="H95:Q95" si="115">H96+H97</f>
        <v>0</v>
      </c>
      <c r="I95" s="363">
        <f t="shared" si="115"/>
        <v>932158.46</v>
      </c>
      <c r="J95" s="363">
        <f t="shared" si="115"/>
        <v>929258.82999999984</v>
      </c>
      <c r="K95" s="363">
        <f t="shared" si="115"/>
        <v>0</v>
      </c>
      <c r="L95" s="363">
        <f t="shared" si="115"/>
        <v>0</v>
      </c>
      <c r="M95" s="363">
        <f t="shared" si="115"/>
        <v>0</v>
      </c>
      <c r="N95" s="363">
        <f t="shared" si="115"/>
        <v>0</v>
      </c>
      <c r="O95" s="363">
        <f t="shared" si="115"/>
        <v>24940</v>
      </c>
      <c r="P95" s="363">
        <f t="shared" si="115"/>
        <v>0</v>
      </c>
      <c r="Q95" s="363">
        <f t="shared" si="115"/>
        <v>0</v>
      </c>
      <c r="R95" s="346">
        <f t="shared" si="89"/>
        <v>954198.82999999984</v>
      </c>
      <c r="S95" s="344"/>
      <c r="T95" s="325">
        <f t="shared" si="91"/>
        <v>-22040.369999999879</v>
      </c>
      <c r="U95" s="364">
        <f>SUM(U96:U97)</f>
        <v>0</v>
      </c>
      <c r="V95" s="365">
        <f t="shared" si="100"/>
        <v>0</v>
      </c>
      <c r="W95" s="365" t="e">
        <f t="shared" si="101"/>
        <v>#DIV/0!</v>
      </c>
      <c r="X95" s="331"/>
      <c r="Y95" s="363">
        <f>Y96+Y97</f>
        <v>0</v>
      </c>
      <c r="Z95" s="363">
        <f t="shared" ref="Z95:AA95" si="116">Z96+Z97</f>
        <v>0</v>
      </c>
      <c r="AA95" s="363">
        <f t="shared" si="116"/>
        <v>0</v>
      </c>
      <c r="AB95" s="366" t="e">
        <f t="shared" si="105"/>
        <v>#DIV/0!</v>
      </c>
      <c r="AC95" s="366" t="e">
        <f t="shared" si="106"/>
        <v>#DIV/0!</v>
      </c>
      <c r="AD95" s="367" t="e">
        <f t="shared" si="102"/>
        <v>#DIV/0!</v>
      </c>
      <c r="AF95" s="325">
        <f t="shared" si="90"/>
        <v>0</v>
      </c>
      <c r="AI95" s="363">
        <f>AI96+AI97</f>
        <v>0</v>
      </c>
      <c r="AJ95" s="331">
        <f t="shared" si="107"/>
        <v>0</v>
      </c>
    </row>
    <row r="96" spans="1:37" ht="63.75">
      <c r="A96" s="360" t="s">
        <v>40</v>
      </c>
      <c r="B96" s="372" t="s">
        <v>1086</v>
      </c>
      <c r="C96" s="362" t="s">
        <v>467</v>
      </c>
      <c r="D96" s="362" t="s">
        <v>1081</v>
      </c>
      <c r="E96" s="362" t="s">
        <v>1087</v>
      </c>
      <c r="F96" s="362" t="s">
        <v>1088</v>
      </c>
      <c r="G96" s="363">
        <v>409218.87</v>
      </c>
      <c r="H96" s="363">
        <v>0</v>
      </c>
      <c r="I96" s="363">
        <v>409218.87</v>
      </c>
      <c r="J96" s="346">
        <v>411488.88999999996</v>
      </c>
      <c r="K96" s="346">
        <v>0</v>
      </c>
      <c r="L96" s="347">
        <v>0</v>
      </c>
      <c r="M96" s="347">
        <v>0</v>
      </c>
      <c r="N96" s="347">
        <v>0</v>
      </c>
      <c r="O96" s="346">
        <v>0</v>
      </c>
      <c r="P96" s="346">
        <v>0</v>
      </c>
      <c r="Q96" s="346">
        <v>0</v>
      </c>
      <c r="R96" s="346">
        <f t="shared" si="89"/>
        <v>411488.88999999996</v>
      </c>
      <c r="S96" s="344"/>
      <c r="T96" s="325">
        <f t="shared" si="91"/>
        <v>-2270.0199999999604</v>
      </c>
      <c r="U96" s="364">
        <v>0</v>
      </c>
      <c r="V96" s="365">
        <f t="shared" si="100"/>
        <v>0</v>
      </c>
      <c r="W96" s="365" t="e">
        <f t="shared" si="101"/>
        <v>#DIV/0!</v>
      </c>
      <c r="X96" s="331"/>
      <c r="Y96" s="351">
        <v>0</v>
      </c>
      <c r="Z96" s="351">
        <v>0</v>
      </c>
      <c r="AA96" s="351">
        <v>0</v>
      </c>
      <c r="AB96" s="366" t="e">
        <f t="shared" si="105"/>
        <v>#DIV/0!</v>
      </c>
      <c r="AC96" s="366" t="e">
        <f t="shared" si="106"/>
        <v>#DIV/0!</v>
      </c>
      <c r="AD96" s="367" t="e">
        <f t="shared" si="102"/>
        <v>#DIV/0!</v>
      </c>
      <c r="AF96" s="325">
        <f t="shared" si="90"/>
        <v>0</v>
      </c>
      <c r="AG96" s="305">
        <v>0</v>
      </c>
      <c r="AI96" s="351">
        <v>0</v>
      </c>
      <c r="AJ96" s="331">
        <f t="shared" si="107"/>
        <v>0</v>
      </c>
      <c r="AK96" s="305">
        <v>0</v>
      </c>
    </row>
    <row r="97" spans="1:37" ht="76.5">
      <c r="A97" s="360" t="s">
        <v>41</v>
      </c>
      <c r="B97" s="372" t="s">
        <v>1089</v>
      </c>
      <c r="C97" s="362" t="s">
        <v>467</v>
      </c>
      <c r="D97" s="362" t="s">
        <v>1081</v>
      </c>
      <c r="E97" s="362" t="s">
        <v>1087</v>
      </c>
      <c r="F97" s="362" t="s">
        <v>1088</v>
      </c>
      <c r="G97" s="363">
        <v>522939.58999999997</v>
      </c>
      <c r="H97" s="363">
        <v>0</v>
      </c>
      <c r="I97" s="363">
        <v>522939.58999999997</v>
      </c>
      <c r="J97" s="346">
        <v>517769.93999999994</v>
      </c>
      <c r="K97" s="346">
        <v>0</v>
      </c>
      <c r="L97" s="347">
        <v>0</v>
      </c>
      <c r="M97" s="347">
        <v>0</v>
      </c>
      <c r="N97" s="347">
        <v>0</v>
      </c>
      <c r="O97" s="346">
        <v>24940</v>
      </c>
      <c r="P97" s="346">
        <v>0</v>
      </c>
      <c r="Q97" s="346">
        <v>0</v>
      </c>
      <c r="R97" s="346">
        <f t="shared" si="89"/>
        <v>542709.93999999994</v>
      </c>
      <c r="S97" s="344" t="s">
        <v>1090</v>
      </c>
      <c r="T97" s="325">
        <f t="shared" si="91"/>
        <v>-19770.349999999977</v>
      </c>
      <c r="U97" s="364">
        <v>0</v>
      </c>
      <c r="V97" s="365">
        <f t="shared" si="100"/>
        <v>0</v>
      </c>
      <c r="W97" s="365" t="e">
        <f t="shared" si="101"/>
        <v>#DIV/0!</v>
      </c>
      <c r="X97" s="331"/>
      <c r="Y97" s="351">
        <v>0</v>
      </c>
      <c r="Z97" s="351">
        <v>0</v>
      </c>
      <c r="AA97" s="351">
        <v>0</v>
      </c>
      <c r="AB97" s="366" t="e">
        <f t="shared" si="105"/>
        <v>#DIV/0!</v>
      </c>
      <c r="AC97" s="366" t="e">
        <f t="shared" si="106"/>
        <v>#DIV/0!</v>
      </c>
      <c r="AD97" s="367" t="e">
        <f t="shared" si="102"/>
        <v>#DIV/0!</v>
      </c>
      <c r="AF97" s="325">
        <f t="shared" si="90"/>
        <v>0</v>
      </c>
      <c r="AG97" s="305">
        <v>0</v>
      </c>
      <c r="AI97" s="351">
        <v>0</v>
      </c>
      <c r="AJ97" s="331">
        <f t="shared" si="107"/>
        <v>0</v>
      </c>
      <c r="AK97" s="305">
        <v>0</v>
      </c>
    </row>
    <row r="98" spans="1:37" ht="63.75">
      <c r="A98" s="321" t="s">
        <v>594</v>
      </c>
      <c r="B98" s="359" t="s">
        <v>1091</v>
      </c>
      <c r="C98" s="341" t="s">
        <v>467</v>
      </c>
      <c r="D98" s="341" t="s">
        <v>1081</v>
      </c>
      <c r="E98" s="341"/>
      <c r="F98" s="341"/>
      <c r="G98" s="370">
        <f>G99+G100</f>
        <v>6079265.419999999</v>
      </c>
      <c r="H98" s="370">
        <f t="shared" ref="H98:Q98" si="117">H99+H100</f>
        <v>0</v>
      </c>
      <c r="I98" s="370">
        <f t="shared" si="117"/>
        <v>6079265.419999999</v>
      </c>
      <c r="J98" s="370">
        <f t="shared" si="117"/>
        <v>2237229.9500000002</v>
      </c>
      <c r="K98" s="370">
        <f t="shared" si="117"/>
        <v>1815860</v>
      </c>
      <c r="L98" s="370">
        <f t="shared" si="117"/>
        <v>975635</v>
      </c>
      <c r="M98" s="370">
        <f t="shared" si="117"/>
        <v>376087</v>
      </c>
      <c r="N98" s="370">
        <f t="shared" si="117"/>
        <v>0</v>
      </c>
      <c r="O98" s="370">
        <f t="shared" si="117"/>
        <v>349413</v>
      </c>
      <c r="P98" s="370">
        <f t="shared" si="117"/>
        <v>96249</v>
      </c>
      <c r="Q98" s="370">
        <f t="shared" si="117"/>
        <v>33059</v>
      </c>
      <c r="R98" s="346">
        <f t="shared" si="89"/>
        <v>5883532.9500000002</v>
      </c>
      <c r="S98" s="344"/>
      <c r="T98" s="325">
        <f t="shared" si="91"/>
        <v>195732.46999999881</v>
      </c>
      <c r="U98" s="326">
        <f>U99+U100</f>
        <v>1401000</v>
      </c>
      <c r="V98" s="326">
        <f t="shared" si="100"/>
        <v>-414860</v>
      </c>
      <c r="W98" s="326">
        <f t="shared" si="101"/>
        <v>1.2961170592433975</v>
      </c>
      <c r="X98" s="331"/>
      <c r="Y98" s="370">
        <f>Y99+Y100</f>
        <v>2195055</v>
      </c>
      <c r="Z98" s="370">
        <f t="shared" ref="Z98:AA98" si="118">Z99+Z100</f>
        <v>1799000</v>
      </c>
      <c r="AA98" s="370">
        <f t="shared" si="118"/>
        <v>1525033.31</v>
      </c>
      <c r="AB98" s="345">
        <f t="shared" si="105"/>
        <v>0.69475858691467873</v>
      </c>
      <c r="AC98" s="345">
        <f t="shared" si="106"/>
        <v>0.82725034224654959</v>
      </c>
      <c r="AD98" s="342">
        <f t="shared" si="102"/>
        <v>3.8619154358792592E-7</v>
      </c>
      <c r="AF98" s="325">
        <f t="shared" si="90"/>
        <v>379195</v>
      </c>
      <c r="AI98" s="370">
        <f>AI99+AI100</f>
        <v>2195055</v>
      </c>
      <c r="AJ98" s="331">
        <f t="shared" si="107"/>
        <v>379195</v>
      </c>
    </row>
    <row r="99" spans="1:37" ht="76.5">
      <c r="A99" s="360" t="s">
        <v>42</v>
      </c>
      <c r="B99" s="361" t="s">
        <v>1092</v>
      </c>
      <c r="C99" s="362" t="s">
        <v>467</v>
      </c>
      <c r="D99" s="362" t="s">
        <v>1081</v>
      </c>
      <c r="E99" s="362"/>
      <c r="F99" s="362" t="s">
        <v>1028</v>
      </c>
      <c r="G99" s="363">
        <v>71564</v>
      </c>
      <c r="H99" s="363">
        <v>0</v>
      </c>
      <c r="I99" s="363">
        <v>71564</v>
      </c>
      <c r="J99" s="346">
        <v>71563.47</v>
      </c>
      <c r="K99" s="346">
        <v>0</v>
      </c>
      <c r="L99" s="347">
        <v>0</v>
      </c>
      <c r="M99" s="347">
        <v>0</v>
      </c>
      <c r="N99" s="347">
        <v>0</v>
      </c>
      <c r="O99" s="346">
        <v>0</v>
      </c>
      <c r="P99" s="346">
        <v>0</v>
      </c>
      <c r="Q99" s="346">
        <v>0</v>
      </c>
      <c r="R99" s="346">
        <f t="shared" si="89"/>
        <v>71563.47</v>
      </c>
      <c r="S99" s="344"/>
      <c r="T99" s="325">
        <f t="shared" si="91"/>
        <v>0.52999999999883585</v>
      </c>
      <c r="U99" s="364">
        <f>1492013-1492013</f>
        <v>0</v>
      </c>
      <c r="V99" s="365">
        <f t="shared" si="100"/>
        <v>0</v>
      </c>
      <c r="W99" s="365" t="e">
        <f t="shared" si="101"/>
        <v>#DIV/0!</v>
      </c>
      <c r="X99" s="331"/>
      <c r="Y99" s="351">
        <v>0</v>
      </c>
      <c r="Z99" s="351">
        <v>0</v>
      </c>
      <c r="AA99" s="351">
        <v>0</v>
      </c>
      <c r="AB99" s="366" t="e">
        <f t="shared" si="105"/>
        <v>#DIV/0!</v>
      </c>
      <c r="AC99" s="366" t="e">
        <f t="shared" si="106"/>
        <v>#DIV/0!</v>
      </c>
      <c r="AD99" s="367" t="e">
        <f t="shared" si="102"/>
        <v>#DIV/0!</v>
      </c>
      <c r="AF99" s="325">
        <f t="shared" si="90"/>
        <v>0</v>
      </c>
      <c r="AI99" s="351">
        <v>0</v>
      </c>
      <c r="AJ99" s="331">
        <f t="shared" si="107"/>
        <v>0</v>
      </c>
    </row>
    <row r="100" spans="1:37" ht="76.5">
      <c r="A100" s="360" t="s">
        <v>597</v>
      </c>
      <c r="B100" s="361" t="s">
        <v>1093</v>
      </c>
      <c r="C100" s="362" t="s">
        <v>467</v>
      </c>
      <c r="D100" s="362" t="s">
        <v>1081</v>
      </c>
      <c r="E100" s="362"/>
      <c r="F100" s="362"/>
      <c r="G100" s="363">
        <f>G101+G102+G103</f>
        <v>6007701.419999999</v>
      </c>
      <c r="H100" s="363">
        <f t="shared" ref="H100:Q100" si="119">H101+H102+H103</f>
        <v>0</v>
      </c>
      <c r="I100" s="363">
        <f t="shared" si="119"/>
        <v>6007701.419999999</v>
      </c>
      <c r="J100" s="363">
        <f t="shared" si="119"/>
        <v>2165666.48</v>
      </c>
      <c r="K100" s="363">
        <f t="shared" si="119"/>
        <v>1815860</v>
      </c>
      <c r="L100" s="363">
        <f t="shared" si="119"/>
        <v>975635</v>
      </c>
      <c r="M100" s="363">
        <f t="shared" si="119"/>
        <v>376087</v>
      </c>
      <c r="N100" s="363">
        <f t="shared" si="119"/>
        <v>0</v>
      </c>
      <c r="O100" s="363">
        <f t="shared" si="119"/>
        <v>349413</v>
      </c>
      <c r="P100" s="363">
        <f t="shared" si="119"/>
        <v>96249</v>
      </c>
      <c r="Q100" s="363">
        <f t="shared" si="119"/>
        <v>33059</v>
      </c>
      <c r="R100" s="346">
        <f t="shared" si="89"/>
        <v>5811969.4800000004</v>
      </c>
      <c r="S100" s="344"/>
      <c r="T100" s="325">
        <f t="shared" si="91"/>
        <v>195731.93999999855</v>
      </c>
      <c r="U100" s="364">
        <f>SUM(U101:U103)</f>
        <v>1401000</v>
      </c>
      <c r="V100" s="365">
        <f t="shared" si="100"/>
        <v>-414860</v>
      </c>
      <c r="W100" s="365">
        <f t="shared" si="101"/>
        <v>1.2961170592433975</v>
      </c>
      <c r="X100" s="331"/>
      <c r="Y100" s="363">
        <f>Y101+Y102+Y103</f>
        <v>2195055</v>
      </c>
      <c r="Z100" s="363">
        <f t="shared" ref="Z100:AA100" si="120">Z101+Z102+Z103</f>
        <v>1799000</v>
      </c>
      <c r="AA100" s="363">
        <f t="shared" si="120"/>
        <v>1525033.31</v>
      </c>
      <c r="AB100" s="366">
        <f t="shared" si="105"/>
        <v>0.69475858691467873</v>
      </c>
      <c r="AC100" s="366">
        <f t="shared" si="106"/>
        <v>0.82725034224654959</v>
      </c>
      <c r="AD100" s="367">
        <f t="shared" si="102"/>
        <v>3.8619154358792592E-7</v>
      </c>
      <c r="AF100" s="325">
        <f t="shared" si="90"/>
        <v>379195</v>
      </c>
      <c r="AI100" s="363">
        <f>AI101+AI102+AI103</f>
        <v>2195055</v>
      </c>
      <c r="AJ100" s="331">
        <f t="shared" si="107"/>
        <v>379195</v>
      </c>
    </row>
    <row r="101" spans="1:37" ht="51">
      <c r="A101" s="360" t="s">
        <v>43</v>
      </c>
      <c r="B101" s="372" t="s">
        <v>1094</v>
      </c>
      <c r="C101" s="362" t="s">
        <v>467</v>
      </c>
      <c r="D101" s="362" t="s">
        <v>1081</v>
      </c>
      <c r="E101" s="362" t="s">
        <v>1095</v>
      </c>
      <c r="F101" s="362" t="s">
        <v>1096</v>
      </c>
      <c r="G101" s="363">
        <v>2244185.2999999998</v>
      </c>
      <c r="H101" s="363">
        <v>0</v>
      </c>
      <c r="I101" s="363">
        <v>2244185.2999999998</v>
      </c>
      <c r="J101" s="346">
        <v>1025650.29</v>
      </c>
      <c r="K101" s="346">
        <v>379478</v>
      </c>
      <c r="L101" s="347">
        <v>363793</v>
      </c>
      <c r="M101" s="347">
        <v>376087</v>
      </c>
      <c r="N101" s="347">
        <v>0</v>
      </c>
      <c r="O101" s="346">
        <v>0</v>
      </c>
      <c r="P101" s="346">
        <v>66118</v>
      </c>
      <c r="Q101" s="346">
        <v>33059</v>
      </c>
      <c r="R101" s="346">
        <f t="shared" si="89"/>
        <v>2244185.29</v>
      </c>
      <c r="S101" s="344"/>
      <c r="T101" s="325">
        <f t="shared" si="91"/>
        <v>9.9999997764825821E-3</v>
      </c>
      <c r="U101" s="364">
        <v>388948</v>
      </c>
      <c r="V101" s="365">
        <f t="shared" si="100"/>
        <v>9470</v>
      </c>
      <c r="W101" s="365">
        <f t="shared" si="101"/>
        <v>0.97565227228318441</v>
      </c>
      <c r="X101" s="331"/>
      <c r="Y101" s="351">
        <v>388948</v>
      </c>
      <c r="Z101" s="351">
        <v>358674</v>
      </c>
      <c r="AA101" s="351">
        <v>332884.78000000003</v>
      </c>
      <c r="AB101" s="366">
        <f t="shared" si="105"/>
        <v>0.85585934366547722</v>
      </c>
      <c r="AC101" s="366">
        <f t="shared" si="106"/>
        <v>0.97565227228318441</v>
      </c>
      <c r="AD101" s="367">
        <f t="shared" si="102"/>
        <v>2.3861761478821358E-6</v>
      </c>
      <c r="AF101" s="325">
        <f t="shared" si="90"/>
        <v>9470</v>
      </c>
      <c r="AI101" s="351">
        <f>388948+35467</f>
        <v>424415</v>
      </c>
      <c r="AJ101" s="331">
        <f t="shared" si="107"/>
        <v>44937</v>
      </c>
    </row>
    <row r="102" spans="1:37" ht="38.25">
      <c r="A102" s="360" t="s">
        <v>44</v>
      </c>
      <c r="B102" s="372" t="s">
        <v>1097</v>
      </c>
      <c r="C102" s="362" t="s">
        <v>467</v>
      </c>
      <c r="D102" s="362" t="s">
        <v>1081</v>
      </c>
      <c r="E102" s="362" t="s">
        <v>1098</v>
      </c>
      <c r="F102" s="362" t="s">
        <v>1099</v>
      </c>
      <c r="G102" s="363">
        <v>2090841.9</v>
      </c>
      <c r="H102" s="363">
        <v>0</v>
      </c>
      <c r="I102" s="363">
        <v>2090841.9</v>
      </c>
      <c r="J102" s="346">
        <v>752977.58000000007</v>
      </c>
      <c r="K102" s="346">
        <v>697586</v>
      </c>
      <c r="L102" s="347">
        <v>550148</v>
      </c>
      <c r="M102" s="347">
        <v>0</v>
      </c>
      <c r="N102" s="347">
        <v>0</v>
      </c>
      <c r="O102" s="346">
        <v>60000</v>
      </c>
      <c r="P102" s="346">
        <v>30131</v>
      </c>
      <c r="Q102" s="346">
        <v>0</v>
      </c>
      <c r="R102" s="346">
        <f t="shared" si="89"/>
        <v>2090842.58</v>
      </c>
      <c r="S102" s="344"/>
      <c r="T102" s="325">
        <f t="shared" si="91"/>
        <v>-0.68000000016763806</v>
      </c>
      <c r="U102" s="364">
        <v>626870</v>
      </c>
      <c r="V102" s="365">
        <f t="shared" si="100"/>
        <v>-70716</v>
      </c>
      <c r="W102" s="365">
        <f t="shared" si="101"/>
        <v>1.1128080782299361</v>
      </c>
      <c r="X102" s="331"/>
      <c r="Y102" s="351">
        <v>768872</v>
      </c>
      <c r="Z102" s="351">
        <v>576100</v>
      </c>
      <c r="AA102" s="351">
        <v>533195.11</v>
      </c>
      <c r="AB102" s="366">
        <f t="shared" si="105"/>
        <v>0.69347708071044334</v>
      </c>
      <c r="AC102" s="366">
        <f t="shared" si="106"/>
        <v>0.90728495770427331</v>
      </c>
      <c r="AD102" s="367">
        <f t="shared" si="102"/>
        <v>1.203744281740051E-6</v>
      </c>
      <c r="AF102" s="325">
        <f t="shared" si="90"/>
        <v>71286</v>
      </c>
      <c r="AI102" s="351">
        <v>768872</v>
      </c>
      <c r="AJ102" s="331">
        <f t="shared" si="107"/>
        <v>71286</v>
      </c>
    </row>
    <row r="103" spans="1:37" ht="127.5">
      <c r="A103" s="360" t="s">
        <v>45</v>
      </c>
      <c r="B103" s="372" t="s">
        <v>1100</v>
      </c>
      <c r="C103" s="362" t="s">
        <v>467</v>
      </c>
      <c r="D103" s="362" t="s">
        <v>1081</v>
      </c>
      <c r="E103" s="362" t="s">
        <v>1098</v>
      </c>
      <c r="F103" s="362" t="s">
        <v>1101</v>
      </c>
      <c r="G103" s="363">
        <v>1672674.22</v>
      </c>
      <c r="H103" s="363">
        <v>0</v>
      </c>
      <c r="I103" s="363">
        <v>1672674.22</v>
      </c>
      <c r="J103" s="346">
        <v>387038.61</v>
      </c>
      <c r="K103" s="346">
        <v>738796</v>
      </c>
      <c r="L103" s="347">
        <v>61694</v>
      </c>
      <c r="M103" s="347">
        <v>0</v>
      </c>
      <c r="N103" s="347">
        <v>0</v>
      </c>
      <c r="O103" s="346">
        <v>289413</v>
      </c>
      <c r="P103" s="346">
        <v>0</v>
      </c>
      <c r="Q103" s="346">
        <v>0</v>
      </c>
      <c r="R103" s="346">
        <f t="shared" si="89"/>
        <v>1476941.6099999999</v>
      </c>
      <c r="S103" s="344" t="s">
        <v>1102</v>
      </c>
      <c r="T103" s="325">
        <f t="shared" si="91"/>
        <v>195732.6100000001</v>
      </c>
      <c r="U103" s="364">
        <v>385182</v>
      </c>
      <c r="V103" s="365">
        <f t="shared" si="100"/>
        <v>-353614</v>
      </c>
      <c r="W103" s="365">
        <f t="shared" si="101"/>
        <v>1.918043937671023</v>
      </c>
      <c r="X103" s="331"/>
      <c r="Y103" s="351">
        <v>1037235</v>
      </c>
      <c r="Z103" s="351">
        <v>864226</v>
      </c>
      <c r="AA103" s="351">
        <v>658953.42000000004</v>
      </c>
      <c r="AB103" s="366">
        <f t="shared" si="105"/>
        <v>0.63529809541714277</v>
      </c>
      <c r="AC103" s="366">
        <f t="shared" si="106"/>
        <v>0.71227446046460063</v>
      </c>
      <c r="AD103" s="367">
        <f t="shared" si="102"/>
        <v>7.3510643676207704E-7</v>
      </c>
      <c r="AF103" s="325">
        <f t="shared" si="90"/>
        <v>298439</v>
      </c>
      <c r="AG103" s="305">
        <v>298439</v>
      </c>
      <c r="AI103" s="351">
        <f>1037235-35467</f>
        <v>1001768</v>
      </c>
      <c r="AJ103" s="331">
        <f t="shared" si="107"/>
        <v>262972</v>
      </c>
      <c r="AK103" s="305">
        <v>262972</v>
      </c>
    </row>
    <row r="104" spans="1:37" ht="114.75">
      <c r="A104" s="321" t="s">
        <v>604</v>
      </c>
      <c r="B104" s="359" t="s">
        <v>1103</v>
      </c>
      <c r="C104" s="341" t="s">
        <v>467</v>
      </c>
      <c r="D104" s="362" t="s">
        <v>1072</v>
      </c>
      <c r="E104" s="362"/>
      <c r="F104" s="362"/>
      <c r="G104" s="370">
        <f>G105+G106</f>
        <v>5026716.3599999994</v>
      </c>
      <c r="H104" s="370">
        <f t="shared" ref="H104:Q104" si="121">H105+H106</f>
        <v>0</v>
      </c>
      <c r="I104" s="370">
        <f t="shared" si="121"/>
        <v>5026716.3599999994</v>
      </c>
      <c r="J104" s="370">
        <f t="shared" si="121"/>
        <v>3198606</v>
      </c>
      <c r="K104" s="370">
        <f t="shared" si="121"/>
        <v>884381</v>
      </c>
      <c r="L104" s="370">
        <f t="shared" si="121"/>
        <v>401701</v>
      </c>
      <c r="M104" s="370">
        <f t="shared" si="121"/>
        <v>47848</v>
      </c>
      <c r="N104" s="370">
        <f t="shared" si="121"/>
        <v>13795</v>
      </c>
      <c r="O104" s="370">
        <f t="shared" si="121"/>
        <v>271737</v>
      </c>
      <c r="P104" s="370">
        <f t="shared" si="121"/>
        <v>8284</v>
      </c>
      <c r="Q104" s="370">
        <f t="shared" si="121"/>
        <v>0</v>
      </c>
      <c r="R104" s="323">
        <f t="shared" si="89"/>
        <v>4826352</v>
      </c>
      <c r="S104" s="344"/>
      <c r="T104" s="325">
        <f t="shared" si="91"/>
        <v>200364.3599999994</v>
      </c>
      <c r="U104" s="326">
        <f>SUM(U105:U106)</f>
        <v>1325820</v>
      </c>
      <c r="V104" s="365">
        <f t="shared" si="100"/>
        <v>441439</v>
      </c>
      <c r="W104" s="388">
        <f t="shared" si="101"/>
        <v>0.66704454601680474</v>
      </c>
      <c r="X104" s="331"/>
      <c r="Y104" s="370">
        <f>Y105+Y106</f>
        <v>1325820</v>
      </c>
      <c r="Z104" s="370">
        <f t="shared" ref="Z104:AA104" si="122">Z105+Z106</f>
        <v>925986</v>
      </c>
      <c r="AA104" s="370">
        <f t="shared" si="122"/>
        <v>787809.32000000007</v>
      </c>
      <c r="AB104" s="345">
        <f t="shared" si="105"/>
        <v>0.59420533707441436</v>
      </c>
      <c r="AC104" s="371">
        <f t="shared" si="106"/>
        <v>0.66704454601680474</v>
      </c>
      <c r="AD104" s="342">
        <f t="shared" si="102"/>
        <v>6.4170013053589835E-7</v>
      </c>
      <c r="AF104" s="325">
        <f t="shared" si="90"/>
        <v>441439</v>
      </c>
      <c r="AI104" s="370">
        <f>AI105+AI106</f>
        <v>951701</v>
      </c>
      <c r="AJ104" s="331">
        <f t="shared" si="107"/>
        <v>67320</v>
      </c>
    </row>
    <row r="105" spans="1:37" ht="216.75">
      <c r="A105" s="360" t="s">
        <v>70</v>
      </c>
      <c r="B105" s="361" t="s">
        <v>1104</v>
      </c>
      <c r="C105" s="362" t="s">
        <v>467</v>
      </c>
      <c r="D105" s="362" t="s">
        <v>1072</v>
      </c>
      <c r="E105" s="362" t="s">
        <v>1072</v>
      </c>
      <c r="F105" s="362" t="s">
        <v>1101</v>
      </c>
      <c r="G105" s="363">
        <v>2543141.96</v>
      </c>
      <c r="H105" s="363">
        <v>0</v>
      </c>
      <c r="I105" s="363">
        <v>2543141.96</v>
      </c>
      <c r="J105" s="346">
        <v>1803028</v>
      </c>
      <c r="K105" s="346">
        <v>457825</v>
      </c>
      <c r="L105" s="347">
        <v>154187</v>
      </c>
      <c r="M105" s="347">
        <v>4460</v>
      </c>
      <c r="N105" s="347">
        <v>0</v>
      </c>
      <c r="O105" s="346">
        <v>26247</v>
      </c>
      <c r="P105" s="346">
        <v>7100</v>
      </c>
      <c r="Q105" s="346">
        <v>0</v>
      </c>
      <c r="R105" s="346">
        <f t="shared" si="89"/>
        <v>2452847</v>
      </c>
      <c r="S105" s="344" t="s">
        <v>1105</v>
      </c>
      <c r="T105" s="325">
        <f t="shared" si="91"/>
        <v>90294.959999999963</v>
      </c>
      <c r="U105" s="364">
        <v>581872</v>
      </c>
      <c r="V105" s="365">
        <f t="shared" si="100"/>
        <v>124047</v>
      </c>
      <c r="W105" s="365">
        <f t="shared" si="101"/>
        <v>0.78681393846069236</v>
      </c>
      <c r="X105" s="331"/>
      <c r="Y105" s="351">
        <v>581872</v>
      </c>
      <c r="Z105" s="351">
        <v>479956</v>
      </c>
      <c r="AA105" s="351">
        <v>465148.67</v>
      </c>
      <c r="AB105" s="366">
        <f t="shared" si="105"/>
        <v>0.79940033203178706</v>
      </c>
      <c r="AC105" s="366">
        <f t="shared" si="106"/>
        <v>0.78681393846069236</v>
      </c>
      <c r="AD105" s="367">
        <f t="shared" si="102"/>
        <v>1.6655700356528246E-6</v>
      </c>
      <c r="AF105" s="325">
        <f t="shared" si="90"/>
        <v>124047</v>
      </c>
      <c r="AG105" s="305">
        <v>124047</v>
      </c>
      <c r="AI105" s="351">
        <f>581872-30000-32771</f>
        <v>519101</v>
      </c>
      <c r="AJ105" s="331">
        <f t="shared" si="107"/>
        <v>61276</v>
      </c>
      <c r="AK105" s="305">
        <v>61276</v>
      </c>
    </row>
    <row r="106" spans="1:37" ht="216.75">
      <c r="A106" s="360" t="s">
        <v>71</v>
      </c>
      <c r="B106" s="361" t="s">
        <v>1106</v>
      </c>
      <c r="C106" s="362" t="s">
        <v>467</v>
      </c>
      <c r="D106" s="362" t="s">
        <v>1072</v>
      </c>
      <c r="E106" s="362"/>
      <c r="F106" s="362" t="s">
        <v>1101</v>
      </c>
      <c r="G106" s="363">
        <v>2483574.4</v>
      </c>
      <c r="H106" s="363">
        <v>0</v>
      </c>
      <c r="I106" s="363">
        <v>2483574.4</v>
      </c>
      <c r="J106" s="346">
        <v>1395578</v>
      </c>
      <c r="K106" s="346">
        <v>426556</v>
      </c>
      <c r="L106" s="347">
        <v>247514</v>
      </c>
      <c r="M106" s="347">
        <v>43388</v>
      </c>
      <c r="N106" s="347">
        <v>13795</v>
      </c>
      <c r="O106" s="346">
        <v>245490</v>
      </c>
      <c r="P106" s="346">
        <v>1184</v>
      </c>
      <c r="Q106" s="346">
        <v>0</v>
      </c>
      <c r="R106" s="346">
        <f t="shared" si="89"/>
        <v>2373505</v>
      </c>
      <c r="S106" s="344" t="s">
        <v>1105</v>
      </c>
      <c r="T106" s="325">
        <f t="shared" si="91"/>
        <v>110069.39999999991</v>
      </c>
      <c r="U106" s="364">
        <v>743948</v>
      </c>
      <c r="V106" s="365">
        <f t="shared" si="100"/>
        <v>317392</v>
      </c>
      <c r="W106" s="365">
        <f t="shared" si="101"/>
        <v>0.57336803109894774</v>
      </c>
      <c r="X106" s="331"/>
      <c r="Y106" s="351">
        <v>743948</v>
      </c>
      <c r="Z106" s="351">
        <v>446030</v>
      </c>
      <c r="AA106" s="351">
        <v>322660.65000000002</v>
      </c>
      <c r="AB106" s="366">
        <f t="shared" si="105"/>
        <v>0.43371398269771544</v>
      </c>
      <c r="AC106" s="366">
        <f t="shared" si="106"/>
        <v>0.57336803109894774</v>
      </c>
      <c r="AD106" s="367">
        <f t="shared" si="102"/>
        <v>9.7238746877500493E-7</v>
      </c>
      <c r="AF106" s="325">
        <f t="shared" si="90"/>
        <v>317392</v>
      </c>
      <c r="AG106" s="305">
        <v>317392</v>
      </c>
      <c r="AI106" s="351">
        <f>743948-150000-161348</f>
        <v>432600</v>
      </c>
      <c r="AJ106" s="331">
        <f t="shared" si="107"/>
        <v>6044</v>
      </c>
      <c r="AK106" s="305">
        <v>6044</v>
      </c>
    </row>
    <row r="107" spans="1:37" ht="63.75">
      <c r="A107" s="389" t="s">
        <v>1107</v>
      </c>
      <c r="B107" s="332" t="s">
        <v>1108</v>
      </c>
      <c r="C107" s="390" t="s">
        <v>635</v>
      </c>
      <c r="D107" s="390" t="s">
        <v>468</v>
      </c>
      <c r="E107" s="390"/>
      <c r="F107" s="390"/>
      <c r="G107" s="391">
        <f>G108+G127+G137</f>
        <v>526973114.25999999</v>
      </c>
      <c r="H107" s="391">
        <f>H108+H127+H137</f>
        <v>41070677.789999999</v>
      </c>
      <c r="I107" s="391">
        <f>I108+I127+I137</f>
        <v>568043792.04999995</v>
      </c>
      <c r="J107" s="391">
        <f>J108+J127+J137</f>
        <v>274404122.88</v>
      </c>
      <c r="K107" s="391">
        <f t="shared" ref="K107:Q107" si="123">K108+K127+K137</f>
        <v>52598624</v>
      </c>
      <c r="L107" s="391">
        <f t="shared" si="123"/>
        <v>59010468</v>
      </c>
      <c r="M107" s="391">
        <f t="shared" si="123"/>
        <v>22982320</v>
      </c>
      <c r="N107" s="391">
        <f t="shared" si="123"/>
        <v>12266956</v>
      </c>
      <c r="O107" s="391">
        <f t="shared" si="123"/>
        <v>17561697</v>
      </c>
      <c r="P107" s="391">
        <f t="shared" si="123"/>
        <v>69120174</v>
      </c>
      <c r="Q107" s="391">
        <f t="shared" si="123"/>
        <v>71844671</v>
      </c>
      <c r="R107" s="334">
        <f t="shared" si="89"/>
        <v>579789032.88</v>
      </c>
      <c r="S107" s="335"/>
      <c r="T107" s="325">
        <f t="shared" si="91"/>
        <v>-11745240.830000043</v>
      </c>
      <c r="U107" s="392">
        <f>U108+U127+U137</f>
        <v>54388096</v>
      </c>
      <c r="V107" s="336">
        <f t="shared" si="100"/>
        <v>1789472</v>
      </c>
      <c r="W107" s="336">
        <f t="shared" si="101"/>
        <v>0.96709809440654071</v>
      </c>
      <c r="X107" s="331"/>
      <c r="Y107" s="391">
        <f t="shared" ref="Y107:AA107" si="124">Y108+Y127+Y137</f>
        <v>55949061</v>
      </c>
      <c r="Z107" s="391">
        <f t="shared" si="124"/>
        <v>43976853</v>
      </c>
      <c r="AA107" s="391">
        <f t="shared" si="124"/>
        <v>37592372.390000001</v>
      </c>
      <c r="AB107" s="358">
        <f t="shared" si="105"/>
        <v>0.67190354436868927</v>
      </c>
      <c r="AC107" s="358">
        <f t="shared" si="106"/>
        <v>0.94011629614302195</v>
      </c>
      <c r="AD107" s="333">
        <f t="shared" si="102"/>
        <v>1.5278572670233798E-8</v>
      </c>
      <c r="AF107" s="325">
        <f t="shared" si="90"/>
        <v>3350437</v>
      </c>
      <c r="AI107" s="391">
        <f t="shared" ref="AI107" si="125">AI108+AI127+AI137</f>
        <v>56183834</v>
      </c>
      <c r="AJ107" s="331">
        <f t="shared" si="107"/>
        <v>3585210</v>
      </c>
    </row>
    <row r="108" spans="1:37" ht="38.25">
      <c r="A108" s="321" t="s">
        <v>387</v>
      </c>
      <c r="B108" s="359" t="s">
        <v>1109</v>
      </c>
      <c r="C108" s="341"/>
      <c r="D108" s="341"/>
      <c r="E108" s="341"/>
      <c r="F108" s="362" t="s">
        <v>468</v>
      </c>
      <c r="G108" s="370">
        <f>G109+G115</f>
        <v>320045094.44</v>
      </c>
      <c r="H108" s="370">
        <f t="shared" ref="H108:Q108" si="126">H109+H115</f>
        <v>35070677.789999999</v>
      </c>
      <c r="I108" s="370">
        <f t="shared" si="126"/>
        <v>355115772.23000002</v>
      </c>
      <c r="J108" s="370">
        <f t="shared" si="126"/>
        <v>88300853.120000005</v>
      </c>
      <c r="K108" s="370">
        <f t="shared" si="126"/>
        <v>45586946</v>
      </c>
      <c r="L108" s="370">
        <f t="shared" si="126"/>
        <v>53386561</v>
      </c>
      <c r="M108" s="370">
        <f t="shared" si="126"/>
        <v>18717190</v>
      </c>
      <c r="N108" s="370">
        <f t="shared" si="126"/>
        <v>9429079</v>
      </c>
      <c r="O108" s="370">
        <f t="shared" si="126"/>
        <v>16139169</v>
      </c>
      <c r="P108" s="370">
        <f t="shared" si="126"/>
        <v>58120451</v>
      </c>
      <c r="Q108" s="370">
        <f t="shared" si="126"/>
        <v>60374773</v>
      </c>
      <c r="R108" s="346">
        <f t="shared" si="89"/>
        <v>350055022.12</v>
      </c>
      <c r="S108" s="344"/>
      <c r="T108" s="325">
        <f t="shared" si="91"/>
        <v>5060750.1100000143</v>
      </c>
      <c r="U108" s="393">
        <f>U109+U115</f>
        <v>46801203</v>
      </c>
      <c r="V108" s="326">
        <f t="shared" si="100"/>
        <v>1214257</v>
      </c>
      <c r="W108" s="326">
        <f t="shared" si="101"/>
        <v>0.97405500452627258</v>
      </c>
      <c r="X108" s="331"/>
      <c r="Y108" s="370">
        <f t="shared" ref="Y108:AA108" si="127">Y109+Y115</f>
        <v>47798768</v>
      </c>
      <c r="Z108" s="370">
        <f t="shared" si="127"/>
        <v>38240569</v>
      </c>
      <c r="AA108" s="370">
        <f t="shared" si="127"/>
        <v>32704111</v>
      </c>
      <c r="AB108" s="345">
        <f t="shared" si="105"/>
        <v>0.68420405730959422</v>
      </c>
      <c r="AC108" s="345">
        <f t="shared" si="106"/>
        <v>0.95372638056277936</v>
      </c>
      <c r="AD108" s="342">
        <f t="shared" si="102"/>
        <v>1.7892099286221245E-8</v>
      </c>
      <c r="AF108" s="325">
        <f t="shared" si="90"/>
        <v>2211822</v>
      </c>
      <c r="AI108" s="370">
        <f t="shared" ref="AI108" si="128">AI109+AI115</f>
        <v>48033541</v>
      </c>
      <c r="AJ108" s="331">
        <f t="shared" si="107"/>
        <v>2446595</v>
      </c>
    </row>
    <row r="109" spans="1:37" ht="38.25">
      <c r="A109" s="394" t="s">
        <v>621</v>
      </c>
      <c r="B109" s="359" t="s">
        <v>1110</v>
      </c>
      <c r="C109" s="341" t="s">
        <v>635</v>
      </c>
      <c r="D109" s="341" t="s">
        <v>527</v>
      </c>
      <c r="E109" s="341"/>
      <c r="F109" s="362" t="s">
        <v>468</v>
      </c>
      <c r="G109" s="370">
        <f>G110+G111+G112</f>
        <v>156013039.5</v>
      </c>
      <c r="H109" s="370">
        <f t="shared" ref="H109:Q109" si="129">H110+H111+H112</f>
        <v>15000000</v>
      </c>
      <c r="I109" s="370">
        <f t="shared" si="129"/>
        <v>171013039.5</v>
      </c>
      <c r="J109" s="370">
        <f t="shared" si="129"/>
        <v>32474631.75</v>
      </c>
      <c r="K109" s="370">
        <f t="shared" si="129"/>
        <v>26610299</v>
      </c>
      <c r="L109" s="370">
        <f t="shared" si="129"/>
        <v>21489455</v>
      </c>
      <c r="M109" s="370">
        <f t="shared" si="129"/>
        <v>13758352</v>
      </c>
      <c r="N109" s="370">
        <f t="shared" si="129"/>
        <v>9429079</v>
      </c>
      <c r="O109" s="370">
        <f t="shared" si="129"/>
        <v>16139169</v>
      </c>
      <c r="P109" s="370">
        <f t="shared" si="129"/>
        <v>23742804</v>
      </c>
      <c r="Q109" s="370">
        <f t="shared" si="129"/>
        <v>26103218</v>
      </c>
      <c r="R109" s="346">
        <f t="shared" si="89"/>
        <v>169747007.75</v>
      </c>
      <c r="S109" s="344"/>
      <c r="T109" s="325">
        <f t="shared" si="91"/>
        <v>1266031.75</v>
      </c>
      <c r="U109" s="393">
        <f>U110+U111+U112</f>
        <v>20319462</v>
      </c>
      <c r="V109" s="326">
        <f t="shared" si="100"/>
        <v>-6290837</v>
      </c>
      <c r="W109" s="326">
        <f t="shared" si="101"/>
        <v>1.3095966320368129</v>
      </c>
      <c r="X109" s="331"/>
      <c r="Y109" s="370">
        <f t="shared" ref="Y109:AA109" si="130">Y110+Y111+Y112</f>
        <v>28733384</v>
      </c>
      <c r="Z109" s="370">
        <f t="shared" si="130"/>
        <v>22410375</v>
      </c>
      <c r="AA109" s="370">
        <f t="shared" si="130"/>
        <v>17087246</v>
      </c>
      <c r="AB109" s="345">
        <f t="shared" si="105"/>
        <v>0.59468268687043613</v>
      </c>
      <c r="AC109" s="345">
        <f t="shared" si="106"/>
        <v>0.92611086115022168</v>
      </c>
      <c r="AD109" s="342">
        <f t="shared" si="102"/>
        <v>2.6536043545475527E-8</v>
      </c>
      <c r="AF109" s="325">
        <f t="shared" si="90"/>
        <v>2123085</v>
      </c>
      <c r="AI109" s="370">
        <f t="shared" ref="AI109" si="131">AI110+AI111+AI112</f>
        <v>28968157</v>
      </c>
      <c r="AJ109" s="331">
        <f t="shared" si="107"/>
        <v>2357858</v>
      </c>
    </row>
    <row r="110" spans="1:37" ht="25.5">
      <c r="A110" s="395" t="s">
        <v>0</v>
      </c>
      <c r="B110" s="361" t="s">
        <v>1111</v>
      </c>
      <c r="C110" s="362" t="s">
        <v>635</v>
      </c>
      <c r="D110" s="362" t="s">
        <v>527</v>
      </c>
      <c r="E110" s="362"/>
      <c r="F110" s="362" t="s">
        <v>468</v>
      </c>
      <c r="G110" s="363">
        <v>37396072.220000006</v>
      </c>
      <c r="H110" s="363">
        <v>15000000</v>
      </c>
      <c r="I110" s="363">
        <v>52396072.220000006</v>
      </c>
      <c r="J110" s="368">
        <v>13939004</v>
      </c>
      <c r="K110" s="346">
        <v>11762533</v>
      </c>
      <c r="L110" s="347">
        <v>8511229</v>
      </c>
      <c r="M110" s="347">
        <v>3930262</v>
      </c>
      <c r="N110" s="347">
        <v>0</v>
      </c>
      <c r="O110" s="346">
        <v>-4231569</v>
      </c>
      <c r="P110" s="346">
        <v>6646378</v>
      </c>
      <c r="Q110" s="346">
        <v>11838235</v>
      </c>
      <c r="R110" s="346">
        <f t="shared" si="89"/>
        <v>52396072</v>
      </c>
      <c r="S110" s="344"/>
      <c r="T110" s="325">
        <f t="shared" si="91"/>
        <v>0.2200000062584877</v>
      </c>
      <c r="U110" s="364">
        <v>10731223</v>
      </c>
      <c r="V110" s="365">
        <f t="shared" si="100"/>
        <v>-1031310</v>
      </c>
      <c r="W110" s="365">
        <f t="shared" si="101"/>
        <v>1.0961036780243967</v>
      </c>
      <c r="X110" s="331"/>
      <c r="Y110" s="351">
        <v>10585618</v>
      </c>
      <c r="Z110" s="351">
        <v>9804394</v>
      </c>
      <c r="AA110" s="351">
        <v>9458198.4299999997</v>
      </c>
      <c r="AB110" s="366">
        <f t="shared" si="105"/>
        <v>0.89349515824206005</v>
      </c>
      <c r="AC110" s="366">
        <f t="shared" si="106"/>
        <v>1.1111805659338925</v>
      </c>
      <c r="AD110" s="367">
        <f t="shared" si="102"/>
        <v>9.1132114666348579E-8</v>
      </c>
      <c r="AF110" s="325">
        <f t="shared" si="90"/>
        <v>-1176915</v>
      </c>
      <c r="AI110" s="351">
        <f>10585618-38232+1215147</f>
        <v>11762533</v>
      </c>
      <c r="AJ110" s="331">
        <f t="shared" si="107"/>
        <v>0</v>
      </c>
    </row>
    <row r="111" spans="1:37" ht="89.25">
      <c r="A111" s="395" t="s">
        <v>1</v>
      </c>
      <c r="B111" s="361" t="s">
        <v>1112</v>
      </c>
      <c r="C111" s="362" t="s">
        <v>635</v>
      </c>
      <c r="D111" s="362" t="s">
        <v>527</v>
      </c>
      <c r="E111" s="362"/>
      <c r="F111" s="362" t="s">
        <v>1113</v>
      </c>
      <c r="G111" s="363">
        <v>4366559.91</v>
      </c>
      <c r="H111" s="363">
        <v>0</v>
      </c>
      <c r="I111" s="363">
        <v>4366559.91</v>
      </c>
      <c r="J111" s="346">
        <v>1796488.62</v>
      </c>
      <c r="K111" s="346">
        <v>1122253</v>
      </c>
      <c r="L111" s="347">
        <v>906648</v>
      </c>
      <c r="M111" s="347">
        <v>0</v>
      </c>
      <c r="N111" s="347">
        <v>0</v>
      </c>
      <c r="O111" s="346">
        <v>-167733</v>
      </c>
      <c r="P111" s="346">
        <v>482686</v>
      </c>
      <c r="Q111" s="346">
        <v>0</v>
      </c>
      <c r="R111" s="346">
        <f t="shared" si="89"/>
        <v>4140342.62</v>
      </c>
      <c r="S111" s="344" t="s">
        <v>1114</v>
      </c>
      <c r="T111" s="325">
        <f t="shared" si="91"/>
        <v>226217.29000000004</v>
      </c>
      <c r="U111" s="364">
        <v>1135141</v>
      </c>
      <c r="V111" s="365">
        <f t="shared" si="100"/>
        <v>12888</v>
      </c>
      <c r="W111" s="365">
        <f t="shared" si="101"/>
        <v>0.98864634437483978</v>
      </c>
      <c r="X111" s="331"/>
      <c r="Y111" s="351">
        <v>1122253</v>
      </c>
      <c r="Z111" s="351">
        <v>966749</v>
      </c>
      <c r="AA111" s="351">
        <v>906788.85</v>
      </c>
      <c r="AB111" s="366">
        <f t="shared" si="105"/>
        <v>0.80800750811091615</v>
      </c>
      <c r="AC111" s="366">
        <f t="shared" si="106"/>
        <v>1</v>
      </c>
      <c r="AD111" s="367">
        <f t="shared" si="102"/>
        <v>8.3579864898843046E-7</v>
      </c>
      <c r="AF111" s="325">
        <f t="shared" si="90"/>
        <v>0</v>
      </c>
      <c r="AI111" s="351">
        <v>1122253</v>
      </c>
      <c r="AJ111" s="331">
        <f t="shared" si="107"/>
        <v>0</v>
      </c>
    </row>
    <row r="112" spans="1:37" ht="51">
      <c r="A112" s="395" t="s">
        <v>630</v>
      </c>
      <c r="B112" s="361" t="s">
        <v>1115</v>
      </c>
      <c r="C112" s="362" t="s">
        <v>635</v>
      </c>
      <c r="D112" s="362" t="s">
        <v>527</v>
      </c>
      <c r="E112" s="362"/>
      <c r="F112" s="362" t="s">
        <v>468</v>
      </c>
      <c r="G112" s="363">
        <f>G113+G114</f>
        <v>114250407.37</v>
      </c>
      <c r="H112" s="363">
        <f t="shared" ref="H112:Q112" si="132">H113+H114</f>
        <v>0</v>
      </c>
      <c r="I112" s="363">
        <f t="shared" si="132"/>
        <v>114250407.37</v>
      </c>
      <c r="J112" s="363">
        <f t="shared" si="132"/>
        <v>16739139.130000001</v>
      </c>
      <c r="K112" s="363">
        <f t="shared" si="132"/>
        <v>13725513</v>
      </c>
      <c r="L112" s="363">
        <f t="shared" si="132"/>
        <v>12071578</v>
      </c>
      <c r="M112" s="363">
        <f t="shared" si="132"/>
        <v>9828090</v>
      </c>
      <c r="N112" s="363">
        <f t="shared" si="132"/>
        <v>9429079</v>
      </c>
      <c r="O112" s="363">
        <f t="shared" si="132"/>
        <v>20538471</v>
      </c>
      <c r="P112" s="363">
        <f t="shared" si="132"/>
        <v>16613740</v>
      </c>
      <c r="Q112" s="363">
        <f t="shared" si="132"/>
        <v>14264983</v>
      </c>
      <c r="R112" s="346">
        <f t="shared" si="89"/>
        <v>113210593.13</v>
      </c>
      <c r="S112" s="344"/>
      <c r="T112" s="325">
        <f t="shared" si="91"/>
        <v>1039814.2400000095</v>
      </c>
      <c r="U112" s="396">
        <f>U113+U114</f>
        <v>8453098</v>
      </c>
      <c r="V112" s="365">
        <f t="shared" si="100"/>
        <v>-5272415</v>
      </c>
      <c r="W112" s="365">
        <f t="shared" si="101"/>
        <v>1.6237257630279456</v>
      </c>
      <c r="X112" s="331"/>
      <c r="Y112" s="363">
        <f t="shared" ref="Y112:AA112" si="133">Y113+Y114</f>
        <v>17025513</v>
      </c>
      <c r="Z112" s="363">
        <f t="shared" si="133"/>
        <v>11639232</v>
      </c>
      <c r="AA112" s="363">
        <f t="shared" si="133"/>
        <v>6722258.7199999997</v>
      </c>
      <c r="AB112" s="366">
        <f t="shared" si="105"/>
        <v>0.39483442995227219</v>
      </c>
      <c r="AC112" s="366">
        <f t="shared" si="106"/>
        <v>0.80617324129968948</v>
      </c>
      <c r="AD112" s="367">
        <f t="shared" si="102"/>
        <v>3.3922721873081678E-8</v>
      </c>
      <c r="AF112" s="325">
        <f t="shared" si="90"/>
        <v>3300000</v>
      </c>
      <c r="AI112" s="363">
        <f t="shared" ref="AI112" si="134">AI113+AI114</f>
        <v>16083371</v>
      </c>
      <c r="AJ112" s="331">
        <f t="shared" si="107"/>
        <v>2357858</v>
      </c>
    </row>
    <row r="113" spans="1:36" ht="38.25">
      <c r="A113" s="395" t="s">
        <v>2</v>
      </c>
      <c r="B113" s="372" t="s">
        <v>1116</v>
      </c>
      <c r="C113" s="362" t="s">
        <v>635</v>
      </c>
      <c r="D113" s="362" t="s">
        <v>527</v>
      </c>
      <c r="E113" s="362"/>
      <c r="F113" s="362" t="s">
        <v>1113</v>
      </c>
      <c r="G113" s="363">
        <v>103736044.17</v>
      </c>
      <c r="H113" s="376">
        <v>0</v>
      </c>
      <c r="I113" s="376">
        <v>103736044.17</v>
      </c>
      <c r="J113" s="346">
        <v>14581518</v>
      </c>
      <c r="K113" s="346">
        <v>13683213</v>
      </c>
      <c r="L113" s="347">
        <v>8303004</v>
      </c>
      <c r="M113" s="347">
        <v>8501835</v>
      </c>
      <c r="N113" s="347">
        <v>9429079</v>
      </c>
      <c r="O113" s="346">
        <v>20538471</v>
      </c>
      <c r="P113" s="346">
        <v>14394127</v>
      </c>
      <c r="Q113" s="346">
        <v>13264983</v>
      </c>
      <c r="R113" s="346">
        <f t="shared" si="89"/>
        <v>102696230</v>
      </c>
      <c r="S113" s="344" t="s">
        <v>1117</v>
      </c>
      <c r="T113" s="325">
        <f t="shared" si="91"/>
        <v>1039814.1700000018</v>
      </c>
      <c r="U113" s="364">
        <v>5110798</v>
      </c>
      <c r="V113" s="365">
        <f t="shared" si="100"/>
        <v>-8572415</v>
      </c>
      <c r="W113" s="365">
        <f t="shared" si="101"/>
        <v>2.6773143841724911</v>
      </c>
      <c r="X113" s="331"/>
      <c r="Y113" s="351">
        <v>13683213</v>
      </c>
      <c r="Z113" s="351">
        <v>10838664</v>
      </c>
      <c r="AA113" s="351">
        <v>6672817.6699999999</v>
      </c>
      <c r="AB113" s="366">
        <f t="shared" si="105"/>
        <v>0.48766453244570557</v>
      </c>
      <c r="AC113" s="366">
        <f t="shared" si="106"/>
        <v>1</v>
      </c>
      <c r="AD113" s="367">
        <f t="shared" si="102"/>
        <v>4.4993048261825031E-8</v>
      </c>
      <c r="AF113" s="325">
        <f t="shared" si="90"/>
        <v>0</v>
      </c>
      <c r="AI113" s="351">
        <f>13683213-942142</f>
        <v>12741071</v>
      </c>
      <c r="AJ113" s="331">
        <f t="shared" si="107"/>
        <v>-942142</v>
      </c>
    </row>
    <row r="114" spans="1:36" ht="76.5">
      <c r="A114" s="395" t="s">
        <v>3</v>
      </c>
      <c r="B114" s="372" t="s">
        <v>1118</v>
      </c>
      <c r="C114" s="362" t="s">
        <v>635</v>
      </c>
      <c r="D114" s="362" t="s">
        <v>527</v>
      </c>
      <c r="E114" s="362"/>
      <c r="F114" s="397" t="s">
        <v>1028</v>
      </c>
      <c r="G114" s="363">
        <v>10514363.199999999</v>
      </c>
      <c r="H114" s="363">
        <v>0</v>
      </c>
      <c r="I114" s="363">
        <v>10514363.199999999</v>
      </c>
      <c r="J114" s="346">
        <v>2157621.1300000004</v>
      </c>
      <c r="K114" s="346">
        <v>42300</v>
      </c>
      <c r="L114" s="347">
        <v>3768574</v>
      </c>
      <c r="M114" s="347">
        <v>1326255</v>
      </c>
      <c r="N114" s="347">
        <v>0</v>
      </c>
      <c r="O114" s="346">
        <v>0</v>
      </c>
      <c r="P114" s="346">
        <v>2219613</v>
      </c>
      <c r="Q114" s="346">
        <v>1000000</v>
      </c>
      <c r="R114" s="346">
        <f t="shared" si="89"/>
        <v>10514363.130000001</v>
      </c>
      <c r="S114" s="344"/>
      <c r="T114" s="325">
        <f t="shared" si="91"/>
        <v>6.9999998435378075E-2</v>
      </c>
      <c r="U114" s="364">
        <v>3342300</v>
      </c>
      <c r="V114" s="365">
        <f t="shared" si="100"/>
        <v>3300000</v>
      </c>
      <c r="W114" s="365">
        <f t="shared" si="101"/>
        <v>1.2655955479759447E-2</v>
      </c>
      <c r="X114" s="331"/>
      <c r="Y114" s="351">
        <v>3342300</v>
      </c>
      <c r="Z114" s="351">
        <v>800568</v>
      </c>
      <c r="AA114" s="351">
        <v>49441.05</v>
      </c>
      <c r="AB114" s="366">
        <f t="shared" si="105"/>
        <v>1.4792523112826498E-2</v>
      </c>
      <c r="AC114" s="366">
        <f t="shared" si="106"/>
        <v>1.2655955479759447E-2</v>
      </c>
      <c r="AD114" s="367">
        <f t="shared" si="102"/>
        <v>1.8477534841295803E-8</v>
      </c>
      <c r="AF114" s="325">
        <f t="shared" si="90"/>
        <v>3300000</v>
      </c>
      <c r="AI114" s="351">
        <v>3342300</v>
      </c>
      <c r="AJ114" s="331">
        <f t="shared" si="107"/>
        <v>3300000</v>
      </c>
    </row>
    <row r="115" spans="1:36" ht="25.5">
      <c r="A115" s="394" t="s">
        <v>639</v>
      </c>
      <c r="B115" s="359" t="s">
        <v>1119</v>
      </c>
      <c r="C115" s="341" t="s">
        <v>635</v>
      </c>
      <c r="D115" s="341" t="s">
        <v>1024</v>
      </c>
      <c r="E115" s="341"/>
      <c r="F115" s="362" t="s">
        <v>468</v>
      </c>
      <c r="G115" s="370">
        <f>G116+G120+G125+G126</f>
        <v>164032054.94</v>
      </c>
      <c r="H115" s="370">
        <f t="shared" ref="H115:Q115" si="135">H116+H120+H125+H126</f>
        <v>20070677.789999999</v>
      </c>
      <c r="I115" s="370">
        <f t="shared" si="135"/>
        <v>184102732.73000002</v>
      </c>
      <c r="J115" s="370">
        <f t="shared" si="135"/>
        <v>55826221.369999997</v>
      </c>
      <c r="K115" s="370">
        <f t="shared" si="135"/>
        <v>18976647</v>
      </c>
      <c r="L115" s="370">
        <f t="shared" si="135"/>
        <v>31897106</v>
      </c>
      <c r="M115" s="370">
        <f t="shared" si="135"/>
        <v>4958838</v>
      </c>
      <c r="N115" s="370">
        <f t="shared" si="135"/>
        <v>0</v>
      </c>
      <c r="O115" s="370">
        <f t="shared" si="135"/>
        <v>0</v>
      </c>
      <c r="P115" s="370">
        <f t="shared" si="135"/>
        <v>34377647</v>
      </c>
      <c r="Q115" s="370">
        <f t="shared" si="135"/>
        <v>34271555</v>
      </c>
      <c r="R115" s="346">
        <f t="shared" si="89"/>
        <v>180308014.37</v>
      </c>
      <c r="S115" s="344"/>
      <c r="T115" s="325">
        <f t="shared" si="91"/>
        <v>3794718.3600000143</v>
      </c>
      <c r="U115" s="393">
        <f>U116+U120+U125+U126</f>
        <v>26481741</v>
      </c>
      <c r="V115" s="326">
        <f t="shared" si="100"/>
        <v>7505094</v>
      </c>
      <c r="W115" s="327">
        <f t="shared" si="101"/>
        <v>0.71659363332644932</v>
      </c>
      <c r="Y115" s="370">
        <f t="shared" ref="Y115:AA115" si="136">Y116+Y120+Y125+Y126</f>
        <v>19065384</v>
      </c>
      <c r="Z115" s="370">
        <f t="shared" si="136"/>
        <v>15830194</v>
      </c>
      <c r="AA115" s="370">
        <f t="shared" si="136"/>
        <v>15616865</v>
      </c>
      <c r="AB115" s="345">
        <f t="shared" si="105"/>
        <v>0.81912145068780151</v>
      </c>
      <c r="AC115" s="345">
        <f t="shared" si="106"/>
        <v>0.99534564842753759</v>
      </c>
      <c r="AD115" s="342">
        <f t="shared" si="102"/>
        <v>5.1744245881497188E-8</v>
      </c>
      <c r="AF115" s="325">
        <f t="shared" si="90"/>
        <v>88737</v>
      </c>
      <c r="AI115" s="370">
        <f t="shared" ref="AI115" si="137">AI116+AI120+AI125+AI126</f>
        <v>19065384</v>
      </c>
      <c r="AJ115" s="331">
        <f t="shared" si="107"/>
        <v>88737</v>
      </c>
    </row>
    <row r="116" spans="1:36" ht="51">
      <c r="A116" s="395" t="s">
        <v>642</v>
      </c>
      <c r="B116" s="361" t="s">
        <v>1120</v>
      </c>
      <c r="C116" s="362" t="s">
        <v>635</v>
      </c>
      <c r="D116" s="362" t="s">
        <v>1024</v>
      </c>
      <c r="E116" s="362"/>
      <c r="F116" s="362" t="s">
        <v>468</v>
      </c>
      <c r="G116" s="363">
        <f>G117+G118+G119</f>
        <v>39280168.170000002</v>
      </c>
      <c r="H116" s="363">
        <f t="shared" ref="H116:Q116" si="138">H117+H118+H119</f>
        <v>0</v>
      </c>
      <c r="I116" s="363">
        <f t="shared" si="138"/>
        <v>39280168.170000002</v>
      </c>
      <c r="J116" s="363">
        <f t="shared" si="138"/>
        <v>11899532.26</v>
      </c>
      <c r="K116" s="363">
        <f t="shared" si="138"/>
        <v>772426</v>
      </c>
      <c r="L116" s="363">
        <f t="shared" si="138"/>
        <v>8372784</v>
      </c>
      <c r="M116" s="363">
        <f t="shared" si="138"/>
        <v>4958838</v>
      </c>
      <c r="N116" s="363">
        <f t="shared" si="138"/>
        <v>0</v>
      </c>
      <c r="O116" s="363">
        <f t="shared" si="138"/>
        <v>0</v>
      </c>
      <c r="P116" s="363">
        <f t="shared" si="138"/>
        <v>6755487</v>
      </c>
      <c r="Q116" s="363">
        <f t="shared" si="138"/>
        <v>6521101</v>
      </c>
      <c r="R116" s="346">
        <f t="shared" si="89"/>
        <v>39280168.259999998</v>
      </c>
      <c r="S116" s="344"/>
      <c r="T116" s="325">
        <f t="shared" si="91"/>
        <v>-8.999999612569809E-2</v>
      </c>
      <c r="U116" s="396">
        <f>U117+U118+U119</f>
        <v>10474846</v>
      </c>
      <c r="V116" s="365">
        <f t="shared" si="100"/>
        <v>9702420</v>
      </c>
      <c r="W116" s="398">
        <f t="shared" si="101"/>
        <v>7.3741036383732986E-2</v>
      </c>
      <c r="Y116" s="363">
        <f t="shared" ref="Y116:AA116" si="139">Y117+Y118+Y119</f>
        <v>1501315</v>
      </c>
      <c r="Z116" s="363">
        <f t="shared" si="139"/>
        <v>841531</v>
      </c>
      <c r="AA116" s="363">
        <f t="shared" si="139"/>
        <v>637271.72</v>
      </c>
      <c r="AB116" s="366">
        <f t="shared" si="105"/>
        <v>0.42447568964541083</v>
      </c>
      <c r="AC116" s="366">
        <f t="shared" si="106"/>
        <v>0.51449962199804833</v>
      </c>
      <c r="AD116" s="367">
        <f t="shared" si="102"/>
        <v>5.0440885676868805E-7</v>
      </c>
      <c r="AF116" s="325">
        <f t="shared" si="90"/>
        <v>728889</v>
      </c>
      <c r="AI116" s="363">
        <f t="shared" ref="AI116" si="140">AI117+AI118+AI119</f>
        <v>1501315</v>
      </c>
      <c r="AJ116" s="331">
        <f t="shared" si="107"/>
        <v>728889</v>
      </c>
    </row>
    <row r="117" spans="1:36" ht="25.5">
      <c r="A117" s="395" t="s">
        <v>4</v>
      </c>
      <c r="B117" s="372" t="s">
        <v>1121</v>
      </c>
      <c r="C117" s="362" t="s">
        <v>635</v>
      </c>
      <c r="D117" s="362" t="s">
        <v>1024</v>
      </c>
      <c r="E117" s="362"/>
      <c r="F117" s="362" t="s">
        <v>1122</v>
      </c>
      <c r="G117" s="363">
        <v>37373845.350000001</v>
      </c>
      <c r="H117" s="363">
        <v>0</v>
      </c>
      <c r="I117" s="363">
        <v>37373845.350000001</v>
      </c>
      <c r="J117" s="346">
        <v>11034198.640000001</v>
      </c>
      <c r="K117" s="346">
        <v>594146</v>
      </c>
      <c r="L117" s="347">
        <v>8024256</v>
      </c>
      <c r="M117" s="347">
        <v>4679043</v>
      </c>
      <c r="N117" s="347">
        <v>0</v>
      </c>
      <c r="O117" s="346">
        <v>0</v>
      </c>
      <c r="P117" s="346">
        <v>6521101</v>
      </c>
      <c r="Q117" s="346">
        <v>6521101</v>
      </c>
      <c r="R117" s="346">
        <f t="shared" si="89"/>
        <v>37373845.640000001</v>
      </c>
      <c r="S117" s="344"/>
      <c r="T117" s="325">
        <f t="shared" si="91"/>
        <v>-0.28999999910593033</v>
      </c>
      <c r="U117" s="364">
        <v>10068184</v>
      </c>
      <c r="V117" s="365">
        <f t="shared" si="100"/>
        <v>9474038</v>
      </c>
      <c r="W117" s="398">
        <f t="shared" si="101"/>
        <v>5.90122310041215E-2</v>
      </c>
      <c r="Y117" s="349">
        <v>1120413</v>
      </c>
      <c r="Z117" s="349">
        <v>666009</v>
      </c>
      <c r="AA117" s="349">
        <v>488378.62</v>
      </c>
      <c r="AB117" s="366">
        <f t="shared" si="105"/>
        <v>0.43589160425664464</v>
      </c>
      <c r="AC117" s="366">
        <f t="shared" si="106"/>
        <v>0.53029195484165215</v>
      </c>
      <c r="AD117" s="367">
        <f t="shared" si="102"/>
        <v>6.5448305391765673E-7</v>
      </c>
      <c r="AF117" s="325">
        <f t="shared" si="90"/>
        <v>526267</v>
      </c>
      <c r="AI117" s="349">
        <v>1120413</v>
      </c>
      <c r="AJ117" s="331">
        <f t="shared" si="107"/>
        <v>526267</v>
      </c>
    </row>
    <row r="118" spans="1:36" ht="38.25">
      <c r="A118" s="395" t="s">
        <v>5</v>
      </c>
      <c r="B118" s="372" t="s">
        <v>1123</v>
      </c>
      <c r="C118" s="362" t="s">
        <v>635</v>
      </c>
      <c r="D118" s="362" t="s">
        <v>1024</v>
      </c>
      <c r="E118" s="362"/>
      <c r="F118" s="362" t="s">
        <v>1124</v>
      </c>
      <c r="G118" s="363">
        <v>1906322.82</v>
      </c>
      <c r="H118" s="363">
        <v>0</v>
      </c>
      <c r="I118" s="363">
        <v>1906322.82</v>
      </c>
      <c r="J118" s="346">
        <v>865333.62</v>
      </c>
      <c r="K118" s="346">
        <v>178280</v>
      </c>
      <c r="L118" s="347">
        <v>348528</v>
      </c>
      <c r="M118" s="347">
        <v>279795</v>
      </c>
      <c r="N118" s="347">
        <v>0</v>
      </c>
      <c r="O118" s="346">
        <v>0</v>
      </c>
      <c r="P118" s="346">
        <v>234386</v>
      </c>
      <c r="Q118" s="346">
        <v>0</v>
      </c>
      <c r="R118" s="346">
        <f t="shared" si="89"/>
        <v>1906322.62</v>
      </c>
      <c r="S118" s="344"/>
      <c r="T118" s="325">
        <f t="shared" si="91"/>
        <v>0.19999999995343387</v>
      </c>
      <c r="U118" s="364">
        <f>350102+56560</f>
        <v>406662</v>
      </c>
      <c r="V118" s="365">
        <f t="shared" si="100"/>
        <v>228382</v>
      </c>
      <c r="W118" s="398">
        <f t="shared" si="101"/>
        <v>0.43839847342510485</v>
      </c>
      <c r="Y118" s="349">
        <v>380902</v>
      </c>
      <c r="Z118" s="349">
        <v>175522</v>
      </c>
      <c r="AA118" s="349">
        <v>148893.1</v>
      </c>
      <c r="AB118" s="366">
        <f t="shared" si="105"/>
        <v>0.3908960835070438</v>
      </c>
      <c r="AC118" s="366">
        <f t="shared" si="106"/>
        <v>0.46804689920241954</v>
      </c>
      <c r="AD118" s="367">
        <f t="shared" si="102"/>
        <v>2.2270489369255352E-6</v>
      </c>
      <c r="AF118" s="325">
        <f t="shared" si="90"/>
        <v>202622</v>
      </c>
      <c r="AI118" s="349">
        <v>380902</v>
      </c>
      <c r="AJ118" s="331">
        <f t="shared" si="107"/>
        <v>202622</v>
      </c>
    </row>
    <row r="119" spans="1:36" ht="42" customHeight="1">
      <c r="A119" s="395" t="s">
        <v>6</v>
      </c>
      <c r="B119" s="372" t="s">
        <v>1125</v>
      </c>
      <c r="C119" s="362" t="s">
        <v>635</v>
      </c>
      <c r="D119" s="362" t="s">
        <v>1024</v>
      </c>
      <c r="E119" s="362"/>
      <c r="F119" s="362" t="s">
        <v>1126</v>
      </c>
      <c r="G119" s="363">
        <v>0</v>
      </c>
      <c r="H119" s="363">
        <v>0</v>
      </c>
      <c r="I119" s="363">
        <v>0</v>
      </c>
      <c r="J119" s="346">
        <v>0</v>
      </c>
      <c r="K119" s="346">
        <v>0</v>
      </c>
      <c r="L119" s="347">
        <v>0</v>
      </c>
      <c r="M119" s="347">
        <v>0</v>
      </c>
      <c r="N119" s="347">
        <v>0</v>
      </c>
      <c r="O119" s="346">
        <v>0</v>
      </c>
      <c r="P119" s="346">
        <v>0</v>
      </c>
      <c r="Q119" s="346">
        <v>0</v>
      </c>
      <c r="R119" s="346">
        <f t="shared" si="89"/>
        <v>0</v>
      </c>
      <c r="S119" s="344"/>
      <c r="T119" s="325">
        <f t="shared" si="91"/>
        <v>0</v>
      </c>
      <c r="U119" s="364">
        <v>0</v>
      </c>
      <c r="V119" s="365">
        <f t="shared" si="100"/>
        <v>0</v>
      </c>
      <c r="W119" s="398" t="e">
        <f t="shared" si="101"/>
        <v>#DIV/0!</v>
      </c>
      <c r="Y119" s="349">
        <v>0</v>
      </c>
      <c r="Z119" s="349">
        <v>0</v>
      </c>
      <c r="AA119" s="349">
        <v>0</v>
      </c>
      <c r="AB119" s="366" t="e">
        <f t="shared" si="105"/>
        <v>#DIV/0!</v>
      </c>
      <c r="AC119" s="366" t="e">
        <f t="shared" si="106"/>
        <v>#DIV/0!</v>
      </c>
      <c r="AD119" s="367" t="e">
        <f t="shared" si="102"/>
        <v>#DIV/0!</v>
      </c>
      <c r="AF119" s="325">
        <f t="shared" si="90"/>
        <v>0</v>
      </c>
      <c r="AI119" s="349">
        <v>0</v>
      </c>
      <c r="AJ119" s="331">
        <f t="shared" si="107"/>
        <v>0</v>
      </c>
    </row>
    <row r="120" spans="1:36" ht="38.25">
      <c r="A120" s="395" t="s">
        <v>650</v>
      </c>
      <c r="B120" s="361" t="s">
        <v>1127</v>
      </c>
      <c r="C120" s="362" t="s">
        <v>635</v>
      </c>
      <c r="D120" s="362" t="s">
        <v>1024</v>
      </c>
      <c r="E120" s="362"/>
      <c r="F120" s="362" t="s">
        <v>1128</v>
      </c>
      <c r="G120" s="363">
        <f>G121+G122+G123+G124</f>
        <v>54158017.909999996</v>
      </c>
      <c r="H120" s="363">
        <f t="shared" ref="H120:Q120" si="141">H121+H122+H123+H124</f>
        <v>0</v>
      </c>
      <c r="I120" s="363">
        <f t="shared" si="141"/>
        <v>54158017.909999996</v>
      </c>
      <c r="J120" s="363">
        <f t="shared" si="141"/>
        <v>11111588.459999999</v>
      </c>
      <c r="K120" s="363">
        <f t="shared" si="141"/>
        <v>10463615</v>
      </c>
      <c r="L120" s="363">
        <f t="shared" si="141"/>
        <v>10788072</v>
      </c>
      <c r="M120" s="363">
        <f t="shared" si="141"/>
        <v>0</v>
      </c>
      <c r="N120" s="363">
        <f t="shared" si="141"/>
        <v>0</v>
      </c>
      <c r="O120" s="363">
        <f t="shared" si="141"/>
        <v>0</v>
      </c>
      <c r="P120" s="363">
        <f t="shared" si="141"/>
        <v>10833224</v>
      </c>
      <c r="Q120" s="363">
        <f t="shared" si="141"/>
        <v>10961518</v>
      </c>
      <c r="R120" s="346">
        <f t="shared" si="89"/>
        <v>54158017.460000001</v>
      </c>
      <c r="S120" s="344"/>
      <c r="T120" s="325">
        <f t="shared" si="91"/>
        <v>0.44999999552965164</v>
      </c>
      <c r="U120" s="379">
        <f t="shared" ref="U120" si="142">U121+U122+U123+U124</f>
        <v>7610634</v>
      </c>
      <c r="V120" s="365">
        <f t="shared" si="100"/>
        <v>-2852981</v>
      </c>
      <c r="W120" s="398">
        <f t="shared" si="101"/>
        <v>1.3748677179851245</v>
      </c>
      <c r="Y120" s="363">
        <f t="shared" ref="Y120:AA120" si="143">Y121+Y122+Y123+Y124</f>
        <v>9177928</v>
      </c>
      <c r="Z120" s="363">
        <f t="shared" si="143"/>
        <v>8796462</v>
      </c>
      <c r="AA120" s="363">
        <f t="shared" si="143"/>
        <v>8787401.0600000005</v>
      </c>
      <c r="AB120" s="366">
        <f t="shared" si="105"/>
        <v>0.95744933496972306</v>
      </c>
      <c r="AC120" s="366">
        <f t="shared" si="106"/>
        <v>1.1400846683478014</v>
      </c>
      <c r="AD120" s="367">
        <f t="shared" si="102"/>
        <v>1.0884482135769166E-7</v>
      </c>
      <c r="AF120" s="325">
        <f t="shared" si="90"/>
        <v>-1285687</v>
      </c>
      <c r="AI120" s="363">
        <f t="shared" ref="AI120" si="144">AI121+AI122+AI123+AI124</f>
        <v>9177928</v>
      </c>
      <c r="AJ120" s="331">
        <f t="shared" si="107"/>
        <v>-1285687</v>
      </c>
    </row>
    <row r="121" spans="1:36" ht="38.25">
      <c r="A121" s="395" t="s">
        <v>7</v>
      </c>
      <c r="B121" s="372" t="s">
        <v>1129</v>
      </c>
      <c r="C121" s="362" t="s">
        <v>635</v>
      </c>
      <c r="D121" s="362" t="s">
        <v>1024</v>
      </c>
      <c r="E121" s="362"/>
      <c r="F121" s="362" t="s">
        <v>1128</v>
      </c>
      <c r="G121" s="363">
        <v>7295504.0099999998</v>
      </c>
      <c r="H121" s="363">
        <v>0</v>
      </c>
      <c r="I121" s="363">
        <v>7295504.0099999998</v>
      </c>
      <c r="J121" s="346">
        <v>4501020.0199999996</v>
      </c>
      <c r="K121" s="346">
        <v>488312</v>
      </c>
      <c r="L121" s="347">
        <v>0</v>
      </c>
      <c r="M121" s="347">
        <v>0</v>
      </c>
      <c r="N121" s="347">
        <v>0</v>
      </c>
      <c r="O121" s="346">
        <v>0</v>
      </c>
      <c r="P121" s="346">
        <v>1153086</v>
      </c>
      <c r="Q121" s="346">
        <v>1153086</v>
      </c>
      <c r="R121" s="346">
        <f t="shared" si="89"/>
        <v>7295504.0199999996</v>
      </c>
      <c r="S121" s="344"/>
      <c r="T121" s="325">
        <f t="shared" si="91"/>
        <v>-9.9999997764825821E-3</v>
      </c>
      <c r="U121" s="364">
        <v>844637</v>
      </c>
      <c r="V121" s="365">
        <f t="shared" si="100"/>
        <v>356325</v>
      </c>
      <c r="W121" s="398">
        <f t="shared" si="101"/>
        <v>0.57813238112940823</v>
      </c>
      <c r="Y121" s="349">
        <v>844637</v>
      </c>
      <c r="Z121" s="349">
        <v>497372</v>
      </c>
      <c r="AA121" s="349">
        <v>488312.49</v>
      </c>
      <c r="AB121" s="366">
        <f t="shared" si="105"/>
        <v>0.57813296126028102</v>
      </c>
      <c r="AC121" s="366">
        <f t="shared" si="106"/>
        <v>0.57813238112940823</v>
      </c>
      <c r="AD121" s="367">
        <f t="shared" si="102"/>
        <v>1.1623753674518891E-6</v>
      </c>
      <c r="AF121" s="325">
        <f t="shared" si="90"/>
        <v>356325</v>
      </c>
      <c r="AI121" s="349">
        <v>844637</v>
      </c>
      <c r="AJ121" s="331">
        <f t="shared" si="107"/>
        <v>356325</v>
      </c>
    </row>
    <row r="122" spans="1:36" ht="102">
      <c r="A122" s="395" t="s">
        <v>8</v>
      </c>
      <c r="B122" s="372" t="s">
        <v>1130</v>
      </c>
      <c r="C122" s="362" t="s">
        <v>635</v>
      </c>
      <c r="D122" s="362" t="s">
        <v>1024</v>
      </c>
      <c r="E122" s="362"/>
      <c r="F122" s="362" t="s">
        <v>1128</v>
      </c>
      <c r="G122" s="363">
        <v>44687749.469999999</v>
      </c>
      <c r="H122" s="363">
        <v>0</v>
      </c>
      <c r="I122" s="363">
        <v>44687749.469999999</v>
      </c>
      <c r="J122" s="346">
        <v>6599930.7400000002</v>
      </c>
      <c r="K122" s="346">
        <v>9975303</v>
      </c>
      <c r="L122" s="347">
        <v>10752240</v>
      </c>
      <c r="M122" s="347">
        <v>0</v>
      </c>
      <c r="N122" s="347">
        <v>0</v>
      </c>
      <c r="O122" s="346">
        <v>0</v>
      </c>
      <c r="P122" s="346">
        <v>8680138</v>
      </c>
      <c r="Q122" s="346">
        <v>8680138</v>
      </c>
      <c r="R122" s="346">
        <f t="shared" si="89"/>
        <v>44687749.740000002</v>
      </c>
      <c r="S122" s="344"/>
      <c r="T122" s="325">
        <f t="shared" si="91"/>
        <v>-0.27000000327825546</v>
      </c>
      <c r="U122" s="364">
        <v>6731796</v>
      </c>
      <c r="V122" s="365">
        <f t="shared" si="100"/>
        <v>-3243507</v>
      </c>
      <c r="W122" s="398">
        <f t="shared" si="101"/>
        <v>1.481818967776207</v>
      </c>
      <c r="Y122" s="349">
        <v>8299090</v>
      </c>
      <c r="Z122" s="349">
        <v>8299090</v>
      </c>
      <c r="AA122" s="349">
        <v>8299088.5700000003</v>
      </c>
      <c r="AB122" s="366">
        <f t="shared" si="105"/>
        <v>0.99999982769195184</v>
      </c>
      <c r="AC122" s="366">
        <f t="shared" si="106"/>
        <v>1.2019755177977345</v>
      </c>
      <c r="AD122" s="367">
        <f t="shared" si="102"/>
        <v>1.2049511786135008E-7</v>
      </c>
      <c r="AF122" s="325">
        <f t="shared" si="90"/>
        <v>-1676213</v>
      </c>
      <c r="AI122" s="349">
        <v>8299090</v>
      </c>
      <c r="AJ122" s="331">
        <f t="shared" si="107"/>
        <v>-1676213</v>
      </c>
    </row>
    <row r="123" spans="1:36" ht="76.5">
      <c r="A123" s="395" t="s">
        <v>9</v>
      </c>
      <c r="B123" s="372" t="s">
        <v>1131</v>
      </c>
      <c r="C123" s="362" t="s">
        <v>635</v>
      </c>
      <c r="D123" s="362" t="s">
        <v>1024</v>
      </c>
      <c r="E123" s="362"/>
      <c r="F123" s="362" t="s">
        <v>1128</v>
      </c>
      <c r="G123" s="363">
        <v>174764.16</v>
      </c>
      <c r="H123" s="363">
        <v>0</v>
      </c>
      <c r="I123" s="363">
        <v>174764.16</v>
      </c>
      <c r="J123" s="346">
        <v>10637.7</v>
      </c>
      <c r="K123" s="346">
        <v>0</v>
      </c>
      <c r="L123" s="347">
        <v>35832</v>
      </c>
      <c r="M123" s="347">
        <v>0</v>
      </c>
      <c r="N123" s="347">
        <v>0</v>
      </c>
      <c r="O123" s="346">
        <v>0</v>
      </c>
      <c r="P123" s="346">
        <v>0</v>
      </c>
      <c r="Q123" s="346">
        <v>128294</v>
      </c>
      <c r="R123" s="346">
        <f t="shared" si="89"/>
        <v>174763.7</v>
      </c>
      <c r="S123" s="344"/>
      <c r="T123" s="325">
        <f t="shared" si="91"/>
        <v>0.45999999999185093</v>
      </c>
      <c r="U123" s="364">
        <v>34201</v>
      </c>
      <c r="V123" s="365">
        <f t="shared" si="100"/>
        <v>34201</v>
      </c>
      <c r="W123" s="398">
        <f t="shared" si="101"/>
        <v>0</v>
      </c>
      <c r="Y123" s="349">
        <v>34201</v>
      </c>
      <c r="Z123" s="349">
        <v>0</v>
      </c>
      <c r="AA123" s="349">
        <v>0</v>
      </c>
      <c r="AB123" s="366">
        <f t="shared" si="105"/>
        <v>0</v>
      </c>
      <c r="AC123" s="366">
        <f t="shared" si="106"/>
        <v>0</v>
      </c>
      <c r="AD123" s="367" t="e">
        <f t="shared" si="102"/>
        <v>#DIV/0!</v>
      </c>
      <c r="AF123" s="325">
        <f t="shared" si="90"/>
        <v>34201</v>
      </c>
      <c r="AI123" s="349">
        <v>34201</v>
      </c>
      <c r="AJ123" s="331">
        <f t="shared" si="107"/>
        <v>34201</v>
      </c>
    </row>
    <row r="124" spans="1:36" ht="63.75">
      <c r="A124" s="395" t="s">
        <v>144</v>
      </c>
      <c r="B124" s="372" t="s">
        <v>1132</v>
      </c>
      <c r="C124" s="362" t="s">
        <v>635</v>
      </c>
      <c r="D124" s="362" t="s">
        <v>1024</v>
      </c>
      <c r="E124" s="362"/>
      <c r="F124" s="362" t="s">
        <v>1133</v>
      </c>
      <c r="G124" s="363">
        <v>2000000.27</v>
      </c>
      <c r="H124" s="363">
        <v>0</v>
      </c>
      <c r="I124" s="363">
        <v>2000000.27</v>
      </c>
      <c r="J124" s="346">
        <v>0</v>
      </c>
      <c r="K124" s="346">
        <v>0</v>
      </c>
      <c r="L124" s="347">
        <v>0</v>
      </c>
      <c r="M124" s="347">
        <v>0</v>
      </c>
      <c r="N124" s="347">
        <v>0</v>
      </c>
      <c r="O124" s="346">
        <v>0</v>
      </c>
      <c r="P124" s="346">
        <v>1000000</v>
      </c>
      <c r="Q124" s="346">
        <v>1000000</v>
      </c>
      <c r="R124" s="346">
        <f t="shared" si="89"/>
        <v>2000000</v>
      </c>
      <c r="S124" s="344"/>
      <c r="T124" s="325">
        <f t="shared" si="91"/>
        <v>0.27000000001862645</v>
      </c>
      <c r="U124" s="364">
        <v>0</v>
      </c>
      <c r="V124" s="365">
        <f t="shared" si="100"/>
        <v>0</v>
      </c>
      <c r="W124" s="398" t="e">
        <f t="shared" si="101"/>
        <v>#DIV/0!</v>
      </c>
      <c r="Y124" s="349">
        <v>0</v>
      </c>
      <c r="Z124" s="349">
        <v>0</v>
      </c>
      <c r="AA124" s="349">
        <v>0</v>
      </c>
      <c r="AB124" s="366" t="e">
        <f t="shared" si="105"/>
        <v>#DIV/0!</v>
      </c>
      <c r="AC124" s="366" t="e">
        <f t="shared" si="106"/>
        <v>#DIV/0!</v>
      </c>
      <c r="AD124" s="367" t="e">
        <f t="shared" si="102"/>
        <v>#DIV/0!</v>
      </c>
      <c r="AF124" s="325">
        <f t="shared" si="90"/>
        <v>0</v>
      </c>
      <c r="AI124" s="349">
        <v>0</v>
      </c>
      <c r="AJ124" s="331">
        <f t="shared" si="107"/>
        <v>0</v>
      </c>
    </row>
    <row r="125" spans="1:36" ht="25.5">
      <c r="A125" s="395" t="s">
        <v>661</v>
      </c>
      <c r="B125" s="361" t="s">
        <v>1134</v>
      </c>
      <c r="C125" s="362" t="s">
        <v>635</v>
      </c>
      <c r="D125" s="362" t="s">
        <v>1024</v>
      </c>
      <c r="E125" s="362"/>
      <c r="F125" s="362" t="s">
        <v>468</v>
      </c>
      <c r="G125" s="363">
        <v>0</v>
      </c>
      <c r="H125" s="363">
        <v>0</v>
      </c>
      <c r="I125" s="363">
        <v>0</v>
      </c>
      <c r="J125" s="346">
        <v>0</v>
      </c>
      <c r="K125" s="346">
        <v>0</v>
      </c>
      <c r="L125" s="347">
        <v>0</v>
      </c>
      <c r="M125" s="347">
        <v>0</v>
      </c>
      <c r="N125" s="347">
        <v>0</v>
      </c>
      <c r="O125" s="346">
        <v>0</v>
      </c>
      <c r="P125" s="346">
        <v>0</v>
      </c>
      <c r="Q125" s="346">
        <v>0</v>
      </c>
      <c r="R125" s="346">
        <f t="shared" si="89"/>
        <v>0</v>
      </c>
      <c r="S125" s="344"/>
      <c r="T125" s="325">
        <f t="shared" si="91"/>
        <v>0</v>
      </c>
      <c r="U125" s="364">
        <v>0</v>
      </c>
      <c r="V125" s="365">
        <f t="shared" si="100"/>
        <v>0</v>
      </c>
      <c r="W125" s="398" t="e">
        <f t="shared" si="101"/>
        <v>#DIV/0!</v>
      </c>
      <c r="Y125" s="349">
        <v>0</v>
      </c>
      <c r="Z125" s="349">
        <v>0</v>
      </c>
      <c r="AA125" s="349">
        <v>0</v>
      </c>
      <c r="AB125" s="366" t="e">
        <f t="shared" si="105"/>
        <v>#DIV/0!</v>
      </c>
      <c r="AC125" s="366" t="e">
        <f t="shared" si="106"/>
        <v>#DIV/0!</v>
      </c>
      <c r="AD125" s="367" t="e">
        <f t="shared" si="102"/>
        <v>#DIV/0!</v>
      </c>
      <c r="AF125" s="325">
        <f t="shared" si="90"/>
        <v>0</v>
      </c>
      <c r="AI125" s="349">
        <v>0</v>
      </c>
      <c r="AJ125" s="331">
        <f t="shared" si="107"/>
        <v>0</v>
      </c>
    </row>
    <row r="126" spans="1:36" ht="63.75">
      <c r="A126" s="395" t="s">
        <v>10</v>
      </c>
      <c r="B126" s="361" t="s">
        <v>1135</v>
      </c>
      <c r="C126" s="362" t="s">
        <v>635</v>
      </c>
      <c r="D126" s="362" t="s">
        <v>1024</v>
      </c>
      <c r="E126" s="362"/>
      <c r="F126" s="362" t="s">
        <v>1128</v>
      </c>
      <c r="G126" s="363">
        <v>70593868.859999999</v>
      </c>
      <c r="H126" s="363">
        <v>20070677.789999999</v>
      </c>
      <c r="I126" s="363">
        <v>90664546.650000006</v>
      </c>
      <c r="J126" s="346">
        <v>32815100.649999999</v>
      </c>
      <c r="K126" s="346">
        <v>7740606</v>
      </c>
      <c r="L126" s="347">
        <v>12736250</v>
      </c>
      <c r="M126" s="347">
        <v>0</v>
      </c>
      <c r="N126" s="347">
        <v>0</v>
      </c>
      <c r="O126" s="346">
        <v>0</v>
      </c>
      <c r="P126" s="346">
        <v>16788936</v>
      </c>
      <c r="Q126" s="346">
        <v>16788936</v>
      </c>
      <c r="R126" s="346">
        <f t="shared" si="89"/>
        <v>86869828.650000006</v>
      </c>
      <c r="S126" s="344" t="s">
        <v>1136</v>
      </c>
      <c r="T126" s="325">
        <f t="shared" si="91"/>
        <v>3794718</v>
      </c>
      <c r="U126" s="364">
        <v>8396261</v>
      </c>
      <c r="V126" s="365">
        <f t="shared" si="100"/>
        <v>655655</v>
      </c>
      <c r="W126" s="398">
        <f t="shared" si="101"/>
        <v>0.92191107446516962</v>
      </c>
      <c r="Y126" s="349">
        <v>8386141</v>
      </c>
      <c r="Z126" s="349">
        <v>6192201</v>
      </c>
      <c r="AA126" s="349">
        <v>6192192.2199999997</v>
      </c>
      <c r="AB126" s="366">
        <f t="shared" si="105"/>
        <v>0.73838398615048328</v>
      </c>
      <c r="AC126" s="366">
        <f t="shared" si="106"/>
        <v>0.92302359333094919</v>
      </c>
      <c r="AD126" s="367">
        <f t="shared" si="102"/>
        <v>1.1924418896455125E-7</v>
      </c>
      <c r="AF126" s="325">
        <f t="shared" si="90"/>
        <v>645535</v>
      </c>
      <c r="AI126" s="349">
        <v>8386141</v>
      </c>
      <c r="AJ126" s="331">
        <f t="shared" si="107"/>
        <v>645535</v>
      </c>
    </row>
    <row r="127" spans="1:36" ht="25.5">
      <c r="A127" s="394" t="s">
        <v>668</v>
      </c>
      <c r="B127" s="359" t="s">
        <v>1137</v>
      </c>
      <c r="C127" s="362" t="s">
        <v>635</v>
      </c>
      <c r="D127" s="341" t="s">
        <v>1024</v>
      </c>
      <c r="E127" s="341"/>
      <c r="F127" s="341" t="s">
        <v>468</v>
      </c>
      <c r="G127" s="370">
        <f>G128</f>
        <v>147494366.41999999</v>
      </c>
      <c r="H127" s="370">
        <f t="shared" ref="H127:Q127" si="145">H128</f>
        <v>0</v>
      </c>
      <c r="I127" s="370">
        <f t="shared" si="145"/>
        <v>147494366.41999999</v>
      </c>
      <c r="J127" s="370">
        <f t="shared" si="145"/>
        <v>170300356</v>
      </c>
      <c r="K127" s="370">
        <f t="shared" si="145"/>
        <v>0</v>
      </c>
      <c r="L127" s="370">
        <f t="shared" si="145"/>
        <v>0</v>
      </c>
      <c r="M127" s="370">
        <f t="shared" si="145"/>
        <v>0</v>
      </c>
      <c r="N127" s="370">
        <f t="shared" si="145"/>
        <v>0</v>
      </c>
      <c r="O127" s="370">
        <f t="shared" si="145"/>
        <v>0</v>
      </c>
      <c r="P127" s="370">
        <f t="shared" si="145"/>
        <v>0</v>
      </c>
      <c r="Q127" s="370">
        <f t="shared" si="145"/>
        <v>0</v>
      </c>
      <c r="R127" s="346">
        <f t="shared" si="89"/>
        <v>170300356</v>
      </c>
      <c r="S127" s="344"/>
      <c r="T127" s="325">
        <f t="shared" si="91"/>
        <v>-22805989.580000013</v>
      </c>
      <c r="U127" s="326">
        <f>U128</f>
        <v>0</v>
      </c>
      <c r="V127" s="388">
        <f t="shared" si="100"/>
        <v>0</v>
      </c>
      <c r="W127" s="398" t="e">
        <f t="shared" si="101"/>
        <v>#DIV/0!</v>
      </c>
      <c r="Y127" s="370">
        <f t="shared" ref="Y127:AA127" si="146">Y128</f>
        <v>0</v>
      </c>
      <c r="Z127" s="370">
        <f t="shared" si="146"/>
        <v>0</v>
      </c>
      <c r="AA127" s="370">
        <f t="shared" si="146"/>
        <v>0</v>
      </c>
      <c r="AB127" s="366" t="e">
        <f t="shared" si="105"/>
        <v>#DIV/0!</v>
      </c>
      <c r="AC127" s="366" t="e">
        <f t="shared" si="106"/>
        <v>#DIV/0!</v>
      </c>
      <c r="AD127" s="367" t="e">
        <f t="shared" si="102"/>
        <v>#DIV/0!</v>
      </c>
      <c r="AF127" s="325">
        <f t="shared" si="90"/>
        <v>0</v>
      </c>
      <c r="AI127" s="370">
        <f t="shared" ref="AI127" si="147">AI128</f>
        <v>0</v>
      </c>
      <c r="AJ127" s="331">
        <f t="shared" si="107"/>
        <v>0</v>
      </c>
    </row>
    <row r="128" spans="1:36" ht="51">
      <c r="A128" s="394" t="s">
        <v>671</v>
      </c>
      <c r="B128" s="359" t="s">
        <v>1138</v>
      </c>
      <c r="C128" s="362" t="s">
        <v>635</v>
      </c>
      <c r="D128" s="341" t="s">
        <v>1024</v>
      </c>
      <c r="E128" s="341"/>
      <c r="F128" s="341" t="s">
        <v>468</v>
      </c>
      <c r="G128" s="370">
        <f>G129+G130+G133+G134</f>
        <v>147494366.41999999</v>
      </c>
      <c r="H128" s="370">
        <f t="shared" ref="H128:Q128" si="148">H129+H130+H133+H134</f>
        <v>0</v>
      </c>
      <c r="I128" s="370">
        <f t="shared" si="148"/>
        <v>147494366.41999999</v>
      </c>
      <c r="J128" s="370">
        <f t="shared" si="148"/>
        <v>170300356</v>
      </c>
      <c r="K128" s="370">
        <f t="shared" si="148"/>
        <v>0</v>
      </c>
      <c r="L128" s="370">
        <f t="shared" si="148"/>
        <v>0</v>
      </c>
      <c r="M128" s="370">
        <f t="shared" si="148"/>
        <v>0</v>
      </c>
      <c r="N128" s="370">
        <f t="shared" si="148"/>
        <v>0</v>
      </c>
      <c r="O128" s="370">
        <f t="shared" si="148"/>
        <v>0</v>
      </c>
      <c r="P128" s="370">
        <f t="shared" si="148"/>
        <v>0</v>
      </c>
      <c r="Q128" s="370">
        <f t="shared" si="148"/>
        <v>0</v>
      </c>
      <c r="R128" s="346">
        <f t="shared" si="89"/>
        <v>170300356</v>
      </c>
      <c r="S128" s="344"/>
      <c r="T128" s="325">
        <f t="shared" si="91"/>
        <v>-22805989.580000013</v>
      </c>
      <c r="U128" s="326">
        <f>U129+U130+U133+U134</f>
        <v>0</v>
      </c>
      <c r="V128" s="326">
        <f t="shared" si="100"/>
        <v>0</v>
      </c>
      <c r="W128" s="398" t="e">
        <f t="shared" si="101"/>
        <v>#DIV/0!</v>
      </c>
      <c r="Y128" s="370">
        <f t="shared" ref="Y128:AA128" si="149">Y129+Y130+Y133+Y134</f>
        <v>0</v>
      </c>
      <c r="Z128" s="370">
        <f t="shared" si="149"/>
        <v>0</v>
      </c>
      <c r="AA128" s="370">
        <f t="shared" si="149"/>
        <v>0</v>
      </c>
      <c r="AB128" s="366" t="e">
        <f t="shared" si="105"/>
        <v>#DIV/0!</v>
      </c>
      <c r="AC128" s="366" t="e">
        <f t="shared" si="106"/>
        <v>#DIV/0!</v>
      </c>
      <c r="AD128" s="367" t="e">
        <f t="shared" si="102"/>
        <v>#DIV/0!</v>
      </c>
      <c r="AF128" s="325">
        <f t="shared" si="90"/>
        <v>0</v>
      </c>
      <c r="AI128" s="370">
        <f t="shared" ref="AI128" si="150">AI129+AI130+AI133+AI134</f>
        <v>0</v>
      </c>
      <c r="AJ128" s="331">
        <f t="shared" si="107"/>
        <v>0</v>
      </c>
    </row>
    <row r="129" spans="1:37" ht="102">
      <c r="A129" s="395" t="s">
        <v>11</v>
      </c>
      <c r="B129" s="361" t="s">
        <v>1139</v>
      </c>
      <c r="C129" s="362" t="s">
        <v>635</v>
      </c>
      <c r="D129" s="362" t="s">
        <v>1024</v>
      </c>
      <c r="E129" s="362"/>
      <c r="F129" s="362" t="s">
        <v>1140</v>
      </c>
      <c r="G129" s="363">
        <v>64306566</v>
      </c>
      <c r="H129" s="363">
        <v>0</v>
      </c>
      <c r="I129" s="363">
        <v>64306566</v>
      </c>
      <c r="J129" s="346">
        <v>64306566</v>
      </c>
      <c r="K129" s="346">
        <v>0</v>
      </c>
      <c r="L129" s="347">
        <v>0</v>
      </c>
      <c r="M129" s="347">
        <v>0</v>
      </c>
      <c r="N129" s="347">
        <v>0</v>
      </c>
      <c r="O129" s="346">
        <v>0</v>
      </c>
      <c r="P129" s="346">
        <v>0</v>
      </c>
      <c r="Q129" s="346">
        <v>0</v>
      </c>
      <c r="R129" s="346">
        <f t="shared" si="89"/>
        <v>64306566</v>
      </c>
      <c r="S129" s="344"/>
      <c r="T129" s="325">
        <f t="shared" si="91"/>
        <v>0</v>
      </c>
      <c r="U129" s="364">
        <v>0</v>
      </c>
      <c r="V129" s="365">
        <f t="shared" si="100"/>
        <v>0</v>
      </c>
      <c r="W129" s="398" t="e">
        <f t="shared" si="101"/>
        <v>#DIV/0!</v>
      </c>
      <c r="Y129" s="349">
        <v>0</v>
      </c>
      <c r="Z129" s="349">
        <v>0</v>
      </c>
      <c r="AA129" s="349">
        <v>0</v>
      </c>
      <c r="AB129" s="366" t="e">
        <f t="shared" si="105"/>
        <v>#DIV/0!</v>
      </c>
      <c r="AC129" s="366" t="e">
        <f t="shared" si="106"/>
        <v>#DIV/0!</v>
      </c>
      <c r="AD129" s="367" t="e">
        <f t="shared" si="102"/>
        <v>#DIV/0!</v>
      </c>
      <c r="AF129" s="325">
        <f t="shared" si="90"/>
        <v>0</v>
      </c>
      <c r="AI129" s="349">
        <v>0</v>
      </c>
      <c r="AJ129" s="331">
        <f t="shared" si="107"/>
        <v>0</v>
      </c>
    </row>
    <row r="130" spans="1:37" ht="25.5">
      <c r="A130" s="395" t="s">
        <v>676</v>
      </c>
      <c r="B130" s="361" t="s">
        <v>1141</v>
      </c>
      <c r="C130" s="362" t="s">
        <v>635</v>
      </c>
      <c r="D130" s="362" t="s">
        <v>1024</v>
      </c>
      <c r="E130" s="362"/>
      <c r="F130" s="362" t="s">
        <v>468</v>
      </c>
      <c r="G130" s="363">
        <f>G131+G132</f>
        <v>0</v>
      </c>
      <c r="H130" s="363">
        <f t="shared" ref="H130:Q130" si="151">H131+H132</f>
        <v>0</v>
      </c>
      <c r="I130" s="363">
        <f t="shared" si="151"/>
        <v>0</v>
      </c>
      <c r="J130" s="363">
        <f t="shared" si="151"/>
        <v>0</v>
      </c>
      <c r="K130" s="363">
        <f t="shared" si="151"/>
        <v>0</v>
      </c>
      <c r="L130" s="363">
        <f t="shared" si="151"/>
        <v>0</v>
      </c>
      <c r="M130" s="363">
        <f t="shared" si="151"/>
        <v>0</v>
      </c>
      <c r="N130" s="363">
        <f t="shared" si="151"/>
        <v>0</v>
      </c>
      <c r="O130" s="363">
        <f t="shared" si="151"/>
        <v>0</v>
      </c>
      <c r="P130" s="363">
        <f t="shared" si="151"/>
        <v>0</v>
      </c>
      <c r="Q130" s="363">
        <f t="shared" si="151"/>
        <v>0</v>
      </c>
      <c r="R130" s="346">
        <f t="shared" si="89"/>
        <v>0</v>
      </c>
      <c r="S130" s="344"/>
      <c r="T130" s="325">
        <f t="shared" si="91"/>
        <v>0</v>
      </c>
      <c r="U130" s="364">
        <f>U131+U132</f>
        <v>0</v>
      </c>
      <c r="V130" s="365">
        <f t="shared" si="100"/>
        <v>0</v>
      </c>
      <c r="W130" s="398" t="e">
        <f t="shared" si="101"/>
        <v>#DIV/0!</v>
      </c>
      <c r="Y130" s="363">
        <f t="shared" ref="Y130:AA130" si="152">Y131+Y132</f>
        <v>0</v>
      </c>
      <c r="Z130" s="363">
        <f t="shared" si="152"/>
        <v>0</v>
      </c>
      <c r="AA130" s="363">
        <f t="shared" si="152"/>
        <v>0</v>
      </c>
      <c r="AB130" s="366" t="e">
        <f t="shared" si="105"/>
        <v>#DIV/0!</v>
      </c>
      <c r="AC130" s="366" t="e">
        <f t="shared" si="106"/>
        <v>#DIV/0!</v>
      </c>
      <c r="AD130" s="367" t="e">
        <f t="shared" si="102"/>
        <v>#DIV/0!</v>
      </c>
      <c r="AF130" s="325">
        <f t="shared" si="90"/>
        <v>0</v>
      </c>
      <c r="AI130" s="363">
        <f t="shared" ref="AI130" si="153">AI131+AI132</f>
        <v>0</v>
      </c>
      <c r="AJ130" s="331">
        <f t="shared" si="107"/>
        <v>0</v>
      </c>
    </row>
    <row r="131" spans="1:37" ht="33" customHeight="1">
      <c r="A131" s="395" t="s">
        <v>12</v>
      </c>
      <c r="B131" s="372" t="s">
        <v>1142</v>
      </c>
      <c r="C131" s="362" t="s">
        <v>635</v>
      </c>
      <c r="D131" s="362" t="s">
        <v>1024</v>
      </c>
      <c r="E131" s="362"/>
      <c r="F131" s="362" t="s">
        <v>1128</v>
      </c>
      <c r="G131" s="363">
        <v>0</v>
      </c>
      <c r="H131" s="363">
        <v>0</v>
      </c>
      <c r="I131" s="363">
        <v>0</v>
      </c>
      <c r="J131" s="346">
        <v>0</v>
      </c>
      <c r="K131" s="346">
        <v>0</v>
      </c>
      <c r="L131" s="347">
        <v>0</v>
      </c>
      <c r="M131" s="347">
        <v>0</v>
      </c>
      <c r="N131" s="347">
        <v>0</v>
      </c>
      <c r="O131" s="346">
        <v>0</v>
      </c>
      <c r="P131" s="346">
        <v>0</v>
      </c>
      <c r="Q131" s="346">
        <v>0</v>
      </c>
      <c r="R131" s="346">
        <f t="shared" si="89"/>
        <v>0</v>
      </c>
      <c r="S131" s="344"/>
      <c r="T131" s="325">
        <f t="shared" si="91"/>
        <v>0</v>
      </c>
      <c r="U131" s="364">
        <v>0</v>
      </c>
      <c r="V131" s="365">
        <f t="shared" si="100"/>
        <v>0</v>
      </c>
      <c r="W131" s="398" t="e">
        <f t="shared" si="101"/>
        <v>#DIV/0!</v>
      </c>
      <c r="Y131" s="349">
        <v>0</v>
      </c>
      <c r="Z131" s="349">
        <v>0</v>
      </c>
      <c r="AA131" s="349">
        <v>0</v>
      </c>
      <c r="AB131" s="366" t="e">
        <f t="shared" si="105"/>
        <v>#DIV/0!</v>
      </c>
      <c r="AC131" s="366" t="e">
        <f t="shared" si="106"/>
        <v>#DIV/0!</v>
      </c>
      <c r="AD131" s="367" t="e">
        <f t="shared" si="102"/>
        <v>#DIV/0!</v>
      </c>
      <c r="AF131" s="325">
        <f t="shared" si="90"/>
        <v>0</v>
      </c>
      <c r="AI131" s="349">
        <v>0</v>
      </c>
      <c r="AJ131" s="331">
        <f t="shared" si="107"/>
        <v>0</v>
      </c>
    </row>
    <row r="132" spans="1:37" ht="25.5">
      <c r="A132" s="395" t="s">
        <v>13</v>
      </c>
      <c r="B132" s="372" t="s">
        <v>1143</v>
      </c>
      <c r="C132" s="362" t="s">
        <v>635</v>
      </c>
      <c r="D132" s="362" t="s">
        <v>1024</v>
      </c>
      <c r="E132" s="362"/>
      <c r="F132" s="362" t="s">
        <v>1144</v>
      </c>
      <c r="G132" s="363">
        <v>0</v>
      </c>
      <c r="H132" s="363">
        <v>0</v>
      </c>
      <c r="I132" s="363">
        <v>0</v>
      </c>
      <c r="J132" s="346">
        <v>0</v>
      </c>
      <c r="K132" s="346">
        <v>0</v>
      </c>
      <c r="L132" s="347">
        <v>0</v>
      </c>
      <c r="M132" s="347">
        <v>0</v>
      </c>
      <c r="N132" s="347">
        <v>0</v>
      </c>
      <c r="O132" s="346">
        <v>0</v>
      </c>
      <c r="P132" s="346">
        <v>0</v>
      </c>
      <c r="Q132" s="346">
        <v>0</v>
      </c>
      <c r="R132" s="346">
        <f t="shared" si="89"/>
        <v>0</v>
      </c>
      <c r="S132" s="344"/>
      <c r="T132" s="325">
        <f t="shared" si="91"/>
        <v>0</v>
      </c>
      <c r="U132" s="364">
        <v>0</v>
      </c>
      <c r="V132" s="365">
        <f t="shared" si="100"/>
        <v>0</v>
      </c>
      <c r="W132" s="398" t="e">
        <f t="shared" si="101"/>
        <v>#DIV/0!</v>
      </c>
      <c r="Y132" s="349">
        <v>0</v>
      </c>
      <c r="Z132" s="349">
        <v>0</v>
      </c>
      <c r="AA132" s="349">
        <v>0</v>
      </c>
      <c r="AB132" s="366" t="e">
        <f t="shared" si="105"/>
        <v>#DIV/0!</v>
      </c>
      <c r="AC132" s="366" t="e">
        <f t="shared" si="106"/>
        <v>#DIV/0!</v>
      </c>
      <c r="AD132" s="367" t="e">
        <f t="shared" si="102"/>
        <v>#DIV/0!</v>
      </c>
      <c r="AF132" s="325">
        <f t="shared" si="90"/>
        <v>0</v>
      </c>
      <c r="AI132" s="349">
        <v>0</v>
      </c>
      <c r="AJ132" s="331">
        <f t="shared" si="107"/>
        <v>0</v>
      </c>
    </row>
    <row r="133" spans="1:37" ht="51">
      <c r="A133" s="395" t="s">
        <v>14</v>
      </c>
      <c r="B133" s="361" t="s">
        <v>1145</v>
      </c>
      <c r="C133" s="362" t="s">
        <v>635</v>
      </c>
      <c r="D133" s="362" t="s">
        <v>1024</v>
      </c>
      <c r="E133" s="362"/>
      <c r="F133" s="362" t="s">
        <v>1146</v>
      </c>
      <c r="G133" s="363">
        <v>20000000</v>
      </c>
      <c r="H133" s="363">
        <v>0</v>
      </c>
      <c r="I133" s="363">
        <v>20000000</v>
      </c>
      <c r="J133" s="346">
        <v>60544547</v>
      </c>
      <c r="K133" s="346">
        <v>0</v>
      </c>
      <c r="L133" s="347">
        <v>0</v>
      </c>
      <c r="M133" s="347">
        <v>0</v>
      </c>
      <c r="N133" s="347">
        <v>0</v>
      </c>
      <c r="O133" s="346">
        <v>0</v>
      </c>
      <c r="P133" s="346">
        <v>0</v>
      </c>
      <c r="Q133" s="346">
        <v>0</v>
      </c>
      <c r="R133" s="346">
        <f t="shared" si="89"/>
        <v>60544547</v>
      </c>
      <c r="S133" s="344"/>
      <c r="T133" s="325">
        <f t="shared" si="91"/>
        <v>-40544547</v>
      </c>
      <c r="U133" s="364">
        <v>0</v>
      </c>
      <c r="V133" s="365">
        <f t="shared" si="100"/>
        <v>0</v>
      </c>
      <c r="W133" s="398" t="e">
        <f t="shared" si="101"/>
        <v>#DIV/0!</v>
      </c>
      <c r="Y133" s="349">
        <v>0</v>
      </c>
      <c r="Z133" s="349">
        <v>0</v>
      </c>
      <c r="AA133" s="349">
        <v>0</v>
      </c>
      <c r="AB133" s="366" t="e">
        <f t="shared" si="105"/>
        <v>#DIV/0!</v>
      </c>
      <c r="AC133" s="366" t="e">
        <f t="shared" si="106"/>
        <v>#DIV/0!</v>
      </c>
      <c r="AD133" s="367" t="e">
        <f t="shared" si="102"/>
        <v>#DIV/0!</v>
      </c>
      <c r="AF133" s="325">
        <f t="shared" si="90"/>
        <v>0</v>
      </c>
      <c r="AI133" s="349">
        <v>0</v>
      </c>
      <c r="AJ133" s="331">
        <f t="shared" si="107"/>
        <v>0</v>
      </c>
    </row>
    <row r="134" spans="1:37" ht="51">
      <c r="A134" s="395" t="s">
        <v>1147</v>
      </c>
      <c r="B134" s="361" t="s">
        <v>1148</v>
      </c>
      <c r="C134" s="362" t="s">
        <v>635</v>
      </c>
      <c r="D134" s="362" t="s">
        <v>1024</v>
      </c>
      <c r="E134" s="362"/>
      <c r="F134" s="362" t="s">
        <v>1128</v>
      </c>
      <c r="G134" s="363">
        <f>G135+G136</f>
        <v>63187800.419999994</v>
      </c>
      <c r="H134" s="363">
        <f t="shared" ref="H134:Q134" si="154">H135+H136</f>
        <v>0</v>
      </c>
      <c r="I134" s="363">
        <f t="shared" si="154"/>
        <v>63187800.419999994</v>
      </c>
      <c r="J134" s="363">
        <f t="shared" si="154"/>
        <v>45449243</v>
      </c>
      <c r="K134" s="363">
        <f t="shared" si="154"/>
        <v>0</v>
      </c>
      <c r="L134" s="363">
        <f t="shared" si="154"/>
        <v>0</v>
      </c>
      <c r="M134" s="363">
        <f t="shared" si="154"/>
        <v>0</v>
      </c>
      <c r="N134" s="363">
        <f t="shared" si="154"/>
        <v>0</v>
      </c>
      <c r="O134" s="363">
        <f t="shared" si="154"/>
        <v>0</v>
      </c>
      <c r="P134" s="363">
        <f t="shared" si="154"/>
        <v>0</v>
      </c>
      <c r="Q134" s="363">
        <f t="shared" si="154"/>
        <v>0</v>
      </c>
      <c r="R134" s="346">
        <f t="shared" si="89"/>
        <v>45449243</v>
      </c>
      <c r="S134" s="344"/>
      <c r="T134" s="325">
        <f t="shared" si="91"/>
        <v>17738557.419999994</v>
      </c>
      <c r="U134" s="379">
        <f t="shared" ref="U134" si="155">U135+U136</f>
        <v>0</v>
      </c>
      <c r="V134" s="365">
        <f t="shared" si="100"/>
        <v>0</v>
      </c>
      <c r="W134" s="398" t="e">
        <f t="shared" si="101"/>
        <v>#DIV/0!</v>
      </c>
      <c r="Y134" s="363">
        <f t="shared" ref="Y134:AA134" si="156">Y135+Y136</f>
        <v>0</v>
      </c>
      <c r="Z134" s="363">
        <f t="shared" si="156"/>
        <v>0</v>
      </c>
      <c r="AA134" s="363">
        <f t="shared" si="156"/>
        <v>0</v>
      </c>
      <c r="AB134" s="366" t="e">
        <f t="shared" si="105"/>
        <v>#DIV/0!</v>
      </c>
      <c r="AC134" s="366" t="e">
        <f t="shared" si="106"/>
        <v>#DIV/0!</v>
      </c>
      <c r="AD134" s="367" t="e">
        <f t="shared" si="102"/>
        <v>#DIV/0!</v>
      </c>
      <c r="AF134" s="325">
        <f t="shared" si="90"/>
        <v>0</v>
      </c>
      <c r="AI134" s="363">
        <f t="shared" ref="AI134" si="157">AI135+AI136</f>
        <v>0</v>
      </c>
      <c r="AJ134" s="331">
        <f t="shared" si="107"/>
        <v>0</v>
      </c>
    </row>
    <row r="135" spans="1:37" ht="63.75">
      <c r="A135" s="395" t="s">
        <v>147</v>
      </c>
      <c r="B135" s="372" t="s">
        <v>1149</v>
      </c>
      <c r="C135" s="362" t="s">
        <v>635</v>
      </c>
      <c r="D135" s="362" t="s">
        <v>1024</v>
      </c>
      <c r="E135" s="362"/>
      <c r="F135" s="362" t="s">
        <v>1150</v>
      </c>
      <c r="G135" s="363">
        <v>45449242.519999996</v>
      </c>
      <c r="H135" s="363">
        <v>0</v>
      </c>
      <c r="I135" s="363">
        <v>45449242.519999996</v>
      </c>
      <c r="J135" s="346">
        <v>45449243</v>
      </c>
      <c r="K135" s="346">
        <v>0</v>
      </c>
      <c r="L135" s="347">
        <v>0</v>
      </c>
      <c r="M135" s="347">
        <v>0</v>
      </c>
      <c r="N135" s="347">
        <v>0</v>
      </c>
      <c r="O135" s="346">
        <v>0</v>
      </c>
      <c r="P135" s="346">
        <v>0</v>
      </c>
      <c r="Q135" s="346">
        <v>0</v>
      </c>
      <c r="R135" s="346">
        <f t="shared" ref="R135:R198" si="158">J135+K135+L135+M135+N135+O135+P135+Q135</f>
        <v>45449243</v>
      </c>
      <c r="S135" s="344"/>
      <c r="T135" s="325">
        <f t="shared" si="91"/>
        <v>-0.48000000417232513</v>
      </c>
      <c r="U135" s="364">
        <v>0</v>
      </c>
      <c r="V135" s="365">
        <f t="shared" si="100"/>
        <v>0</v>
      </c>
      <c r="W135" s="398" t="e">
        <f t="shared" si="101"/>
        <v>#DIV/0!</v>
      </c>
      <c r="Y135" s="349">
        <v>0</v>
      </c>
      <c r="Z135" s="349">
        <v>0</v>
      </c>
      <c r="AA135" s="349">
        <v>0</v>
      </c>
      <c r="AB135" s="366" t="e">
        <f t="shared" si="105"/>
        <v>#DIV/0!</v>
      </c>
      <c r="AC135" s="366" t="e">
        <f t="shared" si="106"/>
        <v>#DIV/0!</v>
      </c>
      <c r="AD135" s="367" t="e">
        <f t="shared" si="102"/>
        <v>#DIV/0!</v>
      </c>
      <c r="AF135" s="325">
        <f t="shared" ref="AF135:AF198" si="159">Y135-K135</f>
        <v>0</v>
      </c>
      <c r="AI135" s="349">
        <v>0</v>
      </c>
      <c r="AJ135" s="331">
        <f t="shared" si="107"/>
        <v>0</v>
      </c>
    </row>
    <row r="136" spans="1:37" ht="63.75">
      <c r="A136" s="395" t="s">
        <v>148</v>
      </c>
      <c r="B136" s="372" t="s">
        <v>1151</v>
      </c>
      <c r="C136" s="362" t="s">
        <v>635</v>
      </c>
      <c r="D136" s="362" t="s">
        <v>1024</v>
      </c>
      <c r="E136" s="362"/>
      <c r="F136" s="362" t="s">
        <v>1152</v>
      </c>
      <c r="G136" s="363">
        <v>17738557.899999999</v>
      </c>
      <c r="H136" s="363">
        <v>0</v>
      </c>
      <c r="I136" s="363">
        <v>17738557.899999999</v>
      </c>
      <c r="J136" s="346">
        <v>0</v>
      </c>
      <c r="K136" s="346">
        <v>0</v>
      </c>
      <c r="L136" s="347">
        <v>0</v>
      </c>
      <c r="M136" s="347">
        <v>0</v>
      </c>
      <c r="N136" s="347">
        <v>0</v>
      </c>
      <c r="O136" s="346">
        <v>0</v>
      </c>
      <c r="P136" s="346">
        <v>0</v>
      </c>
      <c r="Q136" s="346">
        <v>0</v>
      </c>
      <c r="R136" s="346">
        <f t="shared" si="158"/>
        <v>0</v>
      </c>
      <c r="S136" s="344"/>
      <c r="T136" s="325">
        <f t="shared" ref="T136:T199" si="160">I136-R136</f>
        <v>17738557.899999999</v>
      </c>
      <c r="U136" s="364">
        <v>0</v>
      </c>
      <c r="V136" s="365">
        <f t="shared" si="100"/>
        <v>0</v>
      </c>
      <c r="W136" s="398" t="e">
        <f t="shared" si="101"/>
        <v>#DIV/0!</v>
      </c>
      <c r="Y136" s="349">
        <v>0</v>
      </c>
      <c r="Z136" s="349">
        <v>0</v>
      </c>
      <c r="AA136" s="349">
        <v>0</v>
      </c>
      <c r="AB136" s="366" t="e">
        <f t="shared" si="105"/>
        <v>#DIV/0!</v>
      </c>
      <c r="AC136" s="366" t="e">
        <f t="shared" si="106"/>
        <v>#DIV/0!</v>
      </c>
      <c r="AD136" s="367" t="e">
        <f t="shared" si="102"/>
        <v>#DIV/0!</v>
      </c>
      <c r="AF136" s="325">
        <f t="shared" si="159"/>
        <v>0</v>
      </c>
      <c r="AI136" s="349">
        <v>0</v>
      </c>
      <c r="AJ136" s="331">
        <f t="shared" si="107"/>
        <v>0</v>
      </c>
    </row>
    <row r="137" spans="1:37" ht="51">
      <c r="A137" s="394" t="s">
        <v>688</v>
      </c>
      <c r="B137" s="359" t="s">
        <v>1153</v>
      </c>
      <c r="C137" s="362" t="s">
        <v>635</v>
      </c>
      <c r="D137" s="341" t="s">
        <v>1024</v>
      </c>
      <c r="E137" s="341"/>
      <c r="F137" s="341" t="s">
        <v>468</v>
      </c>
      <c r="G137" s="370">
        <f>G138+G143</f>
        <v>59433653.400000006</v>
      </c>
      <c r="H137" s="370">
        <f t="shared" ref="H137:Q137" si="161">H138+H143</f>
        <v>6000000</v>
      </c>
      <c r="I137" s="370">
        <f t="shared" si="161"/>
        <v>65433653.400000006</v>
      </c>
      <c r="J137" s="370">
        <f t="shared" si="161"/>
        <v>15802913.759999998</v>
      </c>
      <c r="K137" s="370">
        <f t="shared" si="161"/>
        <v>7011678</v>
      </c>
      <c r="L137" s="370">
        <f t="shared" si="161"/>
        <v>5623907</v>
      </c>
      <c r="M137" s="370">
        <f t="shared" si="161"/>
        <v>4265130</v>
      </c>
      <c r="N137" s="370">
        <f t="shared" si="161"/>
        <v>2837877</v>
      </c>
      <c r="O137" s="370">
        <f t="shared" si="161"/>
        <v>1422528</v>
      </c>
      <c r="P137" s="370">
        <f t="shared" si="161"/>
        <v>10999723</v>
      </c>
      <c r="Q137" s="370">
        <f t="shared" si="161"/>
        <v>11469898</v>
      </c>
      <c r="R137" s="346">
        <f t="shared" si="158"/>
        <v>59433654.759999998</v>
      </c>
      <c r="S137" s="344"/>
      <c r="T137" s="325">
        <f t="shared" si="160"/>
        <v>5999998.640000008</v>
      </c>
      <c r="U137" s="393">
        <f>U138+U143</f>
        <v>7586893</v>
      </c>
      <c r="V137" s="326">
        <f t="shared" si="100"/>
        <v>575215</v>
      </c>
      <c r="W137" s="327">
        <f t="shared" si="101"/>
        <v>0.9241830614982971</v>
      </c>
      <c r="Y137" s="370">
        <f t="shared" ref="Y137:AA137" si="162">Y138+Y143</f>
        <v>8150293</v>
      </c>
      <c r="Z137" s="370">
        <f t="shared" si="162"/>
        <v>5736284</v>
      </c>
      <c r="AA137" s="370">
        <f t="shared" si="162"/>
        <v>4888261.3899999997</v>
      </c>
      <c r="AB137" s="345">
        <f t="shared" si="105"/>
        <v>0.5997651115119419</v>
      </c>
      <c r="AC137" s="345">
        <f t="shared" si="106"/>
        <v>0.86029766046447653</v>
      </c>
      <c r="AD137" s="342">
        <f t="shared" si="102"/>
        <v>1.0455638380386011E-7</v>
      </c>
      <c r="AF137" s="325">
        <f t="shared" si="159"/>
        <v>1138615</v>
      </c>
      <c r="AI137" s="370">
        <f t="shared" ref="AI137" si="163">AI138+AI143</f>
        <v>8150293</v>
      </c>
      <c r="AJ137" s="331">
        <f t="shared" si="107"/>
        <v>1138615</v>
      </c>
    </row>
    <row r="138" spans="1:37" ht="38.25">
      <c r="A138" s="394" t="s">
        <v>690</v>
      </c>
      <c r="B138" s="359" t="s">
        <v>1154</v>
      </c>
      <c r="C138" s="341" t="s">
        <v>635</v>
      </c>
      <c r="D138" s="341" t="s">
        <v>1024</v>
      </c>
      <c r="E138" s="341"/>
      <c r="F138" s="341" t="s">
        <v>468</v>
      </c>
      <c r="G138" s="370">
        <f>G139+G142</f>
        <v>21713825.59</v>
      </c>
      <c r="H138" s="370">
        <f t="shared" ref="H138:Q138" si="164">H139+H142</f>
        <v>0</v>
      </c>
      <c r="I138" s="370">
        <f t="shared" si="164"/>
        <v>21713825.59</v>
      </c>
      <c r="J138" s="370">
        <f t="shared" si="164"/>
        <v>3857550.6100000003</v>
      </c>
      <c r="K138" s="370">
        <f t="shared" si="164"/>
        <v>3597069</v>
      </c>
      <c r="L138" s="370">
        <f t="shared" si="164"/>
        <v>2188445</v>
      </c>
      <c r="M138" s="370">
        <f t="shared" si="164"/>
        <v>829668</v>
      </c>
      <c r="N138" s="370">
        <f t="shared" si="164"/>
        <v>299991</v>
      </c>
      <c r="O138" s="370">
        <f t="shared" si="164"/>
        <v>169096</v>
      </c>
      <c r="P138" s="370">
        <f t="shared" si="164"/>
        <v>5386003</v>
      </c>
      <c r="Q138" s="370">
        <f t="shared" si="164"/>
        <v>5386003</v>
      </c>
      <c r="R138" s="346">
        <f t="shared" si="158"/>
        <v>21713825.609999999</v>
      </c>
      <c r="S138" s="344"/>
      <c r="T138" s="325">
        <f t="shared" si="160"/>
        <v>-1.9999999552965164E-2</v>
      </c>
      <c r="U138" s="393">
        <f>U139+U142</f>
        <v>2994178</v>
      </c>
      <c r="V138" s="326">
        <f t="shared" si="100"/>
        <v>-602891</v>
      </c>
      <c r="W138" s="327">
        <f t="shared" si="101"/>
        <v>1.2013544284942312</v>
      </c>
      <c r="Y138" s="370">
        <f t="shared" ref="Y138:AA138" si="165">Y139+Y142</f>
        <v>3707230</v>
      </c>
      <c r="Z138" s="370">
        <f t="shared" si="165"/>
        <v>3031091</v>
      </c>
      <c r="AA138" s="370">
        <f t="shared" si="165"/>
        <v>2795810.56</v>
      </c>
      <c r="AB138" s="371">
        <f t="shared" si="105"/>
        <v>0.7541508242002789</v>
      </c>
      <c r="AC138" s="345">
        <f t="shared" si="106"/>
        <v>0.97028482182114406</v>
      </c>
      <c r="AD138" s="322">
        <f t="shared" si="102"/>
        <v>2.4880507520238718E-7</v>
      </c>
      <c r="AF138" s="325">
        <f t="shared" si="159"/>
        <v>110161</v>
      </c>
      <c r="AI138" s="370">
        <f t="shared" ref="AI138" si="166">AI139+AI142</f>
        <v>3707230</v>
      </c>
      <c r="AJ138" s="331">
        <f t="shared" si="107"/>
        <v>110161</v>
      </c>
    </row>
    <row r="139" spans="1:37" ht="51">
      <c r="A139" s="395" t="s">
        <v>693</v>
      </c>
      <c r="B139" s="361" t="s">
        <v>1155</v>
      </c>
      <c r="C139" s="362" t="s">
        <v>635</v>
      </c>
      <c r="D139" s="362" t="s">
        <v>1024</v>
      </c>
      <c r="E139" s="362"/>
      <c r="F139" s="362" t="s">
        <v>468</v>
      </c>
      <c r="G139" s="363">
        <f>G140+G141</f>
        <v>19696804.59</v>
      </c>
      <c r="H139" s="363">
        <f t="shared" ref="H139:Q139" si="167">H140+H141</f>
        <v>0</v>
      </c>
      <c r="I139" s="363">
        <f t="shared" si="167"/>
        <v>19696804.59</v>
      </c>
      <c r="J139" s="363">
        <f t="shared" si="167"/>
        <v>3131210.18</v>
      </c>
      <c r="K139" s="363">
        <f t="shared" si="167"/>
        <v>3333715</v>
      </c>
      <c r="L139" s="363">
        <f t="shared" si="167"/>
        <v>1824777</v>
      </c>
      <c r="M139" s="363">
        <f t="shared" si="167"/>
        <v>466000</v>
      </c>
      <c r="N139" s="363">
        <f t="shared" si="167"/>
        <v>0</v>
      </c>
      <c r="O139" s="363">
        <f t="shared" si="167"/>
        <v>169096</v>
      </c>
      <c r="P139" s="363">
        <f t="shared" si="167"/>
        <v>5386003</v>
      </c>
      <c r="Q139" s="363">
        <f t="shared" si="167"/>
        <v>5386003</v>
      </c>
      <c r="R139" s="346">
        <f t="shared" si="158"/>
        <v>19696804.18</v>
      </c>
      <c r="S139" s="344"/>
      <c r="T139" s="325">
        <f t="shared" si="160"/>
        <v>0.41000000014901161</v>
      </c>
      <c r="U139" s="396">
        <f>U140+U141</f>
        <v>2631771</v>
      </c>
      <c r="V139" s="365">
        <f t="shared" si="100"/>
        <v>-701944</v>
      </c>
      <c r="W139" s="398">
        <f t="shared" si="101"/>
        <v>1.2667192548287827</v>
      </c>
      <c r="Y139" s="363">
        <f t="shared" ref="Y139:AA139" si="168">Y140+Y141</f>
        <v>3344823</v>
      </c>
      <c r="Z139" s="363">
        <f t="shared" si="168"/>
        <v>2887140</v>
      </c>
      <c r="AA139" s="363">
        <f t="shared" si="168"/>
        <v>2715681.98</v>
      </c>
      <c r="AB139" s="366">
        <f t="shared" si="105"/>
        <v>0.81190603508765635</v>
      </c>
      <c r="AC139" s="366">
        <f t="shared" si="106"/>
        <v>0.99667904699292009</v>
      </c>
      <c r="AD139" s="367">
        <f t="shared" si="102"/>
        <v>2.8121463977765413E-7</v>
      </c>
      <c r="AF139" s="325">
        <f t="shared" si="159"/>
        <v>11108</v>
      </c>
      <c r="AI139" s="363">
        <f t="shared" ref="AI139" si="169">AI140+AI141</f>
        <v>3344823</v>
      </c>
      <c r="AJ139" s="331">
        <f t="shared" si="107"/>
        <v>11108</v>
      </c>
    </row>
    <row r="140" spans="1:37" ht="51">
      <c r="A140" s="395" t="s">
        <v>15</v>
      </c>
      <c r="B140" s="372" t="s">
        <v>1156</v>
      </c>
      <c r="C140" s="362" t="s">
        <v>635</v>
      </c>
      <c r="D140" s="362" t="s">
        <v>1024</v>
      </c>
      <c r="E140" s="362"/>
      <c r="F140" s="362" t="s">
        <v>1128</v>
      </c>
      <c r="G140" s="363">
        <v>14696804.619999999</v>
      </c>
      <c r="H140" s="363">
        <v>0</v>
      </c>
      <c r="I140" s="363">
        <v>14696804.619999999</v>
      </c>
      <c r="J140" s="346">
        <v>2301176.2400000002</v>
      </c>
      <c r="K140" s="346">
        <v>1366588</v>
      </c>
      <c r="L140" s="347">
        <v>257034</v>
      </c>
      <c r="M140" s="347">
        <v>0</v>
      </c>
      <c r="N140" s="347">
        <v>0</v>
      </c>
      <c r="O140" s="346">
        <v>0</v>
      </c>
      <c r="P140" s="346">
        <v>5386003</v>
      </c>
      <c r="Q140" s="346">
        <v>5386003</v>
      </c>
      <c r="R140" s="346">
        <f t="shared" si="158"/>
        <v>14696804.24</v>
      </c>
      <c r="S140" s="344"/>
      <c r="T140" s="325">
        <f t="shared" si="160"/>
        <v>0.37999999895691872</v>
      </c>
      <c r="U140" s="364">
        <v>1044644</v>
      </c>
      <c r="V140" s="365">
        <f t="shared" si="100"/>
        <v>-321944</v>
      </c>
      <c r="W140" s="398">
        <f t="shared" si="101"/>
        <v>1.3081853722416441</v>
      </c>
      <c r="Y140" s="349">
        <v>1127696</v>
      </c>
      <c r="Z140" s="349">
        <v>1127696</v>
      </c>
      <c r="AA140" s="349">
        <v>1087295.5900000001</v>
      </c>
      <c r="AB140" s="366">
        <f t="shared" si="105"/>
        <v>0.96417437855592292</v>
      </c>
      <c r="AC140" s="366">
        <f t="shared" si="106"/>
        <v>1.2118407797846229</v>
      </c>
      <c r="AD140" s="367">
        <f t="shared" si="102"/>
        <v>8.5499494416573517E-7</v>
      </c>
      <c r="AF140" s="325">
        <f t="shared" si="159"/>
        <v>-238892</v>
      </c>
      <c r="AG140" s="305">
        <v>-238892</v>
      </c>
      <c r="AI140" s="349">
        <v>1127696</v>
      </c>
      <c r="AJ140" s="331">
        <f t="shared" si="107"/>
        <v>-238892</v>
      </c>
      <c r="AK140" s="305">
        <v>-238892</v>
      </c>
    </row>
    <row r="141" spans="1:37" ht="89.25">
      <c r="A141" s="395" t="s">
        <v>16</v>
      </c>
      <c r="B141" s="372" t="s">
        <v>1157</v>
      </c>
      <c r="C141" s="362" t="s">
        <v>635</v>
      </c>
      <c r="D141" s="362" t="s">
        <v>1024</v>
      </c>
      <c r="E141" s="362"/>
      <c r="F141" s="362" t="s">
        <v>1158</v>
      </c>
      <c r="G141" s="363">
        <v>4999999.9700000007</v>
      </c>
      <c r="H141" s="363">
        <v>0</v>
      </c>
      <c r="I141" s="363">
        <v>4999999.9700000007</v>
      </c>
      <c r="J141" s="346">
        <v>830033.94</v>
      </c>
      <c r="K141" s="346">
        <v>1967127</v>
      </c>
      <c r="L141" s="347">
        <v>1567743</v>
      </c>
      <c r="M141" s="347">
        <v>466000</v>
      </c>
      <c r="N141" s="347">
        <v>0</v>
      </c>
      <c r="O141" s="346">
        <v>169096</v>
      </c>
      <c r="P141" s="346">
        <v>0</v>
      </c>
      <c r="Q141" s="346">
        <v>0</v>
      </c>
      <c r="R141" s="346">
        <f t="shared" si="158"/>
        <v>4999999.9399999995</v>
      </c>
      <c r="S141" s="344" t="s">
        <v>1159</v>
      </c>
      <c r="T141" s="325">
        <f t="shared" si="160"/>
        <v>3.0000001192092896E-2</v>
      </c>
      <c r="U141" s="364">
        <v>1587127</v>
      </c>
      <c r="V141" s="365">
        <f t="shared" si="100"/>
        <v>-380000</v>
      </c>
      <c r="W141" s="398">
        <f t="shared" si="101"/>
        <v>1.239426334502532</v>
      </c>
      <c r="Y141" s="349">
        <v>2217127</v>
      </c>
      <c r="Z141" s="349">
        <v>1759444</v>
      </c>
      <c r="AA141" s="349">
        <v>1628386.39</v>
      </c>
      <c r="AB141" s="366">
        <f t="shared" si="105"/>
        <v>0.73445787724383849</v>
      </c>
      <c r="AC141" s="366">
        <f t="shared" si="106"/>
        <v>0.88724146158519557</v>
      </c>
      <c r="AD141" s="367">
        <f t="shared" si="102"/>
        <v>4.1743748436656038E-7</v>
      </c>
      <c r="AF141" s="325">
        <f t="shared" si="159"/>
        <v>250000</v>
      </c>
      <c r="AI141" s="349">
        <v>2217127</v>
      </c>
      <c r="AJ141" s="331">
        <f t="shared" si="107"/>
        <v>250000</v>
      </c>
    </row>
    <row r="142" spans="1:37" ht="63.75">
      <c r="A142" s="395" t="s">
        <v>17</v>
      </c>
      <c r="B142" s="361" t="s">
        <v>1160</v>
      </c>
      <c r="C142" s="362" t="s">
        <v>635</v>
      </c>
      <c r="D142" s="362" t="s">
        <v>1024</v>
      </c>
      <c r="E142" s="362"/>
      <c r="F142" s="362" t="s">
        <v>1161</v>
      </c>
      <c r="G142" s="363">
        <v>2017021</v>
      </c>
      <c r="H142" s="363">
        <v>0</v>
      </c>
      <c r="I142" s="363">
        <v>2017021</v>
      </c>
      <c r="J142" s="346">
        <v>726340.42999999993</v>
      </c>
      <c r="K142" s="346">
        <v>263354</v>
      </c>
      <c r="L142" s="347">
        <v>363668</v>
      </c>
      <c r="M142" s="347">
        <v>363668</v>
      </c>
      <c r="N142" s="347">
        <v>299991</v>
      </c>
      <c r="O142" s="346">
        <v>0</v>
      </c>
      <c r="P142" s="346">
        <v>0</v>
      </c>
      <c r="Q142" s="346">
        <v>0</v>
      </c>
      <c r="R142" s="346">
        <f t="shared" si="158"/>
        <v>2017021.43</v>
      </c>
      <c r="S142" s="344"/>
      <c r="T142" s="325">
        <f t="shared" si="160"/>
        <v>-0.42999999993480742</v>
      </c>
      <c r="U142" s="364">
        <v>362407</v>
      </c>
      <c r="V142" s="365">
        <f t="shared" si="100"/>
        <v>99053</v>
      </c>
      <c r="W142" s="398">
        <f t="shared" si="101"/>
        <v>0.72668022416785549</v>
      </c>
      <c r="Y142" s="349">
        <v>362407</v>
      </c>
      <c r="Z142" s="349">
        <v>143951</v>
      </c>
      <c r="AA142" s="349">
        <v>80128.58</v>
      </c>
      <c r="AB142" s="366">
        <f t="shared" si="105"/>
        <v>0.22110108248460986</v>
      </c>
      <c r="AC142" s="366">
        <f t="shared" si="106"/>
        <v>0.72668022416785549</v>
      </c>
      <c r="AD142" s="367">
        <f t="shared" si="102"/>
        <v>1.5359468324958483E-6</v>
      </c>
      <c r="AF142" s="325">
        <f t="shared" si="159"/>
        <v>99053</v>
      </c>
      <c r="AI142" s="349">
        <v>362407</v>
      </c>
      <c r="AJ142" s="331">
        <f t="shared" si="107"/>
        <v>99053</v>
      </c>
    </row>
    <row r="143" spans="1:37" ht="63.75">
      <c r="A143" s="394" t="s">
        <v>700</v>
      </c>
      <c r="B143" s="359" t="s">
        <v>1162</v>
      </c>
      <c r="C143" s="341" t="s">
        <v>635</v>
      </c>
      <c r="D143" s="341" t="s">
        <v>1024</v>
      </c>
      <c r="E143" s="341"/>
      <c r="F143" s="341" t="s">
        <v>468</v>
      </c>
      <c r="G143" s="370">
        <f>G144+G145+G146</f>
        <v>37719827.810000002</v>
      </c>
      <c r="H143" s="370">
        <f t="shared" ref="H143:Q143" si="170">H144+H145+H146</f>
        <v>6000000</v>
      </c>
      <c r="I143" s="370">
        <f t="shared" si="170"/>
        <v>43719827.810000002</v>
      </c>
      <c r="J143" s="370">
        <f t="shared" si="170"/>
        <v>11945363.149999999</v>
      </c>
      <c r="K143" s="370">
        <f t="shared" si="170"/>
        <v>3414609</v>
      </c>
      <c r="L143" s="370">
        <f t="shared" si="170"/>
        <v>3435462</v>
      </c>
      <c r="M143" s="370">
        <f t="shared" si="170"/>
        <v>3435462</v>
      </c>
      <c r="N143" s="370">
        <f t="shared" si="170"/>
        <v>2537886</v>
      </c>
      <c r="O143" s="370">
        <f t="shared" si="170"/>
        <v>1253432</v>
      </c>
      <c r="P143" s="370">
        <f t="shared" si="170"/>
        <v>5613720</v>
      </c>
      <c r="Q143" s="370">
        <f t="shared" si="170"/>
        <v>6083895</v>
      </c>
      <c r="R143" s="346">
        <f t="shared" si="158"/>
        <v>37719829.149999999</v>
      </c>
      <c r="S143" s="344"/>
      <c r="T143" s="325">
        <f t="shared" si="160"/>
        <v>5999998.6600000039</v>
      </c>
      <c r="U143" s="393">
        <f>U144+U145+U146</f>
        <v>4592715</v>
      </c>
      <c r="V143" s="326">
        <f t="shared" si="100"/>
        <v>1178106</v>
      </c>
      <c r="W143" s="399">
        <f t="shared" si="101"/>
        <v>0.74348375634020403</v>
      </c>
      <c r="Y143" s="370">
        <f t="shared" ref="Y143:AA143" si="171">Y144+Y145+Y146</f>
        <v>4443063</v>
      </c>
      <c r="Z143" s="370">
        <f t="shared" si="171"/>
        <v>2705193</v>
      </c>
      <c r="AA143" s="370">
        <f t="shared" si="171"/>
        <v>2092450.8299999998</v>
      </c>
      <c r="AB143" s="371">
        <f t="shared" si="105"/>
        <v>0.47094781910587352</v>
      </c>
      <c r="AC143" s="371">
        <f t="shared" si="106"/>
        <v>0.7685259020635089</v>
      </c>
      <c r="AD143" s="322">
        <f t="shared" si="102"/>
        <v>1.7409028454009512E-7</v>
      </c>
      <c r="AF143" s="325">
        <f t="shared" si="159"/>
        <v>1028454</v>
      </c>
      <c r="AI143" s="370">
        <f t="shared" ref="AI143" si="172">AI144+AI145+AI146</f>
        <v>4443063</v>
      </c>
      <c r="AJ143" s="331">
        <f t="shared" si="107"/>
        <v>1028454</v>
      </c>
    </row>
    <row r="144" spans="1:37" ht="25.5">
      <c r="A144" s="395" t="s">
        <v>18</v>
      </c>
      <c r="B144" s="361" t="s">
        <v>1163</v>
      </c>
      <c r="C144" s="362" t="s">
        <v>635</v>
      </c>
      <c r="D144" s="362" t="s">
        <v>1024</v>
      </c>
      <c r="E144" s="362"/>
      <c r="F144" s="362" t="s">
        <v>1161</v>
      </c>
      <c r="G144" s="363">
        <v>20208601</v>
      </c>
      <c r="H144" s="363">
        <v>0</v>
      </c>
      <c r="I144" s="363">
        <v>20208601</v>
      </c>
      <c r="J144" s="346">
        <v>7364329.4100000001</v>
      </c>
      <c r="K144" s="346">
        <v>2681276</v>
      </c>
      <c r="L144" s="347">
        <v>3435462</v>
      </c>
      <c r="M144" s="347">
        <v>3435462</v>
      </c>
      <c r="N144" s="347">
        <v>2537886</v>
      </c>
      <c r="O144" s="346">
        <v>0</v>
      </c>
      <c r="P144" s="346">
        <v>0</v>
      </c>
      <c r="Q144" s="346">
        <v>754186</v>
      </c>
      <c r="R144" s="346">
        <f t="shared" si="158"/>
        <v>20208601.41</v>
      </c>
      <c r="S144" s="344" t="s">
        <v>1164</v>
      </c>
      <c r="T144" s="325">
        <f t="shared" si="160"/>
        <v>-0.41000000014901161</v>
      </c>
      <c r="U144" s="364">
        <v>3435462</v>
      </c>
      <c r="V144" s="365">
        <f t="shared" si="100"/>
        <v>754186</v>
      </c>
      <c r="W144" s="398">
        <f t="shared" si="101"/>
        <v>0.78047028318170886</v>
      </c>
      <c r="Y144" s="349">
        <v>3435462</v>
      </c>
      <c r="Z144" s="349">
        <v>1983349</v>
      </c>
      <c r="AA144" s="349">
        <v>1619633.21</v>
      </c>
      <c r="AB144" s="366">
        <f t="shared" si="105"/>
        <v>0.47144553192554595</v>
      </c>
      <c r="AC144" s="366">
        <f t="shared" si="106"/>
        <v>0.78047028318170886</v>
      </c>
      <c r="AD144" s="367">
        <f t="shared" si="102"/>
        <v>2.3770175189820146E-7</v>
      </c>
      <c r="AF144" s="325">
        <f t="shared" si="159"/>
        <v>754186</v>
      </c>
      <c r="AI144" s="349">
        <v>3435462</v>
      </c>
      <c r="AJ144" s="331">
        <f t="shared" si="107"/>
        <v>754186</v>
      </c>
    </row>
    <row r="145" spans="1:37" ht="102">
      <c r="A145" s="395" t="s">
        <v>19</v>
      </c>
      <c r="B145" s="361" t="s">
        <v>1165</v>
      </c>
      <c r="C145" s="362" t="s">
        <v>635</v>
      </c>
      <c r="D145" s="362" t="s">
        <v>1024</v>
      </c>
      <c r="E145" s="362"/>
      <c r="F145" s="362" t="s">
        <v>1128</v>
      </c>
      <c r="G145" s="363">
        <v>14103938.140000001</v>
      </c>
      <c r="H145" s="363">
        <v>6000000</v>
      </c>
      <c r="I145" s="363">
        <v>20103938.140000001</v>
      </c>
      <c r="J145" s="346">
        <v>4581033.7399999993</v>
      </c>
      <c r="K145" s="346">
        <v>555227</v>
      </c>
      <c r="L145" s="347">
        <v>0</v>
      </c>
      <c r="M145" s="347">
        <v>0</v>
      </c>
      <c r="N145" s="347">
        <v>0</v>
      </c>
      <c r="O145" s="346">
        <v>0</v>
      </c>
      <c r="P145" s="346">
        <v>4483839</v>
      </c>
      <c r="Q145" s="346">
        <v>4483839</v>
      </c>
      <c r="R145" s="346">
        <f t="shared" si="158"/>
        <v>14103938.739999998</v>
      </c>
      <c r="S145" s="344" t="s">
        <v>1166</v>
      </c>
      <c r="T145" s="325">
        <f t="shared" si="160"/>
        <v>5999999.4000000022</v>
      </c>
      <c r="U145" s="364">
        <v>1157253</v>
      </c>
      <c r="V145" s="365">
        <f t="shared" si="100"/>
        <v>602026</v>
      </c>
      <c r="W145" s="398">
        <f t="shared" si="101"/>
        <v>0.47978013450818446</v>
      </c>
      <c r="Y145" s="349">
        <v>869951</v>
      </c>
      <c r="Z145" s="349">
        <v>584194</v>
      </c>
      <c r="AA145" s="349">
        <v>344074.15</v>
      </c>
      <c r="AB145" s="366">
        <f t="shared" si="105"/>
        <v>0.39550980457520024</v>
      </c>
      <c r="AC145" s="366">
        <f t="shared" si="106"/>
        <v>0.63822790019207976</v>
      </c>
      <c r="AD145" s="367">
        <f t="shared" si="102"/>
        <v>6.7701791626617229E-7</v>
      </c>
      <c r="AF145" s="325">
        <f t="shared" si="159"/>
        <v>314724</v>
      </c>
      <c r="AI145" s="349">
        <v>869951</v>
      </c>
      <c r="AJ145" s="331">
        <f t="shared" si="107"/>
        <v>314724</v>
      </c>
    </row>
    <row r="146" spans="1:37" ht="25.5">
      <c r="A146" s="395" t="s">
        <v>142</v>
      </c>
      <c r="B146" s="361" t="s">
        <v>1167</v>
      </c>
      <c r="C146" s="362" t="s">
        <v>635</v>
      </c>
      <c r="D146" s="362" t="s">
        <v>1024</v>
      </c>
      <c r="E146" s="362"/>
      <c r="F146" s="362" t="s">
        <v>1168</v>
      </c>
      <c r="G146" s="363">
        <v>3407288.67</v>
      </c>
      <c r="H146" s="363">
        <v>0</v>
      </c>
      <c r="I146" s="363">
        <v>3407288.67</v>
      </c>
      <c r="J146" s="346">
        <v>0</v>
      </c>
      <c r="K146" s="346">
        <v>178106</v>
      </c>
      <c r="L146" s="347">
        <v>0</v>
      </c>
      <c r="M146" s="347">
        <v>0</v>
      </c>
      <c r="N146" s="347">
        <v>0</v>
      </c>
      <c r="O146" s="346">
        <v>1253432</v>
      </c>
      <c r="P146" s="346">
        <v>1129881</v>
      </c>
      <c r="Q146" s="346">
        <v>845870</v>
      </c>
      <c r="R146" s="346">
        <f t="shared" si="158"/>
        <v>3407289</v>
      </c>
      <c r="S146" s="344"/>
      <c r="T146" s="325">
        <f t="shared" si="160"/>
        <v>-0.33000000007450581</v>
      </c>
      <c r="U146" s="364">
        <v>0</v>
      </c>
      <c r="V146" s="365">
        <f t="shared" si="100"/>
        <v>-178106</v>
      </c>
      <c r="W146" s="398" t="e">
        <f t="shared" si="101"/>
        <v>#DIV/0!</v>
      </c>
      <c r="Y146" s="349">
        <v>137650</v>
      </c>
      <c r="Z146" s="349">
        <v>137650</v>
      </c>
      <c r="AA146" s="349">
        <v>128743.47</v>
      </c>
      <c r="AB146" s="366">
        <f t="shared" si="105"/>
        <v>0.93529582273883038</v>
      </c>
      <c r="AC146" s="366">
        <f t="shared" si="106"/>
        <v>1.2939048310933527</v>
      </c>
      <c r="AD146" s="367">
        <f t="shared" si="102"/>
        <v>6.7947389955599739E-6</v>
      </c>
      <c r="AF146" s="325">
        <f t="shared" si="159"/>
        <v>-40456</v>
      </c>
      <c r="AI146" s="349">
        <v>137650</v>
      </c>
      <c r="AJ146" s="331">
        <f t="shared" si="107"/>
        <v>-40456</v>
      </c>
    </row>
    <row r="147" spans="1:37" ht="63.75">
      <c r="A147" s="317" t="s">
        <v>719</v>
      </c>
      <c r="B147" s="332" t="s">
        <v>1169</v>
      </c>
      <c r="C147" s="314" t="s">
        <v>1170</v>
      </c>
      <c r="D147" s="314" t="s">
        <v>468</v>
      </c>
      <c r="E147" s="314"/>
      <c r="F147" s="314"/>
      <c r="G147" s="400">
        <f>G150+G181+G199+G209+G232+G248</f>
        <v>2401013647.78264</v>
      </c>
      <c r="H147" s="400">
        <f t="shared" ref="H147:Q147" si="173">H150+H181+H199+H209+H232+H248</f>
        <v>216634579</v>
      </c>
      <c r="I147" s="400">
        <f t="shared" si="173"/>
        <v>2617648226.9665599</v>
      </c>
      <c r="J147" s="400">
        <f t="shared" si="173"/>
        <v>1016664522.98</v>
      </c>
      <c r="K147" s="400">
        <f t="shared" si="173"/>
        <v>289649317.51999998</v>
      </c>
      <c r="L147" s="400">
        <f t="shared" si="173"/>
        <v>352811485.60000002</v>
      </c>
      <c r="M147" s="400">
        <f t="shared" si="173"/>
        <v>169707331</v>
      </c>
      <c r="N147" s="400">
        <f t="shared" si="173"/>
        <v>43389723</v>
      </c>
      <c r="O147" s="400">
        <f t="shared" si="173"/>
        <v>90933948.400000006</v>
      </c>
      <c r="P147" s="400">
        <f t="shared" si="173"/>
        <v>311478920.44999999</v>
      </c>
      <c r="Q147" s="400">
        <f t="shared" si="173"/>
        <v>299961935.47000003</v>
      </c>
      <c r="R147" s="346">
        <f t="shared" si="158"/>
        <v>2574597184.4200001</v>
      </c>
      <c r="S147" s="335"/>
      <c r="T147" s="325">
        <f t="shared" si="160"/>
        <v>43051042.546559811</v>
      </c>
      <c r="U147" s="336">
        <f>U150+U181+U199+U209+U232+U248+U252</f>
        <v>411562102</v>
      </c>
      <c r="V147" s="336">
        <f t="shared" ref="V147:V210" si="174">U147-K147</f>
        <v>121912784.48000002</v>
      </c>
      <c r="W147" s="357">
        <f t="shared" ref="W147:W210" si="175">K147/U147</f>
        <v>0.70378034350694418</v>
      </c>
      <c r="Y147" s="400">
        <f t="shared" ref="Y147:AA147" si="176">Y150+Y181+Y199+Y209+Y232+Y248</f>
        <v>354667971</v>
      </c>
      <c r="Z147" s="400">
        <f t="shared" si="176"/>
        <v>237642278</v>
      </c>
      <c r="AA147" s="400">
        <f t="shared" si="176"/>
        <v>227161873.61999997</v>
      </c>
      <c r="AB147" s="358">
        <f t="shared" si="105"/>
        <v>0.64049164907535439</v>
      </c>
      <c r="AC147" s="358">
        <f t="shared" si="106"/>
        <v>0.81667740310274584</v>
      </c>
      <c r="AD147" s="333">
        <f t="shared" ref="AD147:AD210" si="177">AB147/Z147</f>
        <v>2.6951923473623427E-9</v>
      </c>
      <c r="AF147" s="325">
        <f t="shared" si="159"/>
        <v>65018653.480000019</v>
      </c>
      <c r="AI147" s="400">
        <f t="shared" ref="AI147" si="178">AI150+AI181+AI199+AI209+AI232+AI248</f>
        <v>354121372</v>
      </c>
      <c r="AJ147" s="331">
        <f t="shared" si="107"/>
        <v>64472054.480000019</v>
      </c>
    </row>
    <row r="148" spans="1:37">
      <c r="A148" s="401"/>
      <c r="B148" s="332" t="s">
        <v>1171</v>
      </c>
      <c r="C148" s="314" t="s">
        <v>635</v>
      </c>
      <c r="D148" s="314"/>
      <c r="E148" s="314"/>
      <c r="F148" s="314"/>
      <c r="G148" s="400">
        <f>G150+G181+G209+G248</f>
        <v>1264128388.29264</v>
      </c>
      <c r="H148" s="400">
        <f t="shared" ref="H148:Q148" si="179">H150+H181+H209+H248</f>
        <v>169677622</v>
      </c>
      <c r="I148" s="400">
        <f t="shared" si="179"/>
        <v>1433806010.4765601</v>
      </c>
      <c r="J148" s="400">
        <f t="shared" si="179"/>
        <v>527858260.16000003</v>
      </c>
      <c r="K148" s="400">
        <f t="shared" si="179"/>
        <v>179698103.51999998</v>
      </c>
      <c r="L148" s="400">
        <f t="shared" si="179"/>
        <v>173232597.59999999</v>
      </c>
      <c r="M148" s="400">
        <f t="shared" si="179"/>
        <v>56617877</v>
      </c>
      <c r="N148" s="400">
        <f t="shared" si="179"/>
        <v>8393251</v>
      </c>
      <c r="O148" s="400">
        <f t="shared" si="179"/>
        <v>78169717.400000006</v>
      </c>
      <c r="P148" s="400">
        <f t="shared" si="179"/>
        <v>193371875</v>
      </c>
      <c r="Q148" s="400">
        <f t="shared" si="179"/>
        <v>173413290</v>
      </c>
      <c r="R148" s="346">
        <f t="shared" si="158"/>
        <v>1390754971.6800001</v>
      </c>
      <c r="S148" s="335"/>
      <c r="T148" s="325">
        <f t="shared" si="160"/>
        <v>43051038.796560049</v>
      </c>
      <c r="U148" s="336">
        <f>U150+U181+U209+U248</f>
        <v>235753462</v>
      </c>
      <c r="V148" s="336">
        <f t="shared" si="174"/>
        <v>56055358.480000019</v>
      </c>
      <c r="W148" s="357">
        <f t="shared" si="175"/>
        <v>0.76222890639883789</v>
      </c>
      <c r="Y148" s="400">
        <f t="shared" ref="Y148:AA148" si="180">Y150+Y181+Y209+Y248</f>
        <v>212217073</v>
      </c>
      <c r="Z148" s="400">
        <f t="shared" si="180"/>
        <v>139394676</v>
      </c>
      <c r="AA148" s="400">
        <f t="shared" si="180"/>
        <v>130515494.06</v>
      </c>
      <c r="AB148" s="358">
        <f t="shared" si="105"/>
        <v>0.61500939681700351</v>
      </c>
      <c r="AC148" s="358">
        <f t="shared" si="106"/>
        <v>0.84676553577760438</v>
      </c>
      <c r="AD148" s="333">
        <f t="shared" si="177"/>
        <v>4.4120006191413186E-9</v>
      </c>
      <c r="AF148" s="325">
        <f t="shared" si="159"/>
        <v>32518969.480000019</v>
      </c>
      <c r="AI148" s="400">
        <f t="shared" ref="AI148" si="181">AI150+AI181+AI209+AI248</f>
        <v>200780433</v>
      </c>
      <c r="AJ148" s="331">
        <f t="shared" si="107"/>
        <v>21082329.480000019</v>
      </c>
    </row>
    <row r="149" spans="1:37">
      <c r="A149" s="401"/>
      <c r="B149" s="332" t="s">
        <v>1172</v>
      </c>
      <c r="C149" s="314" t="s">
        <v>1173</v>
      </c>
      <c r="D149" s="314"/>
      <c r="E149" s="314"/>
      <c r="F149" s="314"/>
      <c r="G149" s="400">
        <f>G199+G232</f>
        <v>1136885259.49</v>
      </c>
      <c r="H149" s="400">
        <f t="shared" ref="H149:Q149" si="182">H199+H232</f>
        <v>46956957</v>
      </c>
      <c r="I149" s="400">
        <f t="shared" si="182"/>
        <v>1183842216.49</v>
      </c>
      <c r="J149" s="400">
        <f t="shared" si="182"/>
        <v>488806262.82000005</v>
      </c>
      <c r="K149" s="400">
        <f t="shared" si="182"/>
        <v>109951214</v>
      </c>
      <c r="L149" s="400">
        <f t="shared" si="182"/>
        <v>179578888</v>
      </c>
      <c r="M149" s="400">
        <f t="shared" si="182"/>
        <v>113089454</v>
      </c>
      <c r="N149" s="400">
        <f t="shared" si="182"/>
        <v>34996472</v>
      </c>
      <c r="O149" s="400">
        <f t="shared" si="182"/>
        <v>12764231</v>
      </c>
      <c r="P149" s="400">
        <f t="shared" si="182"/>
        <v>118107045.45</v>
      </c>
      <c r="Q149" s="400">
        <f t="shared" si="182"/>
        <v>126548645.47</v>
      </c>
      <c r="R149" s="346">
        <f t="shared" si="158"/>
        <v>1183842212.74</v>
      </c>
      <c r="S149" s="335"/>
      <c r="T149" s="325">
        <f t="shared" si="160"/>
        <v>3.75</v>
      </c>
      <c r="U149" s="336">
        <f>U199+U232</f>
        <v>175808640</v>
      </c>
      <c r="V149" s="336">
        <f t="shared" si="174"/>
        <v>65857426</v>
      </c>
      <c r="W149" s="357">
        <f t="shared" si="175"/>
        <v>0.62540279021554346</v>
      </c>
      <c r="Y149" s="400">
        <f t="shared" ref="Y149:AA149" si="183">Y199+Y232</f>
        <v>142450898</v>
      </c>
      <c r="Z149" s="400">
        <f t="shared" si="183"/>
        <v>98247602</v>
      </c>
      <c r="AA149" s="400">
        <f t="shared" si="183"/>
        <v>96646379.560000002</v>
      </c>
      <c r="AB149" s="358">
        <f t="shared" ref="AB149:AB212" si="184">AA149/Y149</f>
        <v>0.67845398601839635</v>
      </c>
      <c r="AC149" s="358">
        <f t="shared" ref="AC149:AC212" si="185">K149/Y149</f>
        <v>0.77185342840028992</v>
      </c>
      <c r="AD149" s="333">
        <f t="shared" si="177"/>
        <v>6.9055526262961242E-9</v>
      </c>
      <c r="AF149" s="325">
        <f t="shared" si="159"/>
        <v>32499684</v>
      </c>
      <c r="AI149" s="400">
        <f t="shared" ref="AI149" si="186">AI199+AI232</f>
        <v>153340939</v>
      </c>
      <c r="AJ149" s="331">
        <f t="shared" ref="AJ149:AJ212" si="187">AI149-K149</f>
        <v>43389725</v>
      </c>
    </row>
    <row r="150" spans="1:37" ht="51">
      <c r="A150" s="321" t="s">
        <v>725</v>
      </c>
      <c r="B150" s="359" t="s">
        <v>1174</v>
      </c>
      <c r="C150" s="341" t="s">
        <v>635</v>
      </c>
      <c r="D150" s="341" t="s">
        <v>468</v>
      </c>
      <c r="E150" s="341"/>
      <c r="F150" s="341"/>
      <c r="G150" s="370">
        <f>G151+G154+G157+G163+G173</f>
        <v>394454497.32000005</v>
      </c>
      <c r="H150" s="370">
        <f t="shared" ref="H150:Q150" si="188">H151+H154+H157+H163+H173</f>
        <v>65330624</v>
      </c>
      <c r="I150" s="370">
        <f t="shared" si="188"/>
        <v>459785121.32000005</v>
      </c>
      <c r="J150" s="370">
        <f t="shared" si="188"/>
        <v>192767556.74000001</v>
      </c>
      <c r="K150" s="370">
        <f t="shared" si="188"/>
        <v>54067569</v>
      </c>
      <c r="L150" s="370">
        <f t="shared" si="188"/>
        <v>56221998</v>
      </c>
      <c r="M150" s="370">
        <f t="shared" si="188"/>
        <v>27502114</v>
      </c>
      <c r="N150" s="370">
        <f t="shared" si="188"/>
        <v>0</v>
      </c>
      <c r="O150" s="370">
        <f t="shared" si="188"/>
        <v>8284130</v>
      </c>
      <c r="P150" s="370">
        <f t="shared" si="188"/>
        <v>49588931</v>
      </c>
      <c r="Q150" s="370">
        <f t="shared" si="188"/>
        <v>64090888</v>
      </c>
      <c r="R150" s="346">
        <f t="shared" si="158"/>
        <v>452523186.74000001</v>
      </c>
      <c r="S150" s="344"/>
      <c r="T150" s="325">
        <f t="shared" si="160"/>
        <v>7261934.5800000429</v>
      </c>
      <c r="U150" s="393">
        <f>U151+U154+U157+U163+U173</f>
        <v>76853721</v>
      </c>
      <c r="V150" s="326">
        <f t="shared" si="174"/>
        <v>22786152</v>
      </c>
      <c r="W150" s="327">
        <f t="shared" si="175"/>
        <v>0.70351270304791103</v>
      </c>
      <c r="Y150" s="370">
        <f t="shared" ref="Y150:AA150" si="189">Y151+Y154+Y157+Y163+Y173</f>
        <v>60180602</v>
      </c>
      <c r="Z150" s="370">
        <f t="shared" si="189"/>
        <v>44960903</v>
      </c>
      <c r="AA150" s="370">
        <f t="shared" si="189"/>
        <v>39997516.289999999</v>
      </c>
      <c r="AB150" s="345">
        <f t="shared" si="184"/>
        <v>0.66462472891181779</v>
      </c>
      <c r="AC150" s="345">
        <f t="shared" si="185"/>
        <v>0.89842187022323239</v>
      </c>
      <c r="AD150" s="342">
        <f t="shared" si="177"/>
        <v>1.4782281595007507E-8</v>
      </c>
      <c r="AF150" s="325">
        <f t="shared" si="159"/>
        <v>6113033</v>
      </c>
      <c r="AI150" s="370">
        <f t="shared" ref="AI150" si="190">AI151+AI154+AI157+AI163+AI173</f>
        <v>58446168</v>
      </c>
      <c r="AJ150" s="331">
        <f t="shared" si="187"/>
        <v>4378599</v>
      </c>
    </row>
    <row r="151" spans="1:37" ht="51">
      <c r="A151" s="321" t="s">
        <v>727</v>
      </c>
      <c r="B151" s="359" t="s">
        <v>1175</v>
      </c>
      <c r="C151" s="341" t="s">
        <v>635</v>
      </c>
      <c r="D151" s="341" t="s">
        <v>527</v>
      </c>
      <c r="E151" s="362"/>
      <c r="F151" s="341"/>
      <c r="G151" s="370">
        <f>G152+G153</f>
        <v>71450941.150000006</v>
      </c>
      <c r="H151" s="370">
        <f t="shared" ref="H151:Q151" si="191">H152+H153</f>
        <v>43509857</v>
      </c>
      <c r="I151" s="370">
        <f t="shared" si="191"/>
        <v>114960798.15000001</v>
      </c>
      <c r="J151" s="370">
        <f t="shared" si="191"/>
        <v>13926985.08</v>
      </c>
      <c r="K151" s="370">
        <f t="shared" si="191"/>
        <v>6420453</v>
      </c>
      <c r="L151" s="370">
        <f t="shared" si="191"/>
        <v>1421493</v>
      </c>
      <c r="M151" s="370">
        <f t="shared" si="191"/>
        <v>0</v>
      </c>
      <c r="N151" s="370">
        <f t="shared" si="191"/>
        <v>0</v>
      </c>
      <c r="O151" s="370">
        <f t="shared" si="191"/>
        <v>5322556</v>
      </c>
      <c r="P151" s="370">
        <f t="shared" si="191"/>
        <v>36195800</v>
      </c>
      <c r="Q151" s="370">
        <f t="shared" si="191"/>
        <v>49769226</v>
      </c>
      <c r="R151" s="346">
        <f t="shared" si="158"/>
        <v>113056513.08</v>
      </c>
      <c r="S151" s="344"/>
      <c r="T151" s="325">
        <f t="shared" si="160"/>
        <v>1904285.0700000077</v>
      </c>
      <c r="U151" s="393">
        <f>U152+U153</f>
        <v>17399679</v>
      </c>
      <c r="V151" s="326">
        <f t="shared" si="174"/>
        <v>10979226</v>
      </c>
      <c r="W151" s="327">
        <f t="shared" si="175"/>
        <v>0.36899835910765938</v>
      </c>
      <c r="Y151" s="370">
        <f t="shared" ref="Y151:AA151" si="192">Y152+Y153</f>
        <v>9110245</v>
      </c>
      <c r="Z151" s="370">
        <f t="shared" si="192"/>
        <v>6514243</v>
      </c>
      <c r="AA151" s="370">
        <f t="shared" si="192"/>
        <v>5247880.0200000005</v>
      </c>
      <c r="AB151" s="345">
        <f t="shared" si="184"/>
        <v>0.57604159053900317</v>
      </c>
      <c r="AC151" s="345">
        <f t="shared" si="185"/>
        <v>0.70475086015798694</v>
      </c>
      <c r="AD151" s="342">
        <f t="shared" si="177"/>
        <v>8.842801696820385E-8</v>
      </c>
      <c r="AF151" s="325">
        <f t="shared" si="159"/>
        <v>2689792</v>
      </c>
      <c r="AI151" s="370">
        <f t="shared" ref="AI151" si="193">AI152+AI153</f>
        <v>9016820</v>
      </c>
      <c r="AJ151" s="331">
        <f t="shared" si="187"/>
        <v>2596367</v>
      </c>
    </row>
    <row r="152" spans="1:37" ht="102">
      <c r="A152" s="360" t="s">
        <v>80</v>
      </c>
      <c r="B152" s="361" t="s">
        <v>1176</v>
      </c>
      <c r="C152" s="362" t="s">
        <v>635</v>
      </c>
      <c r="D152" s="362" t="s">
        <v>527</v>
      </c>
      <c r="E152" s="362" t="s">
        <v>1177</v>
      </c>
      <c r="F152" s="362" t="s">
        <v>1178</v>
      </c>
      <c r="G152" s="376">
        <v>69135611</v>
      </c>
      <c r="H152" s="376">
        <v>43509857</v>
      </c>
      <c r="I152" s="376">
        <v>112645468</v>
      </c>
      <c r="J152" s="368">
        <v>12350017</v>
      </c>
      <c r="K152" s="346">
        <v>5682091</v>
      </c>
      <c r="L152" s="347">
        <v>1421493</v>
      </c>
      <c r="M152" s="347">
        <v>0</v>
      </c>
      <c r="N152" s="347">
        <v>0</v>
      </c>
      <c r="O152" s="346">
        <v>5322556</v>
      </c>
      <c r="P152" s="346">
        <v>36195800</v>
      </c>
      <c r="Q152" s="346">
        <v>49769226</v>
      </c>
      <c r="R152" s="346">
        <f t="shared" si="158"/>
        <v>110741183</v>
      </c>
      <c r="S152" s="344" t="s">
        <v>1179</v>
      </c>
      <c r="T152" s="325">
        <f t="shared" si="160"/>
        <v>1904285</v>
      </c>
      <c r="U152" s="364">
        <v>16661320</v>
      </c>
      <c r="V152" s="365">
        <f t="shared" si="174"/>
        <v>10979229</v>
      </c>
      <c r="W152" s="398">
        <f t="shared" si="175"/>
        <v>0.34103486398436617</v>
      </c>
      <c r="Y152" s="351">
        <v>8371886</v>
      </c>
      <c r="Z152" s="351">
        <v>5775884</v>
      </c>
      <c r="AA152" s="351">
        <v>4567705.2</v>
      </c>
      <c r="AB152" s="366">
        <f t="shared" si="184"/>
        <v>0.54560050148795625</v>
      </c>
      <c r="AC152" s="366">
        <f t="shared" si="185"/>
        <v>0.67871098579220979</v>
      </c>
      <c r="AD152" s="367">
        <f t="shared" si="177"/>
        <v>9.4461817704087588E-8</v>
      </c>
      <c r="AF152" s="325">
        <f t="shared" si="159"/>
        <v>2689795</v>
      </c>
      <c r="AG152" s="305">
        <v>2689795</v>
      </c>
      <c r="AI152" s="351">
        <f>8371886-58880+38232-72777</f>
        <v>8278461</v>
      </c>
      <c r="AJ152" s="331">
        <f>AI152-K152</f>
        <v>2596370</v>
      </c>
      <c r="AK152" s="305">
        <v>2596370</v>
      </c>
    </row>
    <row r="153" spans="1:37" ht="102">
      <c r="A153" s="360" t="s">
        <v>81</v>
      </c>
      <c r="B153" s="361" t="s">
        <v>1180</v>
      </c>
      <c r="C153" s="362" t="s">
        <v>635</v>
      </c>
      <c r="D153" s="362" t="s">
        <v>527</v>
      </c>
      <c r="E153" s="362" t="s">
        <v>1181</v>
      </c>
      <c r="F153" s="362" t="s">
        <v>1182</v>
      </c>
      <c r="G153" s="363">
        <v>2315330.15</v>
      </c>
      <c r="H153" s="363">
        <v>0</v>
      </c>
      <c r="I153" s="363">
        <v>2315330.15</v>
      </c>
      <c r="J153" s="346">
        <v>1576968.08</v>
      </c>
      <c r="K153" s="346">
        <v>738362</v>
      </c>
      <c r="L153" s="347">
        <v>0</v>
      </c>
      <c r="M153" s="347">
        <v>0</v>
      </c>
      <c r="N153" s="347">
        <v>0</v>
      </c>
      <c r="O153" s="346">
        <v>0</v>
      </c>
      <c r="P153" s="346">
        <v>0</v>
      </c>
      <c r="Q153" s="346">
        <v>0</v>
      </c>
      <c r="R153" s="346">
        <f t="shared" si="158"/>
        <v>2315330.08</v>
      </c>
      <c r="S153" s="344"/>
      <c r="T153" s="325">
        <f t="shared" si="160"/>
        <v>6.9999999832361937E-2</v>
      </c>
      <c r="U153" s="364">
        <v>738359</v>
      </c>
      <c r="V153" s="365">
        <f t="shared" si="174"/>
        <v>-3</v>
      </c>
      <c r="W153" s="398">
        <f t="shared" si="175"/>
        <v>1.0000040630641733</v>
      </c>
      <c r="Y153" s="351">
        <v>738359</v>
      </c>
      <c r="Z153" s="351">
        <v>738359</v>
      </c>
      <c r="AA153" s="351">
        <v>680174.82</v>
      </c>
      <c r="AB153" s="366">
        <f t="shared" si="184"/>
        <v>0.92119798092797667</v>
      </c>
      <c r="AC153" s="366">
        <f t="shared" si="185"/>
        <v>1.0000040630641733</v>
      </c>
      <c r="AD153" s="367">
        <f t="shared" si="177"/>
        <v>1.2476288376358609E-6</v>
      </c>
      <c r="AF153" s="325">
        <f t="shared" si="159"/>
        <v>-3</v>
      </c>
      <c r="AI153" s="351">
        <v>738359</v>
      </c>
      <c r="AJ153" s="331">
        <f t="shared" si="187"/>
        <v>-3</v>
      </c>
    </row>
    <row r="154" spans="1:37" ht="51">
      <c r="A154" s="321" t="s">
        <v>731</v>
      </c>
      <c r="B154" s="359" t="s">
        <v>1183</v>
      </c>
      <c r="C154" s="341" t="s">
        <v>635</v>
      </c>
      <c r="D154" s="341" t="s">
        <v>527</v>
      </c>
      <c r="E154" s="362" t="s">
        <v>1184</v>
      </c>
      <c r="F154" s="341"/>
      <c r="G154" s="370">
        <f>G155+G156</f>
        <v>92718203.430000007</v>
      </c>
      <c r="H154" s="370">
        <f t="shared" ref="H154:Q154" si="194">H155+H156</f>
        <v>0</v>
      </c>
      <c r="I154" s="370">
        <f t="shared" si="194"/>
        <v>92718203.430000007</v>
      </c>
      <c r="J154" s="370">
        <f t="shared" si="194"/>
        <v>44511209.289999999</v>
      </c>
      <c r="K154" s="370">
        <f t="shared" si="194"/>
        <v>14525451</v>
      </c>
      <c r="L154" s="370">
        <f t="shared" si="194"/>
        <v>25682155</v>
      </c>
      <c r="M154" s="370">
        <f t="shared" si="194"/>
        <v>12143836</v>
      </c>
      <c r="N154" s="370">
        <f t="shared" si="194"/>
        <v>0</v>
      </c>
      <c r="O154" s="370">
        <f t="shared" si="194"/>
        <v>-4058830</v>
      </c>
      <c r="P154" s="370">
        <f t="shared" si="194"/>
        <v>-85618</v>
      </c>
      <c r="Q154" s="370">
        <f t="shared" si="194"/>
        <v>0</v>
      </c>
      <c r="R154" s="346">
        <f t="shared" si="158"/>
        <v>92718203.289999992</v>
      </c>
      <c r="S154" s="344"/>
      <c r="T154" s="325">
        <f t="shared" si="160"/>
        <v>0.14000001549720764</v>
      </c>
      <c r="U154" s="393">
        <f>U155+U156</f>
        <v>21778119</v>
      </c>
      <c r="V154" s="388">
        <f t="shared" si="174"/>
        <v>7252668</v>
      </c>
      <c r="W154" s="399">
        <f t="shared" si="175"/>
        <v>0.66697454449578497</v>
      </c>
      <c r="Y154" s="370">
        <f t="shared" ref="Y154:AA154" si="195">Y155+Y156</f>
        <v>15740598</v>
      </c>
      <c r="Z154" s="370">
        <f t="shared" si="195"/>
        <v>11060683</v>
      </c>
      <c r="AA154" s="370">
        <f t="shared" si="195"/>
        <v>9662661.2899999991</v>
      </c>
      <c r="AB154" s="345">
        <f t="shared" si="184"/>
        <v>0.61386875454159995</v>
      </c>
      <c r="AC154" s="371">
        <f t="shared" si="185"/>
        <v>0.92280172583023845</v>
      </c>
      <c r="AD154" s="342">
        <f t="shared" si="177"/>
        <v>5.5500076671720902E-8</v>
      </c>
      <c r="AF154" s="325">
        <f t="shared" si="159"/>
        <v>1215147</v>
      </c>
      <c r="AI154" s="370">
        <f t="shared" ref="AI154" si="196">AI155+AI156</f>
        <v>14311326</v>
      </c>
      <c r="AJ154" s="331">
        <f t="shared" si="187"/>
        <v>-214125</v>
      </c>
    </row>
    <row r="155" spans="1:37" ht="178.5">
      <c r="A155" s="360" t="s">
        <v>82</v>
      </c>
      <c r="B155" s="372" t="s">
        <v>1185</v>
      </c>
      <c r="C155" s="362" t="s">
        <v>635</v>
      </c>
      <c r="D155" s="362" t="s">
        <v>527</v>
      </c>
      <c r="E155" s="362" t="s">
        <v>1184</v>
      </c>
      <c r="F155" s="362" t="s">
        <v>1186</v>
      </c>
      <c r="G155" s="363">
        <v>92718203.430000007</v>
      </c>
      <c r="H155" s="363">
        <v>0</v>
      </c>
      <c r="I155" s="363">
        <v>92718203.430000007</v>
      </c>
      <c r="J155" s="346">
        <v>44511209.289999999</v>
      </c>
      <c r="K155" s="346">
        <v>14525451</v>
      </c>
      <c r="L155" s="347">
        <v>25682155</v>
      </c>
      <c r="M155" s="347">
        <v>12143836</v>
      </c>
      <c r="N155" s="347">
        <v>0</v>
      </c>
      <c r="O155" s="346">
        <v>-4058830</v>
      </c>
      <c r="P155" s="346">
        <v>-85618</v>
      </c>
      <c r="Q155" s="346">
        <v>0</v>
      </c>
      <c r="R155" s="346">
        <f t="shared" si="158"/>
        <v>92718203.289999992</v>
      </c>
      <c r="S155" s="344"/>
      <c r="T155" s="325">
        <f t="shared" si="160"/>
        <v>0.14000001549720764</v>
      </c>
      <c r="U155" s="364">
        <v>21778119</v>
      </c>
      <c r="V155" s="365">
        <f t="shared" si="174"/>
        <v>7252668</v>
      </c>
      <c r="W155" s="398">
        <f t="shared" si="175"/>
        <v>0.66697454449578497</v>
      </c>
      <c r="Y155" s="351">
        <v>15740598</v>
      </c>
      <c r="Z155" s="351">
        <v>11060683</v>
      </c>
      <c r="AA155" s="351">
        <v>9662661.2899999991</v>
      </c>
      <c r="AB155" s="366">
        <f t="shared" si="184"/>
        <v>0.61386875454159995</v>
      </c>
      <c r="AC155" s="366">
        <f t="shared" si="185"/>
        <v>0.92280172583023845</v>
      </c>
      <c r="AD155" s="367">
        <f t="shared" si="177"/>
        <v>5.5500076671720902E-8</v>
      </c>
      <c r="AF155" s="325">
        <f t="shared" si="159"/>
        <v>1215147</v>
      </c>
      <c r="AI155" s="351">
        <f>15740598-214125-1215147</f>
        <v>14311326</v>
      </c>
      <c r="AJ155" s="331">
        <f t="shared" si="187"/>
        <v>-214125</v>
      </c>
    </row>
    <row r="156" spans="1:37" ht="76.5">
      <c r="A156" s="360" t="s">
        <v>83</v>
      </c>
      <c r="B156" s="372" t="s">
        <v>1187</v>
      </c>
      <c r="C156" s="362" t="s">
        <v>635</v>
      </c>
      <c r="D156" s="362" t="s">
        <v>527</v>
      </c>
      <c r="E156" s="362" t="s">
        <v>1184</v>
      </c>
      <c r="F156" s="362" t="s">
        <v>1188</v>
      </c>
      <c r="G156" s="363">
        <v>0</v>
      </c>
      <c r="H156" s="363">
        <v>0</v>
      </c>
      <c r="I156" s="363">
        <v>0</v>
      </c>
      <c r="J156" s="346">
        <v>0</v>
      </c>
      <c r="K156" s="346">
        <v>0</v>
      </c>
      <c r="L156" s="347">
        <v>0</v>
      </c>
      <c r="M156" s="347">
        <v>0</v>
      </c>
      <c r="N156" s="347">
        <v>0</v>
      </c>
      <c r="O156" s="346">
        <v>0</v>
      </c>
      <c r="P156" s="346">
        <v>0</v>
      </c>
      <c r="Q156" s="346">
        <v>0</v>
      </c>
      <c r="R156" s="346">
        <f t="shared" si="158"/>
        <v>0</v>
      </c>
      <c r="S156" s="344"/>
      <c r="T156" s="325">
        <f t="shared" si="160"/>
        <v>0</v>
      </c>
      <c r="U156" s="364">
        <v>0</v>
      </c>
      <c r="V156" s="365">
        <f t="shared" si="174"/>
        <v>0</v>
      </c>
      <c r="W156" s="398" t="e">
        <f t="shared" si="175"/>
        <v>#DIV/0!</v>
      </c>
      <c r="Y156" s="351">
        <v>0</v>
      </c>
      <c r="Z156" s="351">
        <v>0</v>
      </c>
      <c r="AA156" s="351">
        <v>0</v>
      </c>
      <c r="AB156" s="366" t="e">
        <f t="shared" si="184"/>
        <v>#DIV/0!</v>
      </c>
      <c r="AC156" s="366" t="e">
        <f t="shared" si="185"/>
        <v>#DIV/0!</v>
      </c>
      <c r="AD156" s="367" t="e">
        <f t="shared" si="177"/>
        <v>#DIV/0!</v>
      </c>
      <c r="AF156" s="325">
        <f t="shared" si="159"/>
        <v>0</v>
      </c>
      <c r="AI156" s="351">
        <v>0</v>
      </c>
      <c r="AJ156" s="331">
        <f t="shared" si="187"/>
        <v>0</v>
      </c>
    </row>
    <row r="157" spans="1:37" ht="76.5">
      <c r="A157" s="321" t="s">
        <v>736</v>
      </c>
      <c r="B157" s="359" t="s">
        <v>1189</v>
      </c>
      <c r="C157" s="341" t="s">
        <v>635</v>
      </c>
      <c r="D157" s="341" t="s">
        <v>527</v>
      </c>
      <c r="E157" s="362" t="s">
        <v>1184</v>
      </c>
      <c r="F157" s="341"/>
      <c r="G157" s="370">
        <f>G158+G159+G160</f>
        <v>32499394.399999999</v>
      </c>
      <c r="H157" s="370">
        <f t="shared" ref="H157:Q157" si="197">H158+H159+H160</f>
        <v>0</v>
      </c>
      <c r="I157" s="370">
        <f t="shared" si="197"/>
        <v>32499394.399999999</v>
      </c>
      <c r="J157" s="370">
        <f t="shared" si="197"/>
        <v>24893331.949999999</v>
      </c>
      <c r="K157" s="370">
        <f t="shared" si="197"/>
        <v>3552241</v>
      </c>
      <c r="L157" s="370">
        <f t="shared" si="197"/>
        <v>1407609</v>
      </c>
      <c r="M157" s="370">
        <f t="shared" si="197"/>
        <v>14577</v>
      </c>
      <c r="N157" s="370">
        <f t="shared" si="197"/>
        <v>0</v>
      </c>
      <c r="O157" s="370">
        <f t="shared" si="197"/>
        <v>-468122</v>
      </c>
      <c r="P157" s="370">
        <f t="shared" si="197"/>
        <v>1161</v>
      </c>
      <c r="Q157" s="370">
        <f t="shared" si="197"/>
        <v>0</v>
      </c>
      <c r="R157" s="346">
        <f t="shared" si="158"/>
        <v>29400797.949999999</v>
      </c>
      <c r="S157" s="344"/>
      <c r="T157" s="325">
        <f t="shared" si="160"/>
        <v>3098596.4499999993</v>
      </c>
      <c r="U157" s="393">
        <f>U158+U159+U160</f>
        <v>2213742</v>
      </c>
      <c r="V157" s="365">
        <f t="shared" si="174"/>
        <v>-1338499</v>
      </c>
      <c r="W157" s="398">
        <f t="shared" si="175"/>
        <v>1.6046318857391693</v>
      </c>
      <c r="Y157" s="370">
        <f t="shared" ref="Y157:AA157" si="198">Y158+Y159+Y160</f>
        <v>3552239</v>
      </c>
      <c r="Z157" s="370">
        <f t="shared" si="198"/>
        <v>3332503</v>
      </c>
      <c r="AA157" s="370">
        <f t="shared" si="198"/>
        <v>3332500.32</v>
      </c>
      <c r="AB157" s="345">
        <f t="shared" si="184"/>
        <v>0.93814079514356996</v>
      </c>
      <c r="AC157" s="371">
        <f t="shared" si="185"/>
        <v>1.0000005630251794</v>
      </c>
      <c r="AD157" s="342">
        <f t="shared" si="177"/>
        <v>2.8151236327276222E-7</v>
      </c>
      <c r="AF157" s="325">
        <f t="shared" si="159"/>
        <v>-2</v>
      </c>
      <c r="AI157" s="370">
        <f t="shared" ref="AI157" si="199">AI158+AI159+AI160</f>
        <v>3554326</v>
      </c>
      <c r="AJ157" s="331">
        <f t="shared" si="187"/>
        <v>2085</v>
      </c>
    </row>
    <row r="158" spans="1:37" ht="89.25">
      <c r="A158" s="360" t="s">
        <v>84</v>
      </c>
      <c r="B158" s="361" t="s">
        <v>1190</v>
      </c>
      <c r="C158" s="362" t="s">
        <v>635</v>
      </c>
      <c r="D158" s="362" t="s">
        <v>527</v>
      </c>
      <c r="E158" s="362" t="s">
        <v>1184</v>
      </c>
      <c r="F158" s="362" t="s">
        <v>1191</v>
      </c>
      <c r="G158" s="376">
        <v>21380117</v>
      </c>
      <c r="H158" s="363">
        <v>0</v>
      </c>
      <c r="I158" s="376">
        <v>21380117</v>
      </c>
      <c r="J158" s="368">
        <v>17164256</v>
      </c>
      <c r="K158" s="346">
        <v>1205494</v>
      </c>
      <c r="L158" s="347">
        <v>546148</v>
      </c>
      <c r="M158" s="347">
        <v>0</v>
      </c>
      <c r="N158" s="347">
        <v>0</v>
      </c>
      <c r="O158" s="346">
        <v>-6163</v>
      </c>
      <c r="P158" s="346">
        <v>0</v>
      </c>
      <c r="Q158" s="346">
        <v>0</v>
      </c>
      <c r="R158" s="346">
        <f t="shared" si="158"/>
        <v>18909735</v>
      </c>
      <c r="S158" s="344" t="s">
        <v>1179</v>
      </c>
      <c r="T158" s="325">
        <f t="shared" si="160"/>
        <v>2470382</v>
      </c>
      <c r="U158" s="402">
        <v>1242857</v>
      </c>
      <c r="V158" s="365">
        <f t="shared" si="174"/>
        <v>37363</v>
      </c>
      <c r="W158" s="398">
        <f t="shared" si="175"/>
        <v>0.96993781263653023</v>
      </c>
      <c r="Y158" s="351">
        <v>1205494</v>
      </c>
      <c r="Z158" s="351">
        <v>1205494</v>
      </c>
      <c r="AA158" s="351">
        <v>1205493.52</v>
      </c>
      <c r="AB158" s="366">
        <f t="shared" si="184"/>
        <v>0.99999960182298708</v>
      </c>
      <c r="AC158" s="366">
        <f t="shared" si="185"/>
        <v>1</v>
      </c>
      <c r="AD158" s="367">
        <f t="shared" si="177"/>
        <v>8.2953511325895201E-7</v>
      </c>
      <c r="AF158" s="325">
        <f t="shared" si="159"/>
        <v>0</v>
      </c>
      <c r="AG158" s="305">
        <v>0</v>
      </c>
      <c r="AI158" s="351">
        <v>1205494</v>
      </c>
      <c r="AJ158" s="331">
        <f t="shared" si="187"/>
        <v>0</v>
      </c>
      <c r="AK158" s="305">
        <v>0</v>
      </c>
    </row>
    <row r="159" spans="1:37" ht="51">
      <c r="A159" s="360" t="s">
        <v>85</v>
      </c>
      <c r="B159" s="361" t="s">
        <v>1192</v>
      </c>
      <c r="C159" s="362" t="s">
        <v>635</v>
      </c>
      <c r="D159" s="362" t="s">
        <v>527</v>
      </c>
      <c r="E159" s="362" t="s">
        <v>1184</v>
      </c>
      <c r="F159" s="362" t="s">
        <v>1191</v>
      </c>
      <c r="G159" s="363">
        <v>2226541.4</v>
      </c>
      <c r="H159" s="363">
        <v>0</v>
      </c>
      <c r="I159" s="363">
        <v>2226541.4</v>
      </c>
      <c r="J159" s="346">
        <v>582758.68000000005</v>
      </c>
      <c r="K159" s="346">
        <v>1415553</v>
      </c>
      <c r="L159" s="347">
        <v>667093</v>
      </c>
      <c r="M159" s="347">
        <v>14577</v>
      </c>
      <c r="N159" s="347">
        <v>0</v>
      </c>
      <c r="O159" s="346">
        <v>-454601</v>
      </c>
      <c r="P159" s="346">
        <v>1161</v>
      </c>
      <c r="Q159" s="346">
        <v>0</v>
      </c>
      <c r="R159" s="346">
        <f t="shared" si="158"/>
        <v>2226541.6800000002</v>
      </c>
      <c r="S159" s="344"/>
      <c r="T159" s="325">
        <f t="shared" si="160"/>
        <v>-0.28000000026077032</v>
      </c>
      <c r="U159" s="364">
        <v>411536</v>
      </c>
      <c r="V159" s="365">
        <f t="shared" si="174"/>
        <v>-1004017</v>
      </c>
      <c r="W159" s="398">
        <f t="shared" si="175"/>
        <v>3.4396820691263947</v>
      </c>
      <c r="Y159" s="351">
        <v>1415551</v>
      </c>
      <c r="Z159" s="351">
        <v>1232439</v>
      </c>
      <c r="AA159" s="351">
        <v>1232438.44</v>
      </c>
      <c r="AB159" s="366">
        <f t="shared" si="184"/>
        <v>0.87064220222372768</v>
      </c>
      <c r="AC159" s="366">
        <f t="shared" si="185"/>
        <v>1.0000014128773884</v>
      </c>
      <c r="AD159" s="367">
        <f t="shared" si="177"/>
        <v>7.0643837319634297E-7</v>
      </c>
      <c r="AF159" s="325">
        <f t="shared" si="159"/>
        <v>-2</v>
      </c>
      <c r="AG159" s="305">
        <v>-2</v>
      </c>
      <c r="AI159" s="351">
        <v>1415551</v>
      </c>
      <c r="AJ159" s="331">
        <f t="shared" si="187"/>
        <v>-2</v>
      </c>
      <c r="AK159" s="305">
        <v>-2</v>
      </c>
    </row>
    <row r="160" spans="1:37" ht="114.75">
      <c r="A160" s="360" t="s">
        <v>1193</v>
      </c>
      <c r="B160" s="361" t="s">
        <v>1194</v>
      </c>
      <c r="C160" s="362" t="s">
        <v>635</v>
      </c>
      <c r="D160" s="362" t="s">
        <v>527</v>
      </c>
      <c r="E160" s="362" t="s">
        <v>1184</v>
      </c>
      <c r="F160" s="362"/>
      <c r="G160" s="363">
        <f>G161+G162</f>
        <v>8892736</v>
      </c>
      <c r="H160" s="363">
        <f t="shared" ref="H160:Q160" si="200">H161+H162</f>
        <v>0</v>
      </c>
      <c r="I160" s="363">
        <f t="shared" si="200"/>
        <v>8892736</v>
      </c>
      <c r="J160" s="363">
        <f t="shared" si="200"/>
        <v>7146317.2699999996</v>
      </c>
      <c r="K160" s="363">
        <f t="shared" si="200"/>
        <v>931194</v>
      </c>
      <c r="L160" s="363">
        <f t="shared" si="200"/>
        <v>194368</v>
      </c>
      <c r="M160" s="363">
        <f t="shared" si="200"/>
        <v>0</v>
      </c>
      <c r="N160" s="363">
        <f t="shared" si="200"/>
        <v>0</v>
      </c>
      <c r="O160" s="363">
        <f t="shared" si="200"/>
        <v>-7358</v>
      </c>
      <c r="P160" s="363">
        <f t="shared" si="200"/>
        <v>0</v>
      </c>
      <c r="Q160" s="363">
        <f t="shared" si="200"/>
        <v>0</v>
      </c>
      <c r="R160" s="346">
        <f t="shared" si="158"/>
        <v>8264521.2699999996</v>
      </c>
      <c r="S160" s="344"/>
      <c r="T160" s="325">
        <f t="shared" si="160"/>
        <v>628214.73000000045</v>
      </c>
      <c r="U160" s="396">
        <f>U161+U162</f>
        <v>559349</v>
      </c>
      <c r="V160" s="365">
        <f t="shared" si="174"/>
        <v>-371845</v>
      </c>
      <c r="W160" s="398">
        <f t="shared" si="175"/>
        <v>1.6647817373410876</v>
      </c>
      <c r="Y160" s="363">
        <f t="shared" ref="Y160:AA160" si="201">Y161+Y162</f>
        <v>931194</v>
      </c>
      <c r="Z160" s="363">
        <f t="shared" si="201"/>
        <v>894570</v>
      </c>
      <c r="AA160" s="363">
        <f t="shared" si="201"/>
        <v>894568.36</v>
      </c>
      <c r="AB160" s="366">
        <f t="shared" si="184"/>
        <v>0.96066808849713381</v>
      </c>
      <c r="AC160" s="366">
        <f t="shared" si="185"/>
        <v>1</v>
      </c>
      <c r="AD160" s="367">
        <f t="shared" si="177"/>
        <v>1.0738881121624176E-6</v>
      </c>
      <c r="AF160" s="325">
        <f t="shared" si="159"/>
        <v>0</v>
      </c>
      <c r="AI160" s="363">
        <f t="shared" ref="AI160" si="202">AI161+AI162</f>
        <v>933281</v>
      </c>
      <c r="AJ160" s="331">
        <f t="shared" si="187"/>
        <v>2087</v>
      </c>
    </row>
    <row r="161" spans="1:37" ht="76.5">
      <c r="A161" s="403" t="s">
        <v>86</v>
      </c>
      <c r="B161" s="372" t="s">
        <v>1195</v>
      </c>
      <c r="C161" s="362" t="s">
        <v>635</v>
      </c>
      <c r="D161" s="362" t="s">
        <v>527</v>
      </c>
      <c r="E161" s="362" t="s">
        <v>1184</v>
      </c>
      <c r="F161" s="362" t="s">
        <v>1196</v>
      </c>
      <c r="G161" s="376">
        <v>5716032</v>
      </c>
      <c r="H161" s="363">
        <v>0</v>
      </c>
      <c r="I161" s="376">
        <v>5716032</v>
      </c>
      <c r="J161" s="368">
        <v>4537160</v>
      </c>
      <c r="K161" s="346">
        <v>763140</v>
      </c>
      <c r="L161" s="347">
        <v>194368</v>
      </c>
      <c r="M161" s="347">
        <v>0</v>
      </c>
      <c r="N161" s="347">
        <v>0</v>
      </c>
      <c r="O161" s="346">
        <v>-7358</v>
      </c>
      <c r="P161" s="346">
        <v>0</v>
      </c>
      <c r="Q161" s="346">
        <v>0</v>
      </c>
      <c r="R161" s="346">
        <f t="shared" si="158"/>
        <v>5487310</v>
      </c>
      <c r="S161" s="344" t="s">
        <v>1197</v>
      </c>
      <c r="T161" s="325">
        <f t="shared" si="160"/>
        <v>228722</v>
      </c>
      <c r="U161" s="402">
        <v>389693</v>
      </c>
      <c r="V161" s="365">
        <f t="shared" si="174"/>
        <v>-373447</v>
      </c>
      <c r="W161" s="398">
        <f t="shared" si="175"/>
        <v>1.9583107728391322</v>
      </c>
      <c r="Y161" s="351">
        <v>763140</v>
      </c>
      <c r="Z161" s="351">
        <v>726516</v>
      </c>
      <c r="AA161" s="351">
        <v>726515.11</v>
      </c>
      <c r="AB161" s="366">
        <f t="shared" si="184"/>
        <v>0.95200763948947764</v>
      </c>
      <c r="AC161" s="366">
        <f t="shared" si="185"/>
        <v>1</v>
      </c>
      <c r="AD161" s="367">
        <f t="shared" si="177"/>
        <v>1.310373948391333E-6</v>
      </c>
      <c r="AF161" s="325">
        <f t="shared" si="159"/>
        <v>0</v>
      </c>
      <c r="AG161" s="305">
        <v>0</v>
      </c>
      <c r="AI161" s="351">
        <f>763140+2087</f>
        <v>765227</v>
      </c>
      <c r="AJ161" s="331">
        <f t="shared" si="187"/>
        <v>2087</v>
      </c>
      <c r="AK161" s="305">
        <v>2087</v>
      </c>
    </row>
    <row r="162" spans="1:37" ht="102">
      <c r="A162" s="403" t="s">
        <v>87</v>
      </c>
      <c r="B162" s="372" t="s">
        <v>1198</v>
      </c>
      <c r="C162" s="362" t="s">
        <v>635</v>
      </c>
      <c r="D162" s="362" t="s">
        <v>527</v>
      </c>
      <c r="E162" s="362" t="s">
        <v>1184</v>
      </c>
      <c r="F162" s="362" t="s">
        <v>1191</v>
      </c>
      <c r="G162" s="376">
        <v>3176704</v>
      </c>
      <c r="H162" s="363">
        <v>0</v>
      </c>
      <c r="I162" s="376">
        <v>3176704</v>
      </c>
      <c r="J162" s="346">
        <v>2609157.27</v>
      </c>
      <c r="K162" s="346">
        <v>168054</v>
      </c>
      <c r="L162" s="347">
        <v>0</v>
      </c>
      <c r="M162" s="347">
        <v>0</v>
      </c>
      <c r="N162" s="347">
        <v>0</v>
      </c>
      <c r="O162" s="346">
        <v>0</v>
      </c>
      <c r="P162" s="346">
        <v>0</v>
      </c>
      <c r="Q162" s="346">
        <v>0</v>
      </c>
      <c r="R162" s="346">
        <f t="shared" si="158"/>
        <v>2777211.27</v>
      </c>
      <c r="S162" s="344" t="s">
        <v>1179</v>
      </c>
      <c r="T162" s="325">
        <f t="shared" si="160"/>
        <v>399492.73</v>
      </c>
      <c r="U162" s="402">
        <v>169656</v>
      </c>
      <c r="V162" s="365">
        <f t="shared" si="174"/>
        <v>1602</v>
      </c>
      <c r="W162" s="398">
        <f t="shared" si="175"/>
        <v>0.99055736313481402</v>
      </c>
      <c r="Y162" s="351">
        <v>168054</v>
      </c>
      <c r="Z162" s="351">
        <v>168054</v>
      </c>
      <c r="AA162" s="351">
        <v>168053.25</v>
      </c>
      <c r="AB162" s="366">
        <f t="shared" si="184"/>
        <v>0.99999553714877365</v>
      </c>
      <c r="AC162" s="366">
        <f t="shared" si="185"/>
        <v>1</v>
      </c>
      <c r="AD162" s="367">
        <f t="shared" si="177"/>
        <v>5.9504417458005977E-6</v>
      </c>
      <c r="AF162" s="325">
        <f t="shared" si="159"/>
        <v>0</v>
      </c>
      <c r="AG162" s="305">
        <v>0</v>
      </c>
      <c r="AI162" s="351">
        <v>168054</v>
      </c>
      <c r="AJ162" s="331">
        <f t="shared" si="187"/>
        <v>0</v>
      </c>
      <c r="AK162" s="305">
        <v>0</v>
      </c>
    </row>
    <row r="163" spans="1:37" ht="63.75">
      <c r="A163" s="404" t="s">
        <v>745</v>
      </c>
      <c r="B163" s="405" t="s">
        <v>1199</v>
      </c>
      <c r="C163" s="341" t="s">
        <v>635</v>
      </c>
      <c r="D163" s="406" t="s">
        <v>468</v>
      </c>
      <c r="E163" s="406"/>
      <c r="F163" s="406"/>
      <c r="G163" s="370">
        <f>G164+G170+G171+G172</f>
        <v>38960097.630000003</v>
      </c>
      <c r="H163" s="370">
        <f t="shared" ref="H163:Q163" si="203">H164+H170+H171+H172</f>
        <v>11220767</v>
      </c>
      <c r="I163" s="370">
        <f t="shared" si="203"/>
        <v>50180864.630000003</v>
      </c>
      <c r="J163" s="370">
        <f t="shared" si="203"/>
        <v>31805031.510000002</v>
      </c>
      <c r="K163" s="370">
        <f t="shared" si="203"/>
        <v>2739325</v>
      </c>
      <c r="L163" s="370">
        <f t="shared" si="203"/>
        <v>802824</v>
      </c>
      <c r="M163" s="370">
        <f t="shared" si="203"/>
        <v>0</v>
      </c>
      <c r="N163" s="370">
        <f t="shared" si="203"/>
        <v>0</v>
      </c>
      <c r="O163" s="370">
        <f t="shared" si="203"/>
        <v>3105334</v>
      </c>
      <c r="P163" s="370">
        <f t="shared" si="203"/>
        <v>5004953</v>
      </c>
      <c r="Q163" s="370">
        <f t="shared" si="203"/>
        <v>5004953</v>
      </c>
      <c r="R163" s="346">
        <f t="shared" si="158"/>
        <v>48462420.510000005</v>
      </c>
      <c r="S163" s="344"/>
      <c r="T163" s="325">
        <f t="shared" si="160"/>
        <v>1718444.1199999973</v>
      </c>
      <c r="U163" s="393">
        <f>U164+U170+U171+U172</f>
        <v>3405929</v>
      </c>
      <c r="V163" s="326">
        <f t="shared" si="174"/>
        <v>666604</v>
      </c>
      <c r="W163" s="327">
        <f t="shared" si="175"/>
        <v>0.80428129887616562</v>
      </c>
      <c r="Y163" s="370">
        <f t="shared" ref="Y163:AA163" si="204">Y164+Y170+Y171+Y172</f>
        <v>4276653</v>
      </c>
      <c r="Z163" s="370">
        <f t="shared" si="204"/>
        <v>3167279</v>
      </c>
      <c r="AA163" s="370">
        <f t="shared" si="204"/>
        <v>2696486.74</v>
      </c>
      <c r="AB163" s="345">
        <f t="shared" si="184"/>
        <v>0.63051333367472184</v>
      </c>
      <c r="AC163" s="345">
        <f t="shared" si="185"/>
        <v>0.64053010613673822</v>
      </c>
      <c r="AD163" s="342">
        <f t="shared" si="177"/>
        <v>1.9907097975098558E-7</v>
      </c>
      <c r="AF163" s="325">
        <f t="shared" si="159"/>
        <v>1537328</v>
      </c>
      <c r="AI163" s="370">
        <f t="shared" ref="AI163" si="205">AI164+AI170+AI171+AI172</f>
        <v>4062829</v>
      </c>
      <c r="AJ163" s="331">
        <f t="shared" si="187"/>
        <v>1323504</v>
      </c>
    </row>
    <row r="164" spans="1:37" ht="89.25">
      <c r="A164" s="403" t="s">
        <v>747</v>
      </c>
      <c r="B164" s="407" t="s">
        <v>1200</v>
      </c>
      <c r="C164" s="362" t="s">
        <v>635</v>
      </c>
      <c r="D164" s="408" t="s">
        <v>1004</v>
      </c>
      <c r="E164" s="408"/>
      <c r="F164" s="408"/>
      <c r="G164" s="363">
        <f>G165+G166+G167+G168+G169</f>
        <v>9581734.6300000008</v>
      </c>
      <c r="H164" s="363">
        <f t="shared" ref="H164:Q164" si="206">H165+H166+H167+H168+H169</f>
        <v>0</v>
      </c>
      <c r="I164" s="363">
        <f t="shared" si="206"/>
        <v>9581734.6300000008</v>
      </c>
      <c r="J164" s="363">
        <f t="shared" si="206"/>
        <v>6990957.8300000001</v>
      </c>
      <c r="K164" s="363">
        <f t="shared" si="206"/>
        <v>1611697</v>
      </c>
      <c r="L164" s="363">
        <f t="shared" si="206"/>
        <v>476658</v>
      </c>
      <c r="M164" s="363">
        <f t="shared" si="206"/>
        <v>0</v>
      </c>
      <c r="N164" s="363">
        <f t="shared" si="206"/>
        <v>0</v>
      </c>
      <c r="O164" s="363">
        <f t="shared" si="206"/>
        <v>602858</v>
      </c>
      <c r="P164" s="363">
        <f t="shared" si="206"/>
        <v>0</v>
      </c>
      <c r="Q164" s="363">
        <f t="shared" si="206"/>
        <v>0</v>
      </c>
      <c r="R164" s="346">
        <f t="shared" si="158"/>
        <v>9682170.8300000001</v>
      </c>
      <c r="S164" s="344"/>
      <c r="T164" s="325">
        <f t="shared" si="160"/>
        <v>-100436.19999999925</v>
      </c>
      <c r="U164" s="396">
        <f>U165+U166+U167+U168+U169</f>
        <v>2702973</v>
      </c>
      <c r="V164" s="365">
        <f t="shared" si="174"/>
        <v>1091276</v>
      </c>
      <c r="W164" s="398">
        <f t="shared" si="175"/>
        <v>0.59626825721159626</v>
      </c>
      <c r="Y164" s="363">
        <f t="shared" ref="Y164:AA164" si="207">Y165+Y166+Y167+Y168+Y169</f>
        <v>2756320</v>
      </c>
      <c r="Z164" s="363">
        <f t="shared" si="207"/>
        <v>1646946</v>
      </c>
      <c r="AA164" s="363">
        <f t="shared" si="207"/>
        <v>1645865.96</v>
      </c>
      <c r="AB164" s="366">
        <f t="shared" si="184"/>
        <v>0.59712441225982471</v>
      </c>
      <c r="AC164" s="366">
        <f t="shared" si="185"/>
        <v>0.5847278255064724</v>
      </c>
      <c r="AD164" s="367">
        <f t="shared" si="177"/>
        <v>3.6256465740821174E-7</v>
      </c>
      <c r="AF164" s="325">
        <f t="shared" si="159"/>
        <v>1144623</v>
      </c>
      <c r="AI164" s="363">
        <f t="shared" ref="AI164" si="208">AI165+AI166+AI167+AI168+AI169</f>
        <v>2756320</v>
      </c>
      <c r="AJ164" s="331">
        <f t="shared" si="187"/>
        <v>1144623</v>
      </c>
    </row>
    <row r="165" spans="1:37" ht="114.75">
      <c r="A165" s="403" t="s">
        <v>117</v>
      </c>
      <c r="B165" s="372" t="s">
        <v>1201</v>
      </c>
      <c r="C165" s="362" t="s">
        <v>635</v>
      </c>
      <c r="D165" s="408" t="s">
        <v>1004</v>
      </c>
      <c r="E165" s="408" t="s">
        <v>1202</v>
      </c>
      <c r="F165" s="408" t="s">
        <v>1182</v>
      </c>
      <c r="G165" s="363">
        <v>526200.6</v>
      </c>
      <c r="H165" s="363">
        <v>0</v>
      </c>
      <c r="I165" s="363">
        <v>526200.6</v>
      </c>
      <c r="J165" s="346">
        <v>352033.32999999996</v>
      </c>
      <c r="K165" s="346">
        <v>178167</v>
      </c>
      <c r="L165" s="347">
        <v>0</v>
      </c>
      <c r="M165" s="347">
        <v>0</v>
      </c>
      <c r="N165" s="347">
        <v>0</v>
      </c>
      <c r="O165" s="346">
        <v>0</v>
      </c>
      <c r="P165" s="346">
        <v>0</v>
      </c>
      <c r="Q165" s="346">
        <v>0</v>
      </c>
      <c r="R165" s="346">
        <f t="shared" si="158"/>
        <v>530200.32999999996</v>
      </c>
      <c r="S165" s="344" t="s">
        <v>1203</v>
      </c>
      <c r="T165" s="325">
        <f t="shared" si="160"/>
        <v>-3999.7299999999814</v>
      </c>
      <c r="U165" s="364">
        <v>141907</v>
      </c>
      <c r="V165" s="365">
        <f t="shared" si="174"/>
        <v>-36260</v>
      </c>
      <c r="W165" s="398">
        <f t="shared" si="175"/>
        <v>1.2555194599279811</v>
      </c>
      <c r="Y165" s="351">
        <v>178167</v>
      </c>
      <c r="Z165" s="351">
        <v>174471</v>
      </c>
      <c r="AA165" s="351">
        <v>173823.89</v>
      </c>
      <c r="AB165" s="366">
        <f t="shared" si="184"/>
        <v>0.97562337582156078</v>
      </c>
      <c r="AC165" s="366">
        <f t="shared" si="185"/>
        <v>1</v>
      </c>
      <c r="AD165" s="367">
        <f t="shared" si="177"/>
        <v>5.5918942163543554E-6</v>
      </c>
      <c r="AF165" s="325">
        <f t="shared" si="159"/>
        <v>0</v>
      </c>
      <c r="AI165" s="351">
        <v>178167</v>
      </c>
      <c r="AJ165" s="331">
        <f t="shared" si="187"/>
        <v>0</v>
      </c>
    </row>
    <row r="166" spans="1:37" ht="76.5">
      <c r="A166" s="403" t="s">
        <v>118</v>
      </c>
      <c r="B166" s="372" t="s">
        <v>1204</v>
      </c>
      <c r="C166" s="362" t="s">
        <v>635</v>
      </c>
      <c r="D166" s="408" t="s">
        <v>1004</v>
      </c>
      <c r="E166" s="408"/>
      <c r="F166" s="408" t="s">
        <v>1205</v>
      </c>
      <c r="G166" s="363">
        <v>2525392.64</v>
      </c>
      <c r="H166" s="363">
        <v>0</v>
      </c>
      <c r="I166" s="363">
        <v>2525392.64</v>
      </c>
      <c r="J166" s="346">
        <v>2627347.77</v>
      </c>
      <c r="K166" s="346">
        <v>0</v>
      </c>
      <c r="L166" s="347">
        <v>0</v>
      </c>
      <c r="M166" s="347">
        <v>0</v>
      </c>
      <c r="N166" s="347">
        <v>0</v>
      </c>
      <c r="O166" s="346">
        <v>0</v>
      </c>
      <c r="P166" s="346">
        <v>0</v>
      </c>
      <c r="Q166" s="346">
        <v>0</v>
      </c>
      <c r="R166" s="346">
        <f t="shared" si="158"/>
        <v>2627347.77</v>
      </c>
      <c r="S166" s="344" t="s">
        <v>1048</v>
      </c>
      <c r="T166" s="325">
        <f t="shared" si="160"/>
        <v>-101955.12999999989</v>
      </c>
      <c r="U166" s="402">
        <v>0</v>
      </c>
      <c r="V166" s="365">
        <f t="shared" si="174"/>
        <v>0</v>
      </c>
      <c r="W166" s="398" t="e">
        <f t="shared" si="175"/>
        <v>#DIV/0!</v>
      </c>
      <c r="Y166" s="351">
        <v>0</v>
      </c>
      <c r="Z166" s="351">
        <v>0</v>
      </c>
      <c r="AA166" s="351">
        <v>0</v>
      </c>
      <c r="AB166" s="366" t="e">
        <f t="shared" si="184"/>
        <v>#DIV/0!</v>
      </c>
      <c r="AC166" s="366" t="e">
        <f t="shared" si="185"/>
        <v>#DIV/0!</v>
      </c>
      <c r="AD166" s="367" t="e">
        <f t="shared" si="177"/>
        <v>#DIV/0!</v>
      </c>
      <c r="AF166" s="325">
        <f t="shared" si="159"/>
        <v>0</v>
      </c>
      <c r="AI166" s="351">
        <v>0</v>
      </c>
      <c r="AJ166" s="331">
        <f t="shared" si="187"/>
        <v>0</v>
      </c>
    </row>
    <row r="167" spans="1:37" ht="114.75">
      <c r="A167" s="403" t="s">
        <v>119</v>
      </c>
      <c r="B167" s="372" t="s">
        <v>1206</v>
      </c>
      <c r="C167" s="362" t="s">
        <v>635</v>
      </c>
      <c r="D167" s="408" t="s">
        <v>1004</v>
      </c>
      <c r="E167" s="408" t="s">
        <v>1202</v>
      </c>
      <c r="F167" s="408" t="s">
        <v>1207</v>
      </c>
      <c r="G167" s="363">
        <v>610841.39</v>
      </c>
      <c r="H167" s="363">
        <v>0</v>
      </c>
      <c r="I167" s="363">
        <v>610841.39</v>
      </c>
      <c r="J167" s="368">
        <v>610836</v>
      </c>
      <c r="K167" s="346">
        <v>0</v>
      </c>
      <c r="L167" s="347">
        <v>0</v>
      </c>
      <c r="M167" s="347">
        <v>0</v>
      </c>
      <c r="N167" s="347">
        <v>0</v>
      </c>
      <c r="O167" s="346">
        <v>0</v>
      </c>
      <c r="P167" s="346">
        <v>0</v>
      </c>
      <c r="Q167" s="346">
        <v>0</v>
      </c>
      <c r="R167" s="346">
        <f t="shared" si="158"/>
        <v>610836</v>
      </c>
      <c r="S167" s="344"/>
      <c r="T167" s="325">
        <f t="shared" si="160"/>
        <v>5.3900000000139698</v>
      </c>
      <c r="U167" s="402">
        <v>61084</v>
      </c>
      <c r="V167" s="365">
        <f t="shared" si="174"/>
        <v>61084</v>
      </c>
      <c r="W167" s="398">
        <f t="shared" si="175"/>
        <v>0</v>
      </c>
      <c r="Y167" s="351">
        <v>61084</v>
      </c>
      <c r="Z167" s="351">
        <v>61084</v>
      </c>
      <c r="AA167" s="351">
        <v>61080.35</v>
      </c>
      <c r="AB167" s="366">
        <f t="shared" si="184"/>
        <v>0.99994024621832234</v>
      </c>
      <c r="AC167" s="366">
        <f t="shared" si="185"/>
        <v>0</v>
      </c>
      <c r="AD167" s="367">
        <f t="shared" si="177"/>
        <v>1.6369920866647932E-5</v>
      </c>
      <c r="AF167" s="325">
        <f t="shared" si="159"/>
        <v>61084</v>
      </c>
      <c r="AI167" s="351">
        <v>61084</v>
      </c>
      <c r="AJ167" s="331">
        <f t="shared" si="187"/>
        <v>61084</v>
      </c>
    </row>
    <row r="168" spans="1:37" ht="51">
      <c r="A168" s="403" t="s">
        <v>120</v>
      </c>
      <c r="B168" s="372" t="s">
        <v>1208</v>
      </c>
      <c r="C168" s="362" t="s">
        <v>635</v>
      </c>
      <c r="D168" s="408" t="s">
        <v>1004</v>
      </c>
      <c r="E168" s="408"/>
      <c r="F168" s="408" t="s">
        <v>1209</v>
      </c>
      <c r="G168" s="409">
        <v>0</v>
      </c>
      <c r="H168" s="409">
        <v>0</v>
      </c>
      <c r="I168" s="409">
        <v>0</v>
      </c>
      <c r="J168" s="346">
        <v>0</v>
      </c>
      <c r="K168" s="346">
        <v>0</v>
      </c>
      <c r="L168" s="347">
        <v>0</v>
      </c>
      <c r="M168" s="347">
        <v>0</v>
      </c>
      <c r="N168" s="347">
        <v>0</v>
      </c>
      <c r="O168" s="346">
        <v>0</v>
      </c>
      <c r="P168" s="346">
        <v>0</v>
      </c>
      <c r="Q168" s="346">
        <v>0</v>
      </c>
      <c r="R168" s="346">
        <f t="shared" si="158"/>
        <v>0</v>
      </c>
      <c r="S168" s="344"/>
      <c r="T168" s="325">
        <f t="shared" si="160"/>
        <v>0</v>
      </c>
      <c r="U168" s="364">
        <v>0</v>
      </c>
      <c r="V168" s="365">
        <f t="shared" si="174"/>
        <v>0</v>
      </c>
      <c r="W168" s="398" t="e">
        <f t="shared" si="175"/>
        <v>#DIV/0!</v>
      </c>
      <c r="Y168" s="351">
        <v>0</v>
      </c>
      <c r="Z168" s="351">
        <v>0</v>
      </c>
      <c r="AA168" s="351">
        <v>0</v>
      </c>
      <c r="AB168" s="366" t="e">
        <f t="shared" si="184"/>
        <v>#DIV/0!</v>
      </c>
      <c r="AC168" s="366" t="e">
        <f t="shared" si="185"/>
        <v>#DIV/0!</v>
      </c>
      <c r="AD168" s="367" t="e">
        <f t="shared" si="177"/>
        <v>#DIV/0!</v>
      </c>
      <c r="AF168" s="325">
        <f t="shared" si="159"/>
        <v>0</v>
      </c>
      <c r="AI168" s="351">
        <v>0</v>
      </c>
      <c r="AJ168" s="331">
        <f t="shared" si="187"/>
        <v>0</v>
      </c>
    </row>
    <row r="169" spans="1:37" ht="102">
      <c r="A169" s="360" t="s">
        <v>121</v>
      </c>
      <c r="B169" s="372" t="s">
        <v>1210</v>
      </c>
      <c r="C169" s="362" t="s">
        <v>635</v>
      </c>
      <c r="D169" s="408" t="s">
        <v>1004</v>
      </c>
      <c r="E169" s="408"/>
      <c r="F169" s="408" t="s">
        <v>986</v>
      </c>
      <c r="G169" s="363">
        <v>5919300</v>
      </c>
      <c r="H169" s="363">
        <v>0</v>
      </c>
      <c r="I169" s="363">
        <v>5919300</v>
      </c>
      <c r="J169" s="346">
        <v>3400740.73</v>
      </c>
      <c r="K169" s="346">
        <v>1433530</v>
      </c>
      <c r="L169" s="347">
        <v>476658</v>
      </c>
      <c r="M169" s="347">
        <v>0</v>
      </c>
      <c r="N169" s="347">
        <v>0</v>
      </c>
      <c r="O169" s="346">
        <v>602858</v>
      </c>
      <c r="P169" s="346">
        <v>0</v>
      </c>
      <c r="Q169" s="346">
        <v>0</v>
      </c>
      <c r="R169" s="346">
        <f t="shared" si="158"/>
        <v>5913786.7300000004</v>
      </c>
      <c r="S169" s="344" t="s">
        <v>1211</v>
      </c>
      <c r="T169" s="325">
        <f t="shared" si="160"/>
        <v>5513.269999999553</v>
      </c>
      <c r="U169" s="402">
        <v>2499982</v>
      </c>
      <c r="V169" s="365">
        <f t="shared" si="174"/>
        <v>1066452</v>
      </c>
      <c r="W169" s="398">
        <f t="shared" si="175"/>
        <v>0.5734161285961259</v>
      </c>
      <c r="Y169" s="351">
        <v>2517069</v>
      </c>
      <c r="Z169" s="351">
        <v>1411391</v>
      </c>
      <c r="AA169" s="351">
        <v>1410961.72</v>
      </c>
      <c r="AB169" s="366">
        <f t="shared" si="184"/>
        <v>0.56055742611744053</v>
      </c>
      <c r="AC169" s="366">
        <f t="shared" si="185"/>
        <v>0.56952352120660976</v>
      </c>
      <c r="AD169" s="367">
        <f t="shared" si="177"/>
        <v>3.9716664348677337E-7</v>
      </c>
      <c r="AF169" s="325">
        <f t="shared" si="159"/>
        <v>1083539</v>
      </c>
      <c r="AI169" s="351">
        <v>2517069</v>
      </c>
      <c r="AJ169" s="331">
        <f t="shared" si="187"/>
        <v>1083539</v>
      </c>
    </row>
    <row r="170" spans="1:37" ht="51">
      <c r="A170" s="410" t="s">
        <v>122</v>
      </c>
      <c r="B170" s="361" t="s">
        <v>1212</v>
      </c>
      <c r="C170" s="362" t="s">
        <v>635</v>
      </c>
      <c r="D170" s="408" t="s">
        <v>1004</v>
      </c>
      <c r="E170" s="408" t="s">
        <v>1213</v>
      </c>
      <c r="F170" s="408" t="s">
        <v>986</v>
      </c>
      <c r="G170" s="363">
        <v>2439479</v>
      </c>
      <c r="H170" s="363">
        <v>0</v>
      </c>
      <c r="I170" s="363">
        <v>2439479</v>
      </c>
      <c r="J170" s="346">
        <v>2568007.27</v>
      </c>
      <c r="K170" s="346">
        <v>0</v>
      </c>
      <c r="L170" s="347">
        <v>0</v>
      </c>
      <c r="M170" s="347">
        <v>0</v>
      </c>
      <c r="N170" s="347">
        <v>0</v>
      </c>
      <c r="O170" s="346">
        <v>0</v>
      </c>
      <c r="P170" s="346">
        <v>0</v>
      </c>
      <c r="Q170" s="346">
        <v>0</v>
      </c>
      <c r="R170" s="346">
        <f t="shared" si="158"/>
        <v>2568007.27</v>
      </c>
      <c r="S170" s="344" t="s">
        <v>1214</v>
      </c>
      <c r="T170" s="325">
        <f t="shared" si="160"/>
        <v>-128528.27000000002</v>
      </c>
      <c r="U170" s="402">
        <v>0</v>
      </c>
      <c r="V170" s="365">
        <f t="shared" si="174"/>
        <v>0</v>
      </c>
      <c r="W170" s="398" t="e">
        <f t="shared" si="175"/>
        <v>#DIV/0!</v>
      </c>
      <c r="Y170" s="351">
        <v>0</v>
      </c>
      <c r="Z170" s="351">
        <v>0</v>
      </c>
      <c r="AA170" s="351">
        <v>0</v>
      </c>
      <c r="AB170" s="366" t="e">
        <f t="shared" si="184"/>
        <v>#DIV/0!</v>
      </c>
      <c r="AC170" s="366" t="e">
        <f t="shared" si="185"/>
        <v>#DIV/0!</v>
      </c>
      <c r="AD170" s="367" t="e">
        <f t="shared" si="177"/>
        <v>#DIV/0!</v>
      </c>
      <c r="AF170" s="325">
        <f t="shared" si="159"/>
        <v>0</v>
      </c>
      <c r="AI170" s="351">
        <v>0</v>
      </c>
      <c r="AJ170" s="331">
        <f t="shared" si="187"/>
        <v>0</v>
      </c>
    </row>
    <row r="171" spans="1:37" ht="102">
      <c r="A171" s="410" t="s">
        <v>104</v>
      </c>
      <c r="B171" s="361" t="s">
        <v>1215</v>
      </c>
      <c r="C171" s="362" t="s">
        <v>635</v>
      </c>
      <c r="D171" s="411" t="s">
        <v>1072</v>
      </c>
      <c r="E171" s="411" t="s">
        <v>1216</v>
      </c>
      <c r="F171" s="411" t="s">
        <v>1101</v>
      </c>
      <c r="G171" s="376">
        <v>24799799</v>
      </c>
      <c r="H171" s="376">
        <v>11220767</v>
      </c>
      <c r="I171" s="376">
        <v>36020566</v>
      </c>
      <c r="J171" s="346">
        <v>20424429</v>
      </c>
      <c r="K171" s="346">
        <v>1018967</v>
      </c>
      <c r="L171" s="347">
        <v>326166</v>
      </c>
      <c r="M171" s="347">
        <v>0</v>
      </c>
      <c r="N171" s="347">
        <v>0</v>
      </c>
      <c r="O171" s="346">
        <v>2502476</v>
      </c>
      <c r="P171" s="346">
        <v>5004953</v>
      </c>
      <c r="Q171" s="346">
        <v>5004953</v>
      </c>
      <c r="R171" s="346">
        <f t="shared" si="158"/>
        <v>34281944</v>
      </c>
      <c r="S171" s="344" t="s">
        <v>1217</v>
      </c>
      <c r="T171" s="325">
        <f t="shared" si="160"/>
        <v>1738622</v>
      </c>
      <c r="U171" s="402">
        <v>621399</v>
      </c>
      <c r="V171" s="365">
        <f t="shared" si="174"/>
        <v>-397568</v>
      </c>
      <c r="W171" s="398">
        <f t="shared" si="175"/>
        <v>1.6397950431204427</v>
      </c>
      <c r="Y171" s="351">
        <v>1388485</v>
      </c>
      <c r="Z171" s="351">
        <v>1388485</v>
      </c>
      <c r="AA171" s="351">
        <v>969063.78</v>
      </c>
      <c r="AB171" s="366">
        <f t="shared" si="184"/>
        <v>0.69792887931810577</v>
      </c>
      <c r="AC171" s="366">
        <f t="shared" si="185"/>
        <v>0.73386964929401466</v>
      </c>
      <c r="AD171" s="367">
        <f t="shared" si="177"/>
        <v>5.0265496517290841E-7</v>
      </c>
      <c r="AF171" s="325">
        <f t="shared" si="159"/>
        <v>369518</v>
      </c>
      <c r="AG171" s="305">
        <v>369518</v>
      </c>
      <c r="AI171" s="351">
        <f>1388485-213824</f>
        <v>1174661</v>
      </c>
      <c r="AJ171" s="331">
        <f t="shared" si="187"/>
        <v>155694</v>
      </c>
      <c r="AK171" s="305">
        <v>155694</v>
      </c>
    </row>
    <row r="172" spans="1:37" ht="191.25">
      <c r="A172" s="410" t="s">
        <v>165</v>
      </c>
      <c r="B172" s="361" t="s">
        <v>1218</v>
      </c>
      <c r="C172" s="362" t="s">
        <v>635</v>
      </c>
      <c r="D172" s="411" t="s">
        <v>1072</v>
      </c>
      <c r="E172" s="411" t="s">
        <v>1216</v>
      </c>
      <c r="F172" s="411" t="s">
        <v>1101</v>
      </c>
      <c r="G172" s="376">
        <v>2139085</v>
      </c>
      <c r="H172" s="363">
        <v>0</v>
      </c>
      <c r="I172" s="376">
        <v>2139085</v>
      </c>
      <c r="J172" s="346">
        <v>1821637.41</v>
      </c>
      <c r="K172" s="346">
        <v>108661</v>
      </c>
      <c r="L172" s="347">
        <v>0</v>
      </c>
      <c r="M172" s="347">
        <v>0</v>
      </c>
      <c r="N172" s="347">
        <v>0</v>
      </c>
      <c r="O172" s="346"/>
      <c r="P172" s="346"/>
      <c r="Q172" s="346"/>
      <c r="R172" s="346">
        <f t="shared" si="158"/>
        <v>1930298.41</v>
      </c>
      <c r="S172" s="344" t="s">
        <v>1219</v>
      </c>
      <c r="T172" s="325">
        <f t="shared" si="160"/>
        <v>208786.59000000008</v>
      </c>
      <c r="U172" s="402">
        <v>81557</v>
      </c>
      <c r="V172" s="365">
        <f t="shared" si="174"/>
        <v>-27104</v>
      </c>
      <c r="W172" s="398">
        <f t="shared" si="175"/>
        <v>1.3323319886705003</v>
      </c>
      <c r="Y172" s="351">
        <v>131848</v>
      </c>
      <c r="Z172" s="351">
        <v>131848</v>
      </c>
      <c r="AA172" s="351">
        <v>81557</v>
      </c>
      <c r="AB172" s="366">
        <f t="shared" si="184"/>
        <v>0.61856835143498579</v>
      </c>
      <c r="AC172" s="366">
        <f t="shared" si="185"/>
        <v>0.8241384017960075</v>
      </c>
      <c r="AD172" s="367">
        <f t="shared" si="177"/>
        <v>4.6915262380543181E-6</v>
      </c>
      <c r="AF172" s="325">
        <f t="shared" si="159"/>
        <v>23187</v>
      </c>
      <c r="AG172" s="305">
        <v>23187</v>
      </c>
      <c r="AI172" s="351">
        <v>131848</v>
      </c>
      <c r="AJ172" s="331">
        <f t="shared" si="187"/>
        <v>23187</v>
      </c>
      <c r="AK172" s="305">
        <v>23187</v>
      </c>
    </row>
    <row r="173" spans="1:37" ht="38.25">
      <c r="A173" s="412" t="s">
        <v>757</v>
      </c>
      <c r="B173" s="413" t="s">
        <v>1220</v>
      </c>
      <c r="C173" s="341" t="s">
        <v>635</v>
      </c>
      <c r="D173" s="414" t="s">
        <v>1055</v>
      </c>
      <c r="E173" s="411" t="s">
        <v>1221</v>
      </c>
      <c r="F173" s="414"/>
      <c r="G173" s="370">
        <f>G174+G177+G178</f>
        <v>158825860.71000001</v>
      </c>
      <c r="H173" s="370">
        <f t="shared" ref="H173:Q173" si="209">H174+H177+H178</f>
        <v>10600000</v>
      </c>
      <c r="I173" s="370">
        <f t="shared" si="209"/>
        <v>169425860.71000001</v>
      </c>
      <c r="J173" s="370">
        <f t="shared" si="209"/>
        <v>77630998.909999996</v>
      </c>
      <c r="K173" s="370">
        <f t="shared" si="209"/>
        <v>26830099</v>
      </c>
      <c r="L173" s="370">
        <f t="shared" si="209"/>
        <v>26907917</v>
      </c>
      <c r="M173" s="370">
        <f t="shared" si="209"/>
        <v>15343701</v>
      </c>
      <c r="N173" s="370">
        <f t="shared" si="209"/>
        <v>0</v>
      </c>
      <c r="O173" s="370">
        <f t="shared" si="209"/>
        <v>4383192</v>
      </c>
      <c r="P173" s="370">
        <f t="shared" si="209"/>
        <v>8472635</v>
      </c>
      <c r="Q173" s="370">
        <f t="shared" si="209"/>
        <v>9316709</v>
      </c>
      <c r="R173" s="346">
        <f t="shared" si="158"/>
        <v>168885251.91</v>
      </c>
      <c r="S173" s="344"/>
      <c r="T173" s="325">
        <f t="shared" si="160"/>
        <v>540608.80000001192</v>
      </c>
      <c r="U173" s="393">
        <f>U174+U177+U178</f>
        <v>32056252</v>
      </c>
      <c r="V173" s="326">
        <f t="shared" si="174"/>
        <v>5226153</v>
      </c>
      <c r="W173" s="327">
        <f t="shared" si="175"/>
        <v>0.83696930633063404</v>
      </c>
      <c r="Y173" s="370">
        <f t="shared" ref="Y173:AA173" si="210">Y174+Y177+Y178</f>
        <v>27500867</v>
      </c>
      <c r="Z173" s="370">
        <f t="shared" si="210"/>
        <v>20886195</v>
      </c>
      <c r="AA173" s="370">
        <f t="shared" si="210"/>
        <v>19057987.920000002</v>
      </c>
      <c r="AB173" s="345">
        <f t="shared" si="184"/>
        <v>0.69299589427489694</v>
      </c>
      <c r="AC173" s="345">
        <f t="shared" si="185"/>
        <v>0.97560920533887163</v>
      </c>
      <c r="AD173" s="342">
        <f t="shared" si="177"/>
        <v>3.3179614299057197E-8</v>
      </c>
      <c r="AF173" s="325">
        <f t="shared" si="159"/>
        <v>670768</v>
      </c>
      <c r="AI173" s="370">
        <f t="shared" ref="AI173" si="211">AI174+AI177+AI178</f>
        <v>27500867</v>
      </c>
      <c r="AJ173" s="331">
        <f t="shared" si="187"/>
        <v>670768</v>
      </c>
    </row>
    <row r="174" spans="1:37" ht="38.25">
      <c r="A174" s="410" t="s">
        <v>759</v>
      </c>
      <c r="B174" s="415" t="s">
        <v>1222</v>
      </c>
      <c r="C174" s="362" t="s">
        <v>635</v>
      </c>
      <c r="D174" s="411" t="s">
        <v>1055</v>
      </c>
      <c r="E174" s="411" t="s">
        <v>1221</v>
      </c>
      <c r="F174" s="411"/>
      <c r="G174" s="363">
        <f>G175+G176</f>
        <v>7657701.7799999993</v>
      </c>
      <c r="H174" s="363">
        <f t="shared" ref="H174:Q174" si="212">H175+H176</f>
        <v>0</v>
      </c>
      <c r="I174" s="363">
        <f t="shared" si="212"/>
        <v>7657701.7799999993</v>
      </c>
      <c r="J174" s="363">
        <f t="shared" si="212"/>
        <v>3324395.4199999995</v>
      </c>
      <c r="K174" s="363">
        <f t="shared" si="212"/>
        <v>1168943</v>
      </c>
      <c r="L174" s="363">
        <f t="shared" si="212"/>
        <v>1346088</v>
      </c>
      <c r="M174" s="363">
        <f t="shared" si="212"/>
        <v>0</v>
      </c>
      <c r="N174" s="363">
        <f t="shared" si="212"/>
        <v>0</v>
      </c>
      <c r="O174" s="363">
        <f t="shared" si="212"/>
        <v>560508</v>
      </c>
      <c r="P174" s="363">
        <f t="shared" si="212"/>
        <v>765331</v>
      </c>
      <c r="Q174" s="363">
        <f t="shared" si="212"/>
        <v>0</v>
      </c>
      <c r="R174" s="346">
        <f t="shared" si="158"/>
        <v>7165265.4199999999</v>
      </c>
      <c r="S174" s="344"/>
      <c r="T174" s="325">
        <f t="shared" si="160"/>
        <v>492436.3599999994</v>
      </c>
      <c r="U174" s="396">
        <f>U175+U176</f>
        <v>1839711</v>
      </c>
      <c r="V174" s="365">
        <f t="shared" si="174"/>
        <v>670768</v>
      </c>
      <c r="W174" s="398">
        <f t="shared" si="175"/>
        <v>0.63539490713487068</v>
      </c>
      <c r="Y174" s="363">
        <f t="shared" ref="Y174:AA174" si="213">Y175+Y176</f>
        <v>1839711</v>
      </c>
      <c r="Z174" s="363">
        <f t="shared" si="213"/>
        <v>913671</v>
      </c>
      <c r="AA174" s="363">
        <f t="shared" si="213"/>
        <v>834164.55</v>
      </c>
      <c r="AB174" s="366">
        <f t="shared" si="184"/>
        <v>0.45342151566197086</v>
      </c>
      <c r="AC174" s="366">
        <f t="shared" si="185"/>
        <v>0.63539490713487068</v>
      </c>
      <c r="AD174" s="367">
        <f t="shared" si="177"/>
        <v>4.9626344237911772E-7</v>
      </c>
      <c r="AF174" s="325">
        <f t="shared" si="159"/>
        <v>670768</v>
      </c>
      <c r="AI174" s="363">
        <f t="shared" ref="AI174" si="214">AI175+AI176</f>
        <v>1839711</v>
      </c>
      <c r="AJ174" s="331">
        <f t="shared" si="187"/>
        <v>670768</v>
      </c>
    </row>
    <row r="175" spans="1:37" ht="89.25">
      <c r="A175" s="410" t="s">
        <v>109</v>
      </c>
      <c r="B175" s="372" t="s">
        <v>1223</v>
      </c>
      <c r="C175" s="362" t="s">
        <v>635</v>
      </c>
      <c r="D175" s="411" t="s">
        <v>1055</v>
      </c>
      <c r="E175" s="411" t="s">
        <v>1221</v>
      </c>
      <c r="F175" s="411" t="s">
        <v>1224</v>
      </c>
      <c r="G175" s="363">
        <v>3552899.82</v>
      </c>
      <c r="H175" s="363">
        <v>0</v>
      </c>
      <c r="I175" s="363">
        <v>3552899.82</v>
      </c>
      <c r="J175" s="346">
        <v>57077.86</v>
      </c>
      <c r="K175" s="346">
        <v>500298</v>
      </c>
      <c r="L175" s="347">
        <v>1333838</v>
      </c>
      <c r="M175" s="347">
        <v>0</v>
      </c>
      <c r="N175" s="347">
        <v>0</v>
      </c>
      <c r="O175" s="346">
        <v>560508</v>
      </c>
      <c r="P175" s="346">
        <v>765331</v>
      </c>
      <c r="Q175" s="346">
        <v>0</v>
      </c>
      <c r="R175" s="346">
        <f t="shared" si="158"/>
        <v>3217052.86</v>
      </c>
      <c r="S175" s="344" t="s">
        <v>1225</v>
      </c>
      <c r="T175" s="325">
        <f t="shared" si="160"/>
        <v>335846.95999999996</v>
      </c>
      <c r="U175" s="364">
        <v>1112347</v>
      </c>
      <c r="V175" s="365">
        <f t="shared" si="174"/>
        <v>612049</v>
      </c>
      <c r="W175" s="398">
        <f t="shared" si="175"/>
        <v>0.44976792313909236</v>
      </c>
      <c r="Y175" s="351">
        <v>1112347</v>
      </c>
      <c r="Z175" s="351">
        <v>433755</v>
      </c>
      <c r="AA175" s="351">
        <v>358909.38</v>
      </c>
      <c r="AB175" s="366">
        <f t="shared" si="184"/>
        <v>0.32265954778499872</v>
      </c>
      <c r="AC175" s="366">
        <f t="shared" si="185"/>
        <v>0.44976792313909236</v>
      </c>
      <c r="AD175" s="367">
        <f t="shared" si="177"/>
        <v>7.4387510872496852E-7</v>
      </c>
      <c r="AF175" s="325">
        <f t="shared" si="159"/>
        <v>612049</v>
      </c>
      <c r="AG175" s="305">
        <v>612049</v>
      </c>
      <c r="AI175" s="351">
        <v>1112347</v>
      </c>
      <c r="AJ175" s="331">
        <f t="shared" si="187"/>
        <v>612049</v>
      </c>
      <c r="AK175" s="305">
        <v>612049</v>
      </c>
    </row>
    <row r="176" spans="1:37" ht="76.5">
      <c r="A176" s="410" t="s">
        <v>110</v>
      </c>
      <c r="B176" s="372" t="s">
        <v>1226</v>
      </c>
      <c r="C176" s="362" t="s">
        <v>635</v>
      </c>
      <c r="D176" s="411" t="s">
        <v>1055</v>
      </c>
      <c r="E176" s="411" t="s">
        <v>1221</v>
      </c>
      <c r="F176" s="411" t="s">
        <v>1227</v>
      </c>
      <c r="G176" s="363">
        <v>4104801.96</v>
      </c>
      <c r="H176" s="363">
        <v>0</v>
      </c>
      <c r="I176" s="363">
        <v>4104801.96</v>
      </c>
      <c r="J176" s="346">
        <v>3267317.5599999996</v>
      </c>
      <c r="K176" s="346">
        <v>668645</v>
      </c>
      <c r="L176" s="347">
        <v>12250</v>
      </c>
      <c r="M176" s="347">
        <v>0</v>
      </c>
      <c r="N176" s="347">
        <v>0</v>
      </c>
      <c r="O176" s="346">
        <v>0</v>
      </c>
      <c r="P176" s="346">
        <v>0</v>
      </c>
      <c r="Q176" s="346">
        <v>0</v>
      </c>
      <c r="R176" s="346">
        <f t="shared" si="158"/>
        <v>3948212.5599999996</v>
      </c>
      <c r="S176" s="344" t="s">
        <v>1228</v>
      </c>
      <c r="T176" s="325">
        <f t="shared" si="160"/>
        <v>156589.40000000037</v>
      </c>
      <c r="U176" s="364">
        <v>727364</v>
      </c>
      <c r="V176" s="365">
        <f t="shared" si="174"/>
        <v>58719</v>
      </c>
      <c r="W176" s="398">
        <f t="shared" si="175"/>
        <v>0.91927150642594357</v>
      </c>
      <c r="Y176" s="351">
        <v>727364</v>
      </c>
      <c r="Z176" s="351">
        <v>479916</v>
      </c>
      <c r="AA176" s="351">
        <v>475255.17</v>
      </c>
      <c r="AB176" s="366">
        <f t="shared" si="184"/>
        <v>0.65339385782084347</v>
      </c>
      <c r="AC176" s="366">
        <f t="shared" si="185"/>
        <v>0.91927150642594357</v>
      </c>
      <c r="AD176" s="367">
        <f t="shared" si="177"/>
        <v>1.3614754619992738E-6</v>
      </c>
      <c r="AF176" s="325">
        <f t="shared" si="159"/>
        <v>58719</v>
      </c>
      <c r="AG176" s="305">
        <v>58719</v>
      </c>
      <c r="AI176" s="351">
        <v>727364</v>
      </c>
      <c r="AJ176" s="331">
        <f t="shared" si="187"/>
        <v>58719</v>
      </c>
      <c r="AK176" s="305">
        <v>58719</v>
      </c>
    </row>
    <row r="177" spans="1:37" ht="51">
      <c r="A177" s="410" t="s">
        <v>111</v>
      </c>
      <c r="B177" s="361" t="s">
        <v>1229</v>
      </c>
      <c r="C177" s="362" t="s">
        <v>635</v>
      </c>
      <c r="D177" s="411" t="s">
        <v>1055</v>
      </c>
      <c r="E177" s="411" t="s">
        <v>1221</v>
      </c>
      <c r="F177" s="411" t="s">
        <v>986</v>
      </c>
      <c r="G177" s="363">
        <v>10678405.380000001</v>
      </c>
      <c r="H177" s="363">
        <v>10600000</v>
      </c>
      <c r="I177" s="363">
        <v>21278405.380000003</v>
      </c>
      <c r="J177" s="368">
        <v>3957509</v>
      </c>
      <c r="K177" s="346">
        <v>5758790</v>
      </c>
      <c r="L177" s="347">
        <v>949442</v>
      </c>
      <c r="M177" s="347">
        <v>0</v>
      </c>
      <c r="N177" s="347">
        <v>0</v>
      </c>
      <c r="O177" s="346">
        <v>3822684</v>
      </c>
      <c r="P177" s="346">
        <v>3051005</v>
      </c>
      <c r="Q177" s="346">
        <v>3738975</v>
      </c>
      <c r="R177" s="346">
        <f t="shared" si="158"/>
        <v>21278405</v>
      </c>
      <c r="S177" s="344"/>
      <c r="T177" s="325">
        <f t="shared" si="160"/>
        <v>0.38000000268220901</v>
      </c>
      <c r="U177" s="402">
        <v>5758790</v>
      </c>
      <c r="V177" s="365">
        <f t="shared" si="174"/>
        <v>0</v>
      </c>
      <c r="W177" s="398">
        <f t="shared" si="175"/>
        <v>1</v>
      </c>
      <c r="Y177" s="351">
        <v>5758790</v>
      </c>
      <c r="Z177" s="351">
        <v>4257506</v>
      </c>
      <c r="AA177" s="351">
        <v>3732504.91</v>
      </c>
      <c r="AB177" s="366">
        <f t="shared" si="184"/>
        <v>0.64814047916315753</v>
      </c>
      <c r="AC177" s="366">
        <f t="shared" si="185"/>
        <v>1</v>
      </c>
      <c r="AD177" s="367">
        <f t="shared" si="177"/>
        <v>1.5223477762877082E-7</v>
      </c>
      <c r="AF177" s="325">
        <f t="shared" si="159"/>
        <v>0</v>
      </c>
      <c r="AI177" s="351">
        <v>5758790</v>
      </c>
      <c r="AJ177" s="331">
        <f t="shared" si="187"/>
        <v>0</v>
      </c>
    </row>
    <row r="178" spans="1:37" ht="51">
      <c r="A178" s="410" t="s">
        <v>764</v>
      </c>
      <c r="B178" s="415" t="s">
        <v>1230</v>
      </c>
      <c r="C178" s="362" t="s">
        <v>635</v>
      </c>
      <c r="D178" s="411" t="s">
        <v>1055</v>
      </c>
      <c r="E178" s="411" t="s">
        <v>1221</v>
      </c>
      <c r="F178" s="411"/>
      <c r="G178" s="363">
        <f>G179+G180</f>
        <v>140489753.55000001</v>
      </c>
      <c r="H178" s="363">
        <f t="shared" ref="H178:R178" si="215">H179+H180</f>
        <v>0</v>
      </c>
      <c r="I178" s="363">
        <f t="shared" si="215"/>
        <v>140489753.55000001</v>
      </c>
      <c r="J178" s="363">
        <f t="shared" si="215"/>
        <v>70349094.489999995</v>
      </c>
      <c r="K178" s="363">
        <f t="shared" si="215"/>
        <v>19902366</v>
      </c>
      <c r="L178" s="363">
        <f t="shared" si="215"/>
        <v>24612387</v>
      </c>
      <c r="M178" s="363">
        <f t="shared" si="215"/>
        <v>15343701</v>
      </c>
      <c r="N178" s="363">
        <f t="shared" si="215"/>
        <v>0</v>
      </c>
      <c r="O178" s="363">
        <f t="shared" si="215"/>
        <v>0</v>
      </c>
      <c r="P178" s="363">
        <f t="shared" si="215"/>
        <v>4656299</v>
      </c>
      <c r="Q178" s="363">
        <f t="shared" si="215"/>
        <v>5577734</v>
      </c>
      <c r="R178" s="363">
        <f t="shared" si="215"/>
        <v>140441581.49000001</v>
      </c>
      <c r="S178" s="344"/>
      <c r="T178" s="325">
        <f t="shared" si="160"/>
        <v>48172.060000002384</v>
      </c>
      <c r="U178" s="396">
        <f>U179+U180</f>
        <v>24457751</v>
      </c>
      <c r="V178" s="365">
        <f t="shared" si="174"/>
        <v>4555385</v>
      </c>
      <c r="W178" s="398">
        <f t="shared" si="175"/>
        <v>0.81374473065818687</v>
      </c>
      <c r="Y178" s="363">
        <f t="shared" ref="Y178:AA178" si="216">Y179+Y180</f>
        <v>19902366</v>
      </c>
      <c r="Z178" s="363">
        <f t="shared" si="216"/>
        <v>15715018</v>
      </c>
      <c r="AA178" s="363">
        <f t="shared" si="216"/>
        <v>14491318.460000001</v>
      </c>
      <c r="AB178" s="366">
        <f t="shared" si="184"/>
        <v>0.72812038829956205</v>
      </c>
      <c r="AC178" s="366">
        <f t="shared" si="185"/>
        <v>1</v>
      </c>
      <c r="AD178" s="367">
        <f t="shared" si="177"/>
        <v>4.6332774693580497E-8</v>
      </c>
      <c r="AF178" s="325">
        <f t="shared" si="159"/>
        <v>0</v>
      </c>
      <c r="AI178" s="363">
        <f t="shared" ref="AI178" si="217">AI179+AI180</f>
        <v>19902366</v>
      </c>
      <c r="AJ178" s="331">
        <f t="shared" si="187"/>
        <v>0</v>
      </c>
    </row>
    <row r="179" spans="1:37" ht="38.25">
      <c r="A179" s="410" t="s">
        <v>112</v>
      </c>
      <c r="B179" s="372" t="s">
        <v>1231</v>
      </c>
      <c r="C179" s="362" t="s">
        <v>635</v>
      </c>
      <c r="D179" s="411" t="s">
        <v>1055</v>
      </c>
      <c r="E179" s="411" t="s">
        <v>1221</v>
      </c>
      <c r="F179" s="411" t="s">
        <v>1232</v>
      </c>
      <c r="G179" s="363">
        <v>130775408.31</v>
      </c>
      <c r="H179" s="363">
        <v>0</v>
      </c>
      <c r="I179" s="363">
        <v>130775408.31</v>
      </c>
      <c r="J179" s="346">
        <v>60634750.359999999</v>
      </c>
      <c r="K179" s="346">
        <v>19902366</v>
      </c>
      <c r="L179" s="347">
        <v>24612387</v>
      </c>
      <c r="M179" s="347">
        <v>15343701</v>
      </c>
      <c r="N179" s="347">
        <v>0</v>
      </c>
      <c r="O179" s="346">
        <v>0</v>
      </c>
      <c r="P179" s="346">
        <v>4656299</v>
      </c>
      <c r="Q179" s="346">
        <v>5577734</v>
      </c>
      <c r="R179" s="346">
        <f t="shared" si="158"/>
        <v>130727237.36</v>
      </c>
      <c r="S179" s="344" t="s">
        <v>1233</v>
      </c>
      <c r="T179" s="325">
        <f t="shared" si="160"/>
        <v>48170.95000000298</v>
      </c>
      <c r="U179" s="416">
        <v>24457751</v>
      </c>
      <c r="V179" s="365">
        <f t="shared" si="174"/>
        <v>4555385</v>
      </c>
      <c r="W179" s="398">
        <f t="shared" si="175"/>
        <v>0.81374473065818687</v>
      </c>
      <c r="Y179" s="351">
        <v>19902366</v>
      </c>
      <c r="Z179" s="351">
        <v>15715018</v>
      </c>
      <c r="AA179" s="351">
        <v>14491318.460000001</v>
      </c>
      <c r="AB179" s="366">
        <f t="shared" si="184"/>
        <v>0.72812038829956205</v>
      </c>
      <c r="AC179" s="366">
        <f t="shared" si="185"/>
        <v>1</v>
      </c>
      <c r="AD179" s="367">
        <f t="shared" si="177"/>
        <v>4.6332774693580497E-8</v>
      </c>
      <c r="AF179" s="325">
        <f t="shared" si="159"/>
        <v>0</v>
      </c>
      <c r="AI179" s="351">
        <v>19902366</v>
      </c>
      <c r="AJ179" s="331">
        <f t="shared" si="187"/>
        <v>0</v>
      </c>
    </row>
    <row r="180" spans="1:37" ht="63.75">
      <c r="A180" s="410" t="s">
        <v>113</v>
      </c>
      <c r="B180" s="372" t="s">
        <v>1234</v>
      </c>
      <c r="C180" s="362" t="s">
        <v>635</v>
      </c>
      <c r="D180" s="411" t="s">
        <v>1055</v>
      </c>
      <c r="E180" s="411" t="s">
        <v>1221</v>
      </c>
      <c r="F180" s="411" t="s">
        <v>1232</v>
      </c>
      <c r="G180" s="363">
        <v>9714345.2400000002</v>
      </c>
      <c r="H180" s="363">
        <v>0</v>
      </c>
      <c r="I180" s="363">
        <v>9714345.2400000002</v>
      </c>
      <c r="J180" s="346">
        <v>9714344.129999999</v>
      </c>
      <c r="K180" s="346">
        <v>0</v>
      </c>
      <c r="L180" s="347">
        <v>0</v>
      </c>
      <c r="M180" s="347">
        <v>0</v>
      </c>
      <c r="N180" s="347">
        <v>0</v>
      </c>
      <c r="O180" s="346">
        <v>0</v>
      </c>
      <c r="P180" s="346">
        <v>0</v>
      </c>
      <c r="Q180" s="346">
        <v>0</v>
      </c>
      <c r="R180" s="346">
        <f t="shared" si="158"/>
        <v>9714344.129999999</v>
      </c>
      <c r="S180" s="344"/>
      <c r="T180" s="325">
        <f t="shared" si="160"/>
        <v>1.1100000012665987</v>
      </c>
      <c r="U180" s="402">
        <v>0</v>
      </c>
      <c r="V180" s="365">
        <f t="shared" si="174"/>
        <v>0</v>
      </c>
      <c r="W180" s="398" t="e">
        <f t="shared" si="175"/>
        <v>#DIV/0!</v>
      </c>
      <c r="Y180" s="351">
        <v>0</v>
      </c>
      <c r="Z180" s="351">
        <v>0</v>
      </c>
      <c r="AA180" s="351">
        <v>0</v>
      </c>
      <c r="AB180" s="366" t="e">
        <f t="shared" si="184"/>
        <v>#DIV/0!</v>
      </c>
      <c r="AC180" s="366" t="e">
        <f t="shared" si="185"/>
        <v>#DIV/0!</v>
      </c>
      <c r="AD180" s="367" t="e">
        <f t="shared" si="177"/>
        <v>#DIV/0!</v>
      </c>
      <c r="AF180" s="325">
        <f t="shared" si="159"/>
        <v>0</v>
      </c>
      <c r="AI180" s="351">
        <v>0</v>
      </c>
      <c r="AJ180" s="331">
        <f t="shared" si="187"/>
        <v>0</v>
      </c>
    </row>
    <row r="181" spans="1:37" ht="51">
      <c r="A181" s="412" t="s">
        <v>768</v>
      </c>
      <c r="B181" s="413" t="s">
        <v>1235</v>
      </c>
      <c r="C181" s="341" t="s">
        <v>635</v>
      </c>
      <c r="D181" s="414"/>
      <c r="E181" s="414"/>
      <c r="F181" s="414"/>
      <c r="G181" s="370">
        <f>G182+G190</f>
        <v>396123367.43264002</v>
      </c>
      <c r="H181" s="370">
        <f t="shared" ref="H181:Q181" si="218">H182+H190</f>
        <v>33785455</v>
      </c>
      <c r="I181" s="370">
        <f t="shared" si="218"/>
        <v>429908822.61656004</v>
      </c>
      <c r="J181" s="370">
        <f t="shared" si="218"/>
        <v>145135899.13999999</v>
      </c>
      <c r="K181" s="370">
        <f t="shared" si="218"/>
        <v>62434752.519999996</v>
      </c>
      <c r="L181" s="370">
        <f t="shared" si="218"/>
        <v>65199898.600000001</v>
      </c>
      <c r="M181" s="370">
        <f t="shared" si="218"/>
        <v>16134615</v>
      </c>
      <c r="N181" s="370">
        <f t="shared" si="218"/>
        <v>6210685</v>
      </c>
      <c r="O181" s="370">
        <f t="shared" si="218"/>
        <v>30734288.399999999</v>
      </c>
      <c r="P181" s="370">
        <f t="shared" si="218"/>
        <v>70267726</v>
      </c>
      <c r="Q181" s="370">
        <f t="shared" si="218"/>
        <v>28480050</v>
      </c>
      <c r="R181" s="346">
        <f t="shared" si="158"/>
        <v>424597914.65999997</v>
      </c>
      <c r="S181" s="344"/>
      <c r="T181" s="325">
        <f t="shared" si="160"/>
        <v>5310907.9565600753</v>
      </c>
      <c r="U181" s="417">
        <f>U182+U190</f>
        <v>85879894</v>
      </c>
      <c r="V181" s="326">
        <f t="shared" si="174"/>
        <v>23445141.480000004</v>
      </c>
      <c r="W181" s="327">
        <f t="shared" si="175"/>
        <v>0.72700081022456775</v>
      </c>
      <c r="Y181" s="370">
        <f t="shared" ref="Y181:AA181" si="219">Y182+Y190</f>
        <v>77035468</v>
      </c>
      <c r="Z181" s="370">
        <f t="shared" si="219"/>
        <v>49248174</v>
      </c>
      <c r="AA181" s="370">
        <f t="shared" si="219"/>
        <v>46813505.149999991</v>
      </c>
      <c r="AB181" s="345">
        <f t="shared" si="184"/>
        <v>0.60768768419762165</v>
      </c>
      <c r="AC181" s="345">
        <f t="shared" si="185"/>
        <v>0.81046762148572904</v>
      </c>
      <c r="AD181" s="342">
        <f t="shared" si="177"/>
        <v>1.2339293720770675E-8</v>
      </c>
      <c r="AF181" s="325">
        <f t="shared" si="159"/>
        <v>14600715.480000004</v>
      </c>
      <c r="AI181" s="370">
        <f t="shared" ref="AI181" si="220">AI182+AI190</f>
        <v>73130346</v>
      </c>
      <c r="AJ181" s="331">
        <f t="shared" si="187"/>
        <v>10695593.480000004</v>
      </c>
    </row>
    <row r="182" spans="1:37" ht="63.75">
      <c r="A182" s="412" t="s">
        <v>771</v>
      </c>
      <c r="B182" s="413" t="s">
        <v>1236</v>
      </c>
      <c r="C182" s="341" t="s">
        <v>635</v>
      </c>
      <c r="D182" s="418" t="s">
        <v>1237</v>
      </c>
      <c r="E182" s="418"/>
      <c r="F182" s="418"/>
      <c r="G182" s="370">
        <f>G183+G184+G185+G188+G189</f>
        <v>268239835.86681199</v>
      </c>
      <c r="H182" s="370">
        <f t="shared" ref="H182:Q182" si="221">H183+H184+H185+H188+H189</f>
        <v>21978843</v>
      </c>
      <c r="I182" s="370">
        <f t="shared" si="221"/>
        <v>290218678.86681205</v>
      </c>
      <c r="J182" s="370">
        <f t="shared" si="221"/>
        <v>100407601.08</v>
      </c>
      <c r="K182" s="370">
        <f t="shared" si="221"/>
        <v>47007846.519999996</v>
      </c>
      <c r="L182" s="370">
        <f t="shared" si="221"/>
        <v>48304900</v>
      </c>
      <c r="M182" s="370">
        <f t="shared" si="221"/>
        <v>6576624</v>
      </c>
      <c r="N182" s="370">
        <f t="shared" si="221"/>
        <v>1401799</v>
      </c>
      <c r="O182" s="370">
        <f t="shared" si="221"/>
        <v>16025342</v>
      </c>
      <c r="P182" s="370">
        <f t="shared" si="221"/>
        <v>44933250</v>
      </c>
      <c r="Q182" s="370">
        <f t="shared" si="221"/>
        <v>21909506</v>
      </c>
      <c r="R182" s="346">
        <f t="shared" si="158"/>
        <v>286566868.60000002</v>
      </c>
      <c r="S182" s="344"/>
      <c r="T182" s="325">
        <f t="shared" si="160"/>
        <v>3651810.2668120265</v>
      </c>
      <c r="U182" s="417">
        <f>U183+U184+U185+U188+U189</f>
        <v>57516722</v>
      </c>
      <c r="V182" s="326">
        <f t="shared" si="174"/>
        <v>10508875.480000004</v>
      </c>
      <c r="W182" s="327">
        <f t="shared" si="175"/>
        <v>0.81729008339522535</v>
      </c>
      <c r="Y182" s="370">
        <f t="shared" ref="Y182:AA182" si="222">Y183+Y184+Y185+Y188+Y189</f>
        <v>49729714</v>
      </c>
      <c r="Z182" s="370">
        <f t="shared" si="222"/>
        <v>33917108</v>
      </c>
      <c r="AA182" s="370">
        <f t="shared" si="222"/>
        <v>33907206.239999995</v>
      </c>
      <c r="AB182" s="345">
        <f t="shared" si="184"/>
        <v>0.68182990636141594</v>
      </c>
      <c r="AC182" s="345">
        <f t="shared" si="185"/>
        <v>0.94526677792677427</v>
      </c>
      <c r="AD182" s="342">
        <f t="shared" si="177"/>
        <v>2.0102831478480296E-8</v>
      </c>
      <c r="AF182" s="325">
        <f t="shared" si="159"/>
        <v>2721867.4800000042</v>
      </c>
      <c r="AI182" s="370">
        <f t="shared" ref="AI182" si="223">AI183+AI184+AI185+AI188+AI189</f>
        <v>49729714</v>
      </c>
      <c r="AJ182" s="331">
        <f t="shared" si="187"/>
        <v>2721867.4800000042</v>
      </c>
    </row>
    <row r="183" spans="1:37" ht="51">
      <c r="A183" s="419" t="s">
        <v>90</v>
      </c>
      <c r="B183" s="361" t="s">
        <v>1238</v>
      </c>
      <c r="C183" s="362" t="s">
        <v>635</v>
      </c>
      <c r="D183" s="420" t="s">
        <v>1237</v>
      </c>
      <c r="E183" s="420" t="s">
        <v>1237</v>
      </c>
      <c r="F183" s="420" t="s">
        <v>986</v>
      </c>
      <c r="G183" s="363">
        <v>163711991.217812</v>
      </c>
      <c r="H183" s="363">
        <v>0</v>
      </c>
      <c r="I183" s="363">
        <v>163711991.217812</v>
      </c>
      <c r="J183" s="346">
        <v>55638341.449999996</v>
      </c>
      <c r="K183" s="346">
        <v>28644981</v>
      </c>
      <c r="L183" s="347">
        <v>32561511</v>
      </c>
      <c r="M183" s="347">
        <v>0</v>
      </c>
      <c r="N183" s="347">
        <v>0</v>
      </c>
      <c r="O183" s="346">
        <v>0</v>
      </c>
      <c r="P183" s="346">
        <v>30000000</v>
      </c>
      <c r="Q183" s="346">
        <v>16867158</v>
      </c>
      <c r="R183" s="346">
        <f t="shared" si="158"/>
        <v>163711991.44999999</v>
      </c>
      <c r="S183" s="344"/>
      <c r="T183" s="325">
        <f t="shared" si="160"/>
        <v>-0.23218798637390137</v>
      </c>
      <c r="U183" s="421">
        <v>31005829</v>
      </c>
      <c r="V183" s="365">
        <f t="shared" si="174"/>
        <v>2360848</v>
      </c>
      <c r="W183" s="398">
        <f t="shared" si="175"/>
        <v>0.92385793006856876</v>
      </c>
      <c r="Y183" s="351">
        <v>28856787</v>
      </c>
      <c r="Z183" s="351">
        <v>22486081</v>
      </c>
      <c r="AA183" s="351">
        <v>22486079.77</v>
      </c>
      <c r="AB183" s="366">
        <f t="shared" si="184"/>
        <v>0.77923019530899262</v>
      </c>
      <c r="AC183" s="366">
        <f t="shared" si="185"/>
        <v>0.99266009760546103</v>
      </c>
      <c r="AD183" s="367">
        <f t="shared" si="177"/>
        <v>3.4653890791774369E-8</v>
      </c>
      <c r="AF183" s="325">
        <f t="shared" si="159"/>
        <v>211806</v>
      </c>
      <c r="AI183" s="351">
        <v>28856787</v>
      </c>
      <c r="AJ183" s="331">
        <f t="shared" si="187"/>
        <v>211806</v>
      </c>
    </row>
    <row r="184" spans="1:37" ht="38.25">
      <c r="A184" s="419" t="s">
        <v>91</v>
      </c>
      <c r="B184" s="361" t="s">
        <v>1239</v>
      </c>
      <c r="C184" s="362" t="s">
        <v>635</v>
      </c>
      <c r="D184" s="420" t="s">
        <v>1237</v>
      </c>
      <c r="E184" s="420" t="s">
        <v>1237</v>
      </c>
      <c r="F184" s="420" t="s">
        <v>1101</v>
      </c>
      <c r="G184" s="363">
        <v>65417117.899999999</v>
      </c>
      <c r="H184" s="363">
        <v>21978843</v>
      </c>
      <c r="I184" s="363">
        <f>G184+H184</f>
        <v>87395960.900000006</v>
      </c>
      <c r="J184" s="346">
        <v>31182738.370000001</v>
      </c>
      <c r="K184" s="346">
        <v>12273948</v>
      </c>
      <c r="L184" s="347">
        <v>9120375</v>
      </c>
      <c r="M184" s="347">
        <v>3548218</v>
      </c>
      <c r="N184" s="347">
        <v>1069570</v>
      </c>
      <c r="O184" s="346">
        <v>12403207</v>
      </c>
      <c r="P184" s="346">
        <v>13530762</v>
      </c>
      <c r="Q184" s="382">
        <v>4267143</v>
      </c>
      <c r="R184" s="346">
        <f>J184+K184+L184+M184+N184+O184+P184+Q184</f>
        <v>87395961.370000005</v>
      </c>
      <c r="S184" s="344"/>
      <c r="T184" s="325">
        <f t="shared" si="160"/>
        <v>-0.4699999988079071</v>
      </c>
      <c r="U184" s="402">
        <v>12466195</v>
      </c>
      <c r="V184" s="365">
        <f t="shared" si="174"/>
        <v>192247</v>
      </c>
      <c r="W184" s="398">
        <f t="shared" si="175"/>
        <v>0.98457853418785768</v>
      </c>
      <c r="Y184" s="351">
        <v>10578809</v>
      </c>
      <c r="Z184" s="351">
        <v>7288592</v>
      </c>
      <c r="AA184" s="351">
        <v>7288574.1100000003</v>
      </c>
      <c r="AB184" s="366">
        <f t="shared" si="184"/>
        <v>0.68897870355727198</v>
      </c>
      <c r="AC184" s="366">
        <f t="shared" si="185"/>
        <v>1.160239115764355</v>
      </c>
      <c r="AD184" s="367">
        <f t="shared" si="177"/>
        <v>9.4528367558133586E-8</v>
      </c>
      <c r="AF184" s="325">
        <f t="shared" si="159"/>
        <v>-1695139</v>
      </c>
      <c r="AG184" s="305">
        <v>-1695139</v>
      </c>
      <c r="AI184" s="351">
        <v>10578809</v>
      </c>
      <c r="AJ184" s="331">
        <f t="shared" si="187"/>
        <v>-1695139</v>
      </c>
      <c r="AK184" s="305">
        <v>-1695139</v>
      </c>
    </row>
    <row r="185" spans="1:37" ht="51">
      <c r="A185" s="419" t="s">
        <v>776</v>
      </c>
      <c r="B185" s="422" t="s">
        <v>1240</v>
      </c>
      <c r="C185" s="362" t="s">
        <v>635</v>
      </c>
      <c r="D185" s="420" t="s">
        <v>1237</v>
      </c>
      <c r="E185" s="420" t="s">
        <v>1237</v>
      </c>
      <c r="F185" s="420"/>
      <c r="G185" s="363">
        <f>G186+G187</f>
        <v>21581068.199999999</v>
      </c>
      <c r="H185" s="363">
        <f t="shared" ref="H185:Q185" si="224">H186+H187</f>
        <v>0</v>
      </c>
      <c r="I185" s="363">
        <f t="shared" si="224"/>
        <v>21581068.199999999</v>
      </c>
      <c r="J185" s="363">
        <f t="shared" si="224"/>
        <v>6645120.5800000001</v>
      </c>
      <c r="K185" s="363">
        <f t="shared" si="224"/>
        <v>4364648.5199999996</v>
      </c>
      <c r="L185" s="363">
        <f t="shared" si="224"/>
        <v>2019679</v>
      </c>
      <c r="M185" s="363">
        <f t="shared" si="224"/>
        <v>2325602</v>
      </c>
      <c r="N185" s="363">
        <f t="shared" si="224"/>
        <v>332229</v>
      </c>
      <c r="O185" s="363">
        <f t="shared" si="224"/>
        <v>1156195</v>
      </c>
      <c r="P185" s="363">
        <f t="shared" si="224"/>
        <v>402488</v>
      </c>
      <c r="Q185" s="363">
        <f t="shared" si="224"/>
        <v>775205</v>
      </c>
      <c r="R185" s="346">
        <f t="shared" si="158"/>
        <v>18021167.100000001</v>
      </c>
      <c r="S185" s="344"/>
      <c r="T185" s="325">
        <f t="shared" si="160"/>
        <v>3559901.0999999978</v>
      </c>
      <c r="U185" s="396">
        <f>U186+U187</f>
        <v>4820836</v>
      </c>
      <c r="V185" s="365">
        <f t="shared" si="174"/>
        <v>456187.48000000045</v>
      </c>
      <c r="W185" s="398">
        <f t="shared" si="175"/>
        <v>0.90537170731383509</v>
      </c>
      <c r="Y185" s="363">
        <f t="shared" ref="Y185:AA185" si="225">Y186+Y187</f>
        <v>4820836</v>
      </c>
      <c r="Z185" s="363">
        <f t="shared" si="225"/>
        <v>4066460</v>
      </c>
      <c r="AA185" s="363">
        <f t="shared" si="225"/>
        <v>4056580.28</v>
      </c>
      <c r="AB185" s="366">
        <f t="shared" si="184"/>
        <v>0.84146821837540209</v>
      </c>
      <c r="AC185" s="366">
        <f t="shared" si="185"/>
        <v>0.90537170731383509</v>
      </c>
      <c r="AD185" s="367">
        <f t="shared" si="177"/>
        <v>2.0692893041500522E-7</v>
      </c>
      <c r="AF185" s="325">
        <f t="shared" si="159"/>
        <v>456187.48000000045</v>
      </c>
      <c r="AI185" s="363">
        <f t="shared" ref="AI185" si="226">AI186+AI187</f>
        <v>4820836</v>
      </c>
      <c r="AJ185" s="331">
        <f t="shared" si="187"/>
        <v>456187.48000000045</v>
      </c>
    </row>
    <row r="186" spans="1:37" ht="76.5">
      <c r="A186" s="360" t="s">
        <v>92</v>
      </c>
      <c r="B186" s="372" t="s">
        <v>1241</v>
      </c>
      <c r="C186" s="362" t="s">
        <v>635</v>
      </c>
      <c r="D186" s="420" t="s">
        <v>1237</v>
      </c>
      <c r="E186" s="420" t="s">
        <v>1202</v>
      </c>
      <c r="F186" s="420" t="s">
        <v>1101</v>
      </c>
      <c r="G186" s="363">
        <v>11902027.199999999</v>
      </c>
      <c r="H186" s="363">
        <v>0</v>
      </c>
      <c r="I186" s="363">
        <v>11902027.199999999</v>
      </c>
      <c r="J186" s="346">
        <v>6645120.5800000001</v>
      </c>
      <c r="K186" s="423">
        <v>2311702.14</v>
      </c>
      <c r="L186" s="347">
        <v>160662</v>
      </c>
      <c r="M186" s="347">
        <v>0</v>
      </c>
      <c r="N186" s="347">
        <v>0</v>
      </c>
      <c r="O186" s="423">
        <v>458719</v>
      </c>
      <c r="P186" s="423">
        <v>0</v>
      </c>
      <c r="Q186" s="423">
        <v>0</v>
      </c>
      <c r="R186" s="346">
        <f t="shared" si="158"/>
        <v>9576203.7200000007</v>
      </c>
      <c r="S186" s="344" t="s">
        <v>1242</v>
      </c>
      <c r="T186" s="325">
        <f t="shared" si="160"/>
        <v>2325823.4799999986</v>
      </c>
      <c r="U186" s="402">
        <v>1689733</v>
      </c>
      <c r="V186" s="365">
        <f t="shared" si="174"/>
        <v>-621969.14000000013</v>
      </c>
      <c r="W186" s="398">
        <f t="shared" si="175"/>
        <v>1.3680872303494103</v>
      </c>
      <c r="Y186" s="351">
        <v>2623603</v>
      </c>
      <c r="Z186" s="351">
        <v>2013510</v>
      </c>
      <c r="AA186" s="351">
        <v>2003633.9</v>
      </c>
      <c r="AB186" s="366">
        <f t="shared" si="184"/>
        <v>0.76369553625300779</v>
      </c>
      <c r="AC186" s="366">
        <f t="shared" si="185"/>
        <v>0.8811173565512771</v>
      </c>
      <c r="AD186" s="367">
        <f t="shared" si="177"/>
        <v>3.7928569326847535E-7</v>
      </c>
      <c r="AF186" s="325">
        <f t="shared" si="159"/>
        <v>311900.85999999987</v>
      </c>
      <c r="AG186" s="305">
        <v>311900.85999999987</v>
      </c>
      <c r="AI186" s="351">
        <v>2623603</v>
      </c>
      <c r="AJ186" s="331">
        <f t="shared" si="187"/>
        <v>311900.85999999987</v>
      </c>
      <c r="AK186" s="305">
        <v>311900.85999999987</v>
      </c>
    </row>
    <row r="187" spans="1:37" ht="153">
      <c r="A187" s="360" t="s">
        <v>93</v>
      </c>
      <c r="B187" s="372" t="s">
        <v>1243</v>
      </c>
      <c r="C187" s="362" t="s">
        <v>635</v>
      </c>
      <c r="D187" s="420" t="s">
        <v>1237</v>
      </c>
      <c r="E187" s="420"/>
      <c r="F187" s="420" t="s">
        <v>1101</v>
      </c>
      <c r="G187" s="363">
        <v>9679041</v>
      </c>
      <c r="H187" s="363">
        <v>0</v>
      </c>
      <c r="I187" s="363">
        <v>9679041</v>
      </c>
      <c r="J187" s="346">
        <v>0</v>
      </c>
      <c r="K187" s="423">
        <v>2052946.38</v>
      </c>
      <c r="L187" s="347">
        <v>1859017</v>
      </c>
      <c r="M187" s="347">
        <v>2325602</v>
      </c>
      <c r="N187" s="347">
        <v>332229</v>
      </c>
      <c r="O187" s="423">
        <v>697476</v>
      </c>
      <c r="P187" s="423">
        <v>402488</v>
      </c>
      <c r="Q187" s="423">
        <v>775205</v>
      </c>
      <c r="R187" s="346">
        <f t="shared" si="158"/>
        <v>8444963.379999999</v>
      </c>
      <c r="S187" s="344" t="s">
        <v>1244</v>
      </c>
      <c r="T187" s="325">
        <f t="shared" si="160"/>
        <v>1234077.620000001</v>
      </c>
      <c r="U187" s="364">
        <v>3131103</v>
      </c>
      <c r="V187" s="365">
        <f t="shared" si="174"/>
        <v>1078156.6200000001</v>
      </c>
      <c r="W187" s="398">
        <f t="shared" si="175"/>
        <v>0.65566235923890082</v>
      </c>
      <c r="Y187" s="351">
        <v>2197233</v>
      </c>
      <c r="Z187" s="351">
        <v>2052950</v>
      </c>
      <c r="AA187" s="351">
        <v>2052946.38</v>
      </c>
      <c r="AB187" s="366">
        <f t="shared" si="184"/>
        <v>0.93433258102349637</v>
      </c>
      <c r="AC187" s="366">
        <f t="shared" si="185"/>
        <v>0.93433258102349637</v>
      </c>
      <c r="AD187" s="367">
        <f t="shared" si="177"/>
        <v>4.5511706618451322E-7</v>
      </c>
      <c r="AF187" s="325">
        <f t="shared" si="159"/>
        <v>144286.62000000011</v>
      </c>
      <c r="AG187" s="305">
        <v>144286.62000000011</v>
      </c>
      <c r="AI187" s="351">
        <v>2197233</v>
      </c>
      <c r="AJ187" s="331">
        <f t="shared" si="187"/>
        <v>144286.62000000011</v>
      </c>
      <c r="AK187" s="305">
        <v>144286.62000000011</v>
      </c>
    </row>
    <row r="188" spans="1:37" ht="38.25">
      <c r="A188" s="360" t="s">
        <v>94</v>
      </c>
      <c r="B188" s="361" t="s">
        <v>1245</v>
      </c>
      <c r="C188" s="362" t="s">
        <v>635</v>
      </c>
      <c r="D188" s="420" t="s">
        <v>1237</v>
      </c>
      <c r="E188" s="420"/>
      <c r="F188" s="420" t="s">
        <v>1246</v>
      </c>
      <c r="G188" s="363">
        <v>3473578.5490000001</v>
      </c>
      <c r="H188" s="363">
        <v>0</v>
      </c>
      <c r="I188" s="363">
        <v>3473578.5490000001</v>
      </c>
      <c r="J188" s="346">
        <v>3381668.29</v>
      </c>
      <c r="K188" s="346">
        <v>0</v>
      </c>
      <c r="L188" s="347">
        <v>0</v>
      </c>
      <c r="M188" s="347">
        <v>0</v>
      </c>
      <c r="N188" s="347">
        <v>0</v>
      </c>
      <c r="O188" s="346">
        <v>0</v>
      </c>
      <c r="P188" s="346">
        <v>0</v>
      </c>
      <c r="Q188" s="346">
        <v>0</v>
      </c>
      <c r="R188" s="346">
        <f t="shared" si="158"/>
        <v>3381668.29</v>
      </c>
      <c r="S188" s="344"/>
      <c r="T188" s="325">
        <f t="shared" si="160"/>
        <v>91910.259000000078</v>
      </c>
      <c r="U188" s="402">
        <v>0</v>
      </c>
      <c r="V188" s="365">
        <f t="shared" si="174"/>
        <v>0</v>
      </c>
      <c r="W188" s="398" t="e">
        <f t="shared" si="175"/>
        <v>#DIV/0!</v>
      </c>
      <c r="Y188" s="351">
        <v>0</v>
      </c>
      <c r="Z188" s="351">
        <v>0</v>
      </c>
      <c r="AA188" s="351">
        <v>0</v>
      </c>
      <c r="AB188" s="366" t="e">
        <f t="shared" si="184"/>
        <v>#DIV/0!</v>
      </c>
      <c r="AC188" s="366" t="e">
        <f t="shared" si="185"/>
        <v>#DIV/0!</v>
      </c>
      <c r="AD188" s="367" t="e">
        <f t="shared" si="177"/>
        <v>#DIV/0!</v>
      </c>
      <c r="AF188" s="325">
        <f t="shared" si="159"/>
        <v>0</v>
      </c>
      <c r="AG188" s="305">
        <v>0</v>
      </c>
      <c r="AI188" s="351">
        <v>0</v>
      </c>
      <c r="AJ188" s="331">
        <f t="shared" si="187"/>
        <v>0</v>
      </c>
      <c r="AK188" s="305">
        <v>0</v>
      </c>
    </row>
    <row r="189" spans="1:37" ht="51">
      <c r="A189" s="360" t="s">
        <v>95</v>
      </c>
      <c r="B189" s="361" t="s">
        <v>1247</v>
      </c>
      <c r="C189" s="362" t="s">
        <v>635</v>
      </c>
      <c r="D189" s="420" t="s">
        <v>1237</v>
      </c>
      <c r="E189" s="420" t="s">
        <v>1202</v>
      </c>
      <c r="F189" s="420" t="s">
        <v>1248</v>
      </c>
      <c r="G189" s="363">
        <v>14056080</v>
      </c>
      <c r="H189" s="363">
        <v>0</v>
      </c>
      <c r="I189" s="363">
        <v>14056080</v>
      </c>
      <c r="J189" s="346">
        <v>3559732.39</v>
      </c>
      <c r="K189" s="423">
        <v>1724269</v>
      </c>
      <c r="L189" s="347">
        <v>4603335</v>
      </c>
      <c r="M189" s="347">
        <v>702804</v>
      </c>
      <c r="N189" s="347">
        <v>0</v>
      </c>
      <c r="O189" s="423">
        <v>2465940</v>
      </c>
      <c r="P189" s="423">
        <v>1000000</v>
      </c>
      <c r="Q189" s="423">
        <v>0</v>
      </c>
      <c r="R189" s="346">
        <f t="shared" si="158"/>
        <v>14056080.390000001</v>
      </c>
      <c r="S189" s="344"/>
      <c r="T189" s="325">
        <f t="shared" si="160"/>
        <v>-0.39000000059604645</v>
      </c>
      <c r="U189" s="364">
        <v>9223862</v>
      </c>
      <c r="V189" s="365">
        <f t="shared" si="174"/>
        <v>7499593</v>
      </c>
      <c r="W189" s="398">
        <f t="shared" si="175"/>
        <v>0.18693568919396236</v>
      </c>
      <c r="Y189" s="351">
        <v>5473282</v>
      </c>
      <c r="Z189" s="351">
        <v>75975</v>
      </c>
      <c r="AA189" s="351">
        <v>75972.08</v>
      </c>
      <c r="AB189" s="366">
        <f t="shared" si="184"/>
        <v>1.3880534567741987E-2</v>
      </c>
      <c r="AC189" s="366">
        <f t="shared" si="185"/>
        <v>0.3150338316205889</v>
      </c>
      <c r="AD189" s="367">
        <f t="shared" si="177"/>
        <v>1.8269871099364249E-7</v>
      </c>
      <c r="AF189" s="325">
        <f t="shared" si="159"/>
        <v>3749013</v>
      </c>
      <c r="AI189" s="351">
        <v>5473282</v>
      </c>
      <c r="AJ189" s="331">
        <f t="shared" si="187"/>
        <v>3749013</v>
      </c>
    </row>
    <row r="190" spans="1:37" ht="51">
      <c r="A190" s="321" t="s">
        <v>783</v>
      </c>
      <c r="B190" s="359" t="s">
        <v>1249</v>
      </c>
      <c r="C190" s="341" t="s">
        <v>635</v>
      </c>
      <c r="D190" s="341"/>
      <c r="E190" s="341"/>
      <c r="F190" s="341"/>
      <c r="G190" s="370">
        <f>G191+G194+G195+G196</f>
        <v>127883531.56582801</v>
      </c>
      <c r="H190" s="370">
        <f t="shared" ref="H190:Q190" si="227">H191+H194+H195+H196</f>
        <v>11806612</v>
      </c>
      <c r="I190" s="370">
        <f t="shared" si="227"/>
        <v>139690143.74974799</v>
      </c>
      <c r="J190" s="370">
        <f t="shared" si="227"/>
        <v>44728298.060000002</v>
      </c>
      <c r="K190" s="370">
        <f t="shared" si="227"/>
        <v>15426906</v>
      </c>
      <c r="L190" s="370">
        <f t="shared" si="227"/>
        <v>16894998.600000001</v>
      </c>
      <c r="M190" s="370">
        <f t="shared" si="227"/>
        <v>9557991</v>
      </c>
      <c r="N190" s="370">
        <f t="shared" si="227"/>
        <v>4808886</v>
      </c>
      <c r="O190" s="370">
        <f t="shared" si="227"/>
        <v>14708946.4</v>
      </c>
      <c r="P190" s="370">
        <f t="shared" si="227"/>
        <v>25334476</v>
      </c>
      <c r="Q190" s="370">
        <f t="shared" si="227"/>
        <v>6570544</v>
      </c>
      <c r="R190" s="346">
        <f t="shared" si="158"/>
        <v>138031046.06</v>
      </c>
      <c r="S190" s="344"/>
      <c r="T190" s="325">
        <f t="shared" si="160"/>
        <v>1659097.6897479892</v>
      </c>
      <c r="U190" s="393">
        <f>U191+U194+U195+U196</f>
        <v>28363172</v>
      </c>
      <c r="V190" s="326">
        <f t="shared" si="174"/>
        <v>12936266</v>
      </c>
      <c r="W190" s="327">
        <f t="shared" si="175"/>
        <v>0.54390623164433094</v>
      </c>
      <c r="Y190" s="370">
        <f t="shared" ref="Y190:AA190" si="228">Y191+Y194+Y195+Y196</f>
        <v>27305754</v>
      </c>
      <c r="Z190" s="370">
        <f t="shared" si="228"/>
        <v>15331066</v>
      </c>
      <c r="AA190" s="370">
        <f t="shared" si="228"/>
        <v>12906298.91</v>
      </c>
      <c r="AB190" s="345">
        <f t="shared" si="184"/>
        <v>0.47265857994619009</v>
      </c>
      <c r="AC190" s="345">
        <f t="shared" si="185"/>
        <v>0.56496905377525919</v>
      </c>
      <c r="AD190" s="342">
        <f t="shared" si="177"/>
        <v>3.0830118397911147E-8</v>
      </c>
      <c r="AF190" s="325">
        <f t="shared" si="159"/>
        <v>11878848</v>
      </c>
      <c r="AI190" s="370">
        <f t="shared" ref="AI190" si="229">AI191+AI194+AI195+AI196</f>
        <v>23400632</v>
      </c>
      <c r="AJ190" s="331">
        <f t="shared" si="187"/>
        <v>7973726</v>
      </c>
    </row>
    <row r="191" spans="1:37" ht="76.5">
      <c r="A191" s="360" t="s">
        <v>785</v>
      </c>
      <c r="B191" s="361" t="s">
        <v>1250</v>
      </c>
      <c r="C191" s="362" t="s">
        <v>635</v>
      </c>
      <c r="D191" s="362"/>
      <c r="E191" s="362"/>
      <c r="F191" s="362"/>
      <c r="G191" s="363">
        <f>G192+G193</f>
        <v>109144798.45582801</v>
      </c>
      <c r="H191" s="363">
        <f t="shared" ref="H191:I191" si="230">H192+H193</f>
        <v>11806612</v>
      </c>
      <c r="I191" s="363">
        <f t="shared" si="230"/>
        <v>120951410.63974801</v>
      </c>
      <c r="J191" s="363">
        <f>J192+J193</f>
        <v>44728298.060000002</v>
      </c>
      <c r="K191" s="363">
        <f t="shared" ref="K191:Q191" si="231">K192+K193</f>
        <v>15426906</v>
      </c>
      <c r="L191" s="363">
        <f t="shared" si="231"/>
        <v>12189523.6</v>
      </c>
      <c r="M191" s="363">
        <f t="shared" si="231"/>
        <v>2238815</v>
      </c>
      <c r="N191" s="363">
        <f t="shared" si="231"/>
        <v>794622</v>
      </c>
      <c r="O191" s="363">
        <f t="shared" si="231"/>
        <v>14071446.4</v>
      </c>
      <c r="P191" s="363">
        <f t="shared" si="231"/>
        <v>23421976</v>
      </c>
      <c r="Q191" s="363">
        <f t="shared" si="231"/>
        <v>6420726</v>
      </c>
      <c r="R191" s="346">
        <f t="shared" si="158"/>
        <v>119292313.06</v>
      </c>
      <c r="S191" s="344"/>
      <c r="T191" s="325">
        <f t="shared" si="160"/>
        <v>1659097.5797480047</v>
      </c>
      <c r="U191" s="396">
        <f>U192+U193</f>
        <v>28363172</v>
      </c>
      <c r="V191" s="365">
        <f t="shared" si="174"/>
        <v>12936266</v>
      </c>
      <c r="W191" s="398">
        <f t="shared" si="175"/>
        <v>0.54390623164433094</v>
      </c>
      <c r="Y191" s="363">
        <f t="shared" ref="Y191:AA191" si="232">Y192+Y193</f>
        <v>27155934</v>
      </c>
      <c r="Z191" s="363">
        <f t="shared" si="232"/>
        <v>15331066</v>
      </c>
      <c r="AA191" s="363">
        <f t="shared" si="232"/>
        <v>12906298.91</v>
      </c>
      <c r="AB191" s="366">
        <f t="shared" si="184"/>
        <v>0.47526624972648707</v>
      </c>
      <c r="AC191" s="366">
        <f t="shared" si="185"/>
        <v>0.56808600286036925</v>
      </c>
      <c r="AD191" s="367">
        <f t="shared" si="177"/>
        <v>3.1000208969584182E-8</v>
      </c>
      <c r="AF191" s="325">
        <f t="shared" si="159"/>
        <v>11729028</v>
      </c>
      <c r="AI191" s="363">
        <f t="shared" ref="AI191" si="233">AI192+AI193</f>
        <v>23250812</v>
      </c>
      <c r="AJ191" s="331">
        <f t="shared" si="187"/>
        <v>7823906</v>
      </c>
    </row>
    <row r="192" spans="1:37" ht="140.25">
      <c r="A192" s="360" t="s">
        <v>105</v>
      </c>
      <c r="B192" s="372" t="s">
        <v>1251</v>
      </c>
      <c r="C192" s="362" t="s">
        <v>635</v>
      </c>
      <c r="D192" s="362" t="s">
        <v>1072</v>
      </c>
      <c r="E192" s="362" t="s">
        <v>1252</v>
      </c>
      <c r="F192" s="362" t="s">
        <v>1253</v>
      </c>
      <c r="G192" s="363">
        <v>96944797.816080004</v>
      </c>
      <c r="H192" s="363">
        <v>11806612</v>
      </c>
      <c r="I192" s="363">
        <v>108751410</v>
      </c>
      <c r="J192" s="346">
        <v>35409740.060000002</v>
      </c>
      <c r="K192" s="346">
        <v>14262630</v>
      </c>
      <c r="L192" s="347">
        <v>11937090.6</v>
      </c>
      <c r="M192" s="347">
        <v>2238815</v>
      </c>
      <c r="N192" s="347">
        <v>794622</v>
      </c>
      <c r="O192" s="346">
        <v>13565809.4</v>
      </c>
      <c r="P192" s="346">
        <v>23421976</v>
      </c>
      <c r="Q192" s="346">
        <v>6420726</v>
      </c>
      <c r="R192" s="346">
        <f t="shared" si="158"/>
        <v>108051409.06</v>
      </c>
      <c r="S192" s="344" t="s">
        <v>1254</v>
      </c>
      <c r="T192" s="325">
        <f t="shared" si="160"/>
        <v>700000.93999999762</v>
      </c>
      <c r="U192" s="402">
        <v>27869608</v>
      </c>
      <c r="V192" s="365">
        <f t="shared" si="174"/>
        <v>13606978</v>
      </c>
      <c r="W192" s="398">
        <f t="shared" si="175"/>
        <v>0.51176284933752925</v>
      </c>
      <c r="Y192" s="351">
        <v>26222519</v>
      </c>
      <c r="Z192" s="351">
        <v>14434200</v>
      </c>
      <c r="AA192" s="351">
        <v>12151300.24</v>
      </c>
      <c r="AB192" s="366">
        <f t="shared" si="184"/>
        <v>0.46339179847672146</v>
      </c>
      <c r="AC192" s="366">
        <f t="shared" si="185"/>
        <v>0.54390770009547895</v>
      </c>
      <c r="AD192" s="367">
        <f t="shared" si="177"/>
        <v>3.2103739623721539E-8</v>
      </c>
      <c r="AF192" s="325">
        <f t="shared" si="159"/>
        <v>11959889</v>
      </c>
      <c r="AI192" s="351">
        <f>26222519-3878611-24424</f>
        <v>22319484</v>
      </c>
      <c r="AJ192" s="331">
        <f t="shared" si="187"/>
        <v>8056854</v>
      </c>
    </row>
    <row r="193" spans="1:37" ht="38.25">
      <c r="A193" s="360" t="s">
        <v>88</v>
      </c>
      <c r="B193" s="372" t="s">
        <v>1255</v>
      </c>
      <c r="C193" s="362" t="s">
        <v>635</v>
      </c>
      <c r="D193" s="362" t="s">
        <v>527</v>
      </c>
      <c r="E193" s="362" t="s">
        <v>1256</v>
      </c>
      <c r="F193" s="362" t="s">
        <v>1257</v>
      </c>
      <c r="G193" s="363">
        <v>12200000.639748</v>
      </c>
      <c r="H193" s="363">
        <v>0</v>
      </c>
      <c r="I193" s="363">
        <v>12200000.639748</v>
      </c>
      <c r="J193" s="368">
        <v>9318558</v>
      </c>
      <c r="K193" s="346">
        <v>1164276</v>
      </c>
      <c r="L193" s="347">
        <v>252433</v>
      </c>
      <c r="M193" s="347">
        <v>0</v>
      </c>
      <c r="N193" s="347">
        <v>0</v>
      </c>
      <c r="O193" s="346">
        <v>505637</v>
      </c>
      <c r="P193" s="346">
        <v>0</v>
      </c>
      <c r="Q193" s="346">
        <v>0</v>
      </c>
      <c r="R193" s="346">
        <f t="shared" si="158"/>
        <v>11240904</v>
      </c>
      <c r="S193" s="344" t="s">
        <v>1258</v>
      </c>
      <c r="T193" s="325">
        <f t="shared" si="160"/>
        <v>959096.63974799961</v>
      </c>
      <c r="U193" s="416">
        <v>493564</v>
      </c>
      <c r="V193" s="365">
        <f t="shared" si="174"/>
        <v>-670712</v>
      </c>
      <c r="W193" s="398">
        <f t="shared" si="175"/>
        <v>2.3589159663184511</v>
      </c>
      <c r="Y193" s="351">
        <v>933415</v>
      </c>
      <c r="Z193" s="351">
        <v>896866</v>
      </c>
      <c r="AA193" s="351">
        <v>754998.67</v>
      </c>
      <c r="AB193" s="366">
        <f t="shared" si="184"/>
        <v>0.8088563714960656</v>
      </c>
      <c r="AC193" s="366">
        <f t="shared" si="185"/>
        <v>1.2473294301034374</v>
      </c>
      <c r="AD193" s="367">
        <f t="shared" si="177"/>
        <v>9.0186981276585974E-7</v>
      </c>
      <c r="AF193" s="325">
        <f t="shared" si="159"/>
        <v>-230861</v>
      </c>
      <c r="AG193" s="305">
        <v>-230861</v>
      </c>
      <c r="AI193" s="351">
        <f>933415-2087</f>
        <v>931328</v>
      </c>
      <c r="AJ193" s="331">
        <f t="shared" si="187"/>
        <v>-232948</v>
      </c>
      <c r="AK193" s="305">
        <v>-232948</v>
      </c>
    </row>
    <row r="194" spans="1:37" ht="38.25">
      <c r="A194" s="360" t="s">
        <v>106</v>
      </c>
      <c r="B194" s="361" t="s">
        <v>1259</v>
      </c>
      <c r="C194" s="362" t="s">
        <v>635</v>
      </c>
      <c r="D194" s="362" t="s">
        <v>1072</v>
      </c>
      <c r="E194" s="362" t="s">
        <v>1216</v>
      </c>
      <c r="F194" s="362" t="s">
        <v>1260</v>
      </c>
      <c r="G194" s="376">
        <v>2550000</v>
      </c>
      <c r="H194" s="363">
        <v>0</v>
      </c>
      <c r="I194" s="376">
        <v>2550000</v>
      </c>
      <c r="J194" s="346">
        <v>0</v>
      </c>
      <c r="K194" s="346">
        <v>0</v>
      </c>
      <c r="L194" s="347">
        <v>0</v>
      </c>
      <c r="M194" s="347">
        <v>0</v>
      </c>
      <c r="N194" s="347">
        <v>0</v>
      </c>
      <c r="O194" s="346">
        <v>637500</v>
      </c>
      <c r="P194" s="346">
        <v>1912500</v>
      </c>
      <c r="Q194" s="346">
        <v>0</v>
      </c>
      <c r="R194" s="346">
        <f t="shared" si="158"/>
        <v>2550000</v>
      </c>
      <c r="S194" s="344"/>
      <c r="T194" s="325">
        <f t="shared" si="160"/>
        <v>0</v>
      </c>
      <c r="U194" s="364">
        <v>0</v>
      </c>
      <c r="V194" s="365">
        <f t="shared" si="174"/>
        <v>0</v>
      </c>
      <c r="W194" s="398" t="e">
        <f t="shared" si="175"/>
        <v>#DIV/0!</v>
      </c>
      <c r="Y194" s="351">
        <v>0</v>
      </c>
      <c r="Z194" s="351">
        <v>0</v>
      </c>
      <c r="AA194" s="351">
        <v>0</v>
      </c>
      <c r="AB194" s="366" t="e">
        <f t="shared" si="184"/>
        <v>#DIV/0!</v>
      </c>
      <c r="AC194" s="366" t="e">
        <f t="shared" si="185"/>
        <v>#DIV/0!</v>
      </c>
      <c r="AD194" s="367" t="e">
        <f t="shared" si="177"/>
        <v>#DIV/0!</v>
      </c>
      <c r="AF194" s="325">
        <f t="shared" si="159"/>
        <v>0</v>
      </c>
      <c r="AI194" s="351">
        <v>0</v>
      </c>
      <c r="AJ194" s="331">
        <f t="shared" si="187"/>
        <v>0</v>
      </c>
    </row>
    <row r="195" spans="1:37" ht="127.5">
      <c r="A195" s="360" t="s">
        <v>96</v>
      </c>
      <c r="B195" s="361" t="s">
        <v>1261</v>
      </c>
      <c r="C195" s="362" t="s">
        <v>635</v>
      </c>
      <c r="D195" s="362" t="s">
        <v>1237</v>
      </c>
      <c r="E195" s="362" t="s">
        <v>1237</v>
      </c>
      <c r="F195" s="362" t="s">
        <v>1262</v>
      </c>
      <c r="G195" s="363">
        <v>16188733.109999999</v>
      </c>
      <c r="H195" s="363">
        <v>0</v>
      </c>
      <c r="I195" s="363">
        <v>16188733.109999999</v>
      </c>
      <c r="J195" s="346">
        <v>0</v>
      </c>
      <c r="K195" s="346">
        <v>0</v>
      </c>
      <c r="L195" s="347">
        <v>4705475</v>
      </c>
      <c r="M195" s="347">
        <v>7319176</v>
      </c>
      <c r="N195" s="347">
        <v>4014264</v>
      </c>
      <c r="O195" s="346">
        <v>0</v>
      </c>
      <c r="P195" s="346">
        <v>0</v>
      </c>
      <c r="Q195" s="346">
        <v>149818</v>
      </c>
      <c r="R195" s="346">
        <f t="shared" si="158"/>
        <v>16188733</v>
      </c>
      <c r="S195" s="344"/>
      <c r="T195" s="325">
        <f t="shared" si="160"/>
        <v>0.10999999940395355</v>
      </c>
      <c r="U195" s="364">
        <v>0</v>
      </c>
      <c r="V195" s="365">
        <f t="shared" si="174"/>
        <v>0</v>
      </c>
      <c r="W195" s="398" t="e">
        <f t="shared" si="175"/>
        <v>#DIV/0!</v>
      </c>
      <c r="Y195" s="351">
        <v>149820</v>
      </c>
      <c r="Z195" s="351">
        <v>0</v>
      </c>
      <c r="AA195" s="351">
        <v>0</v>
      </c>
      <c r="AB195" s="366">
        <f t="shared" si="184"/>
        <v>0</v>
      </c>
      <c r="AC195" s="366">
        <f t="shared" si="185"/>
        <v>0</v>
      </c>
      <c r="AD195" s="367" t="e">
        <f t="shared" si="177"/>
        <v>#DIV/0!</v>
      </c>
      <c r="AF195" s="325">
        <f t="shared" si="159"/>
        <v>149820</v>
      </c>
      <c r="AI195" s="351">
        <v>149820</v>
      </c>
      <c r="AJ195" s="331">
        <f t="shared" si="187"/>
        <v>149820</v>
      </c>
    </row>
    <row r="196" spans="1:37" ht="127.5">
      <c r="A196" s="360" t="s">
        <v>791</v>
      </c>
      <c r="B196" s="361" t="s">
        <v>1263</v>
      </c>
      <c r="C196" s="362" t="s">
        <v>635</v>
      </c>
      <c r="D196" s="362" t="s">
        <v>1237</v>
      </c>
      <c r="E196" s="362" t="s">
        <v>1237</v>
      </c>
      <c r="F196" s="362"/>
      <c r="G196" s="363">
        <f>G197+G198</f>
        <v>0</v>
      </c>
      <c r="H196" s="363">
        <f t="shared" ref="H196:Q196" si="234">H197+H198</f>
        <v>0</v>
      </c>
      <c r="I196" s="363">
        <f t="shared" si="234"/>
        <v>0</v>
      </c>
      <c r="J196" s="363">
        <f t="shared" si="234"/>
        <v>0</v>
      </c>
      <c r="K196" s="363">
        <f t="shared" si="234"/>
        <v>0</v>
      </c>
      <c r="L196" s="363">
        <f t="shared" si="234"/>
        <v>0</v>
      </c>
      <c r="M196" s="363">
        <f t="shared" si="234"/>
        <v>0</v>
      </c>
      <c r="N196" s="363">
        <f t="shared" si="234"/>
        <v>0</v>
      </c>
      <c r="O196" s="363">
        <f t="shared" si="234"/>
        <v>0</v>
      </c>
      <c r="P196" s="363">
        <f t="shared" si="234"/>
        <v>0</v>
      </c>
      <c r="Q196" s="363">
        <f t="shared" si="234"/>
        <v>0</v>
      </c>
      <c r="R196" s="346">
        <f t="shared" si="158"/>
        <v>0</v>
      </c>
      <c r="S196" s="344"/>
      <c r="T196" s="325">
        <f t="shared" si="160"/>
        <v>0</v>
      </c>
      <c r="U196" s="364">
        <f>U197+U198</f>
        <v>0</v>
      </c>
      <c r="V196" s="365">
        <f t="shared" si="174"/>
        <v>0</v>
      </c>
      <c r="W196" s="398" t="e">
        <f t="shared" si="175"/>
        <v>#DIV/0!</v>
      </c>
      <c r="Y196" s="363">
        <f t="shared" ref="Y196:AA196" si="235">Y197+Y198</f>
        <v>0</v>
      </c>
      <c r="Z196" s="363">
        <f t="shared" si="235"/>
        <v>0</v>
      </c>
      <c r="AA196" s="363">
        <f t="shared" si="235"/>
        <v>0</v>
      </c>
      <c r="AB196" s="366" t="e">
        <f t="shared" si="184"/>
        <v>#DIV/0!</v>
      </c>
      <c r="AC196" s="366" t="e">
        <f t="shared" si="185"/>
        <v>#DIV/0!</v>
      </c>
      <c r="AD196" s="367" t="e">
        <f t="shared" si="177"/>
        <v>#DIV/0!</v>
      </c>
      <c r="AF196" s="325">
        <f t="shared" si="159"/>
        <v>0</v>
      </c>
      <c r="AI196" s="363">
        <f t="shared" ref="AI196" si="236">AI197+AI198</f>
        <v>0</v>
      </c>
      <c r="AJ196" s="331">
        <f t="shared" si="187"/>
        <v>0</v>
      </c>
    </row>
    <row r="197" spans="1:37" ht="89.25">
      <c r="A197" s="360" t="s">
        <v>97</v>
      </c>
      <c r="B197" s="372" t="s">
        <v>1264</v>
      </c>
      <c r="C197" s="362" t="s">
        <v>635</v>
      </c>
      <c r="D197" s="362" t="s">
        <v>1237</v>
      </c>
      <c r="E197" s="362" t="s">
        <v>1237</v>
      </c>
      <c r="F197" s="362" t="s">
        <v>1028</v>
      </c>
      <c r="G197" s="363">
        <v>0</v>
      </c>
      <c r="H197" s="363">
        <v>0</v>
      </c>
      <c r="I197" s="363">
        <v>0</v>
      </c>
      <c r="J197" s="346">
        <v>0</v>
      </c>
      <c r="K197" s="346">
        <v>0</v>
      </c>
      <c r="L197" s="347">
        <v>0</v>
      </c>
      <c r="M197" s="347">
        <v>0</v>
      </c>
      <c r="N197" s="347">
        <v>0</v>
      </c>
      <c r="O197" s="346">
        <v>0</v>
      </c>
      <c r="P197" s="346">
        <v>0</v>
      </c>
      <c r="Q197" s="346">
        <v>0</v>
      </c>
      <c r="R197" s="346">
        <f t="shared" si="158"/>
        <v>0</v>
      </c>
      <c r="S197" s="344"/>
      <c r="T197" s="325">
        <f t="shared" si="160"/>
        <v>0</v>
      </c>
      <c r="U197" s="364">
        <v>0</v>
      </c>
      <c r="V197" s="365">
        <f t="shared" si="174"/>
        <v>0</v>
      </c>
      <c r="W197" s="398" t="e">
        <f t="shared" si="175"/>
        <v>#DIV/0!</v>
      </c>
      <c r="Y197" s="351">
        <v>0</v>
      </c>
      <c r="Z197" s="351">
        <v>0</v>
      </c>
      <c r="AA197" s="351">
        <v>0</v>
      </c>
      <c r="AB197" s="366" t="e">
        <f t="shared" si="184"/>
        <v>#DIV/0!</v>
      </c>
      <c r="AC197" s="366" t="e">
        <f t="shared" si="185"/>
        <v>#DIV/0!</v>
      </c>
      <c r="AD197" s="367" t="e">
        <f t="shared" si="177"/>
        <v>#DIV/0!</v>
      </c>
      <c r="AF197" s="325">
        <f t="shared" si="159"/>
        <v>0</v>
      </c>
      <c r="AI197" s="351">
        <v>0</v>
      </c>
      <c r="AJ197" s="331">
        <f t="shared" si="187"/>
        <v>0</v>
      </c>
    </row>
    <row r="198" spans="1:37" ht="51">
      <c r="A198" s="360" t="s">
        <v>98</v>
      </c>
      <c r="B198" s="372" t="s">
        <v>1265</v>
      </c>
      <c r="C198" s="362" t="s">
        <v>635</v>
      </c>
      <c r="D198" s="362" t="s">
        <v>1237</v>
      </c>
      <c r="E198" s="362" t="s">
        <v>1237</v>
      </c>
      <c r="F198" s="362" t="s">
        <v>1028</v>
      </c>
      <c r="G198" s="363">
        <v>0</v>
      </c>
      <c r="H198" s="363">
        <v>0</v>
      </c>
      <c r="I198" s="363">
        <v>0</v>
      </c>
      <c r="J198" s="346">
        <v>0</v>
      </c>
      <c r="K198" s="346">
        <v>0</v>
      </c>
      <c r="L198" s="347">
        <v>0</v>
      </c>
      <c r="M198" s="347">
        <v>0</v>
      </c>
      <c r="N198" s="347">
        <v>0</v>
      </c>
      <c r="O198" s="346">
        <v>0</v>
      </c>
      <c r="P198" s="346">
        <v>0</v>
      </c>
      <c r="Q198" s="346">
        <v>0</v>
      </c>
      <c r="R198" s="346">
        <f t="shared" si="158"/>
        <v>0</v>
      </c>
      <c r="S198" s="344"/>
      <c r="T198" s="325">
        <f t="shared" si="160"/>
        <v>0</v>
      </c>
      <c r="U198" s="364">
        <v>0</v>
      </c>
      <c r="V198" s="365">
        <f t="shared" si="174"/>
        <v>0</v>
      </c>
      <c r="W198" s="398" t="e">
        <f t="shared" si="175"/>
        <v>#DIV/0!</v>
      </c>
      <c r="Y198" s="351">
        <v>0</v>
      </c>
      <c r="Z198" s="351">
        <v>0</v>
      </c>
      <c r="AA198" s="351">
        <v>0</v>
      </c>
      <c r="AB198" s="366" t="e">
        <f t="shared" si="184"/>
        <v>#DIV/0!</v>
      </c>
      <c r="AC198" s="366" t="e">
        <f t="shared" si="185"/>
        <v>#DIV/0!</v>
      </c>
      <c r="AD198" s="367" t="e">
        <f t="shared" si="177"/>
        <v>#DIV/0!</v>
      </c>
      <c r="AF198" s="325">
        <f t="shared" si="159"/>
        <v>0</v>
      </c>
      <c r="AI198" s="351">
        <v>0</v>
      </c>
      <c r="AJ198" s="331">
        <f t="shared" si="187"/>
        <v>0</v>
      </c>
    </row>
    <row r="199" spans="1:37" ht="102">
      <c r="A199" s="321" t="s">
        <v>795</v>
      </c>
      <c r="B199" s="359" t="s">
        <v>1266</v>
      </c>
      <c r="C199" s="341" t="s">
        <v>1173</v>
      </c>
      <c r="D199" s="341" t="s">
        <v>1237</v>
      </c>
      <c r="E199" s="341"/>
      <c r="F199" s="341"/>
      <c r="G199" s="370">
        <f>G200+G207</f>
        <v>651027786.54999995</v>
      </c>
      <c r="H199" s="370">
        <f t="shared" ref="H199:Q199" si="237">H200+H207</f>
        <v>35044118</v>
      </c>
      <c r="I199" s="370">
        <f t="shared" si="237"/>
        <v>686071904.54999995</v>
      </c>
      <c r="J199" s="370">
        <f t="shared" si="237"/>
        <v>233832749.59</v>
      </c>
      <c r="K199" s="370">
        <f t="shared" si="237"/>
        <v>60594264</v>
      </c>
      <c r="L199" s="370">
        <f t="shared" si="237"/>
        <v>116506251</v>
      </c>
      <c r="M199" s="370">
        <f t="shared" si="237"/>
        <v>73003412</v>
      </c>
      <c r="N199" s="370">
        <f t="shared" si="237"/>
        <v>28568614</v>
      </c>
      <c r="O199" s="370">
        <f t="shared" si="237"/>
        <v>3423957</v>
      </c>
      <c r="P199" s="370">
        <f t="shared" si="237"/>
        <v>81674464.450000003</v>
      </c>
      <c r="Q199" s="370">
        <f t="shared" si="237"/>
        <v>90779759.469999999</v>
      </c>
      <c r="R199" s="346">
        <f t="shared" ref="R199:R254" si="238">J199+K199+L199+M199+N199+O199+P199+Q199</f>
        <v>688383471.51000011</v>
      </c>
      <c r="S199" s="344"/>
      <c r="T199" s="325">
        <f t="shared" si="160"/>
        <v>-2311566.9600001574</v>
      </c>
      <c r="U199" s="326">
        <f>U200+U207</f>
        <v>130628518</v>
      </c>
      <c r="V199" s="326">
        <f t="shared" si="174"/>
        <v>70034254</v>
      </c>
      <c r="W199" s="327">
        <f t="shared" si="175"/>
        <v>0.46386704012059604</v>
      </c>
      <c r="Y199" s="370">
        <f t="shared" ref="Y199:AA199" si="239">Y200+Y207</f>
        <v>98462382</v>
      </c>
      <c r="Z199" s="370">
        <f t="shared" si="239"/>
        <v>65568291</v>
      </c>
      <c r="AA199" s="370">
        <f t="shared" si="239"/>
        <v>65568281.890000001</v>
      </c>
      <c r="AB199" s="345">
        <f t="shared" si="184"/>
        <v>0.66592215786532571</v>
      </c>
      <c r="AC199" s="345">
        <f t="shared" si="185"/>
        <v>0.6154052214580793</v>
      </c>
      <c r="AD199" s="342">
        <f t="shared" si="177"/>
        <v>1.0156161579159135E-8</v>
      </c>
      <c r="AF199" s="325">
        <f t="shared" ref="AF199:AF254" si="240">Y199-K199</f>
        <v>37868118</v>
      </c>
      <c r="AI199" s="370">
        <f t="shared" ref="AI199" si="241">AI200+AI207</f>
        <v>100773951</v>
      </c>
      <c r="AJ199" s="331">
        <f t="shared" si="187"/>
        <v>40179687</v>
      </c>
    </row>
    <row r="200" spans="1:37" ht="89.25">
      <c r="A200" s="321" t="s">
        <v>797</v>
      </c>
      <c r="B200" s="359" t="s">
        <v>1267</v>
      </c>
      <c r="C200" s="341" t="s">
        <v>1173</v>
      </c>
      <c r="D200" s="341" t="s">
        <v>1237</v>
      </c>
      <c r="E200" s="341"/>
      <c r="F200" s="341"/>
      <c r="G200" s="370">
        <f>G201+G202+G203+G204+G205+G206</f>
        <v>550948496.54999995</v>
      </c>
      <c r="H200" s="370">
        <f t="shared" ref="H200:Q200" si="242">H201+H202+H203+H204+H205+H206</f>
        <v>35044118</v>
      </c>
      <c r="I200" s="370">
        <f t="shared" si="242"/>
        <v>585992614.54999995</v>
      </c>
      <c r="J200" s="370">
        <f t="shared" si="242"/>
        <v>211557913.59</v>
      </c>
      <c r="K200" s="370">
        <f t="shared" si="242"/>
        <v>82869100</v>
      </c>
      <c r="L200" s="370">
        <f t="shared" si="242"/>
        <v>116506251</v>
      </c>
      <c r="M200" s="370">
        <f t="shared" si="242"/>
        <v>73003412</v>
      </c>
      <c r="N200" s="370">
        <f t="shared" si="242"/>
        <v>28568614</v>
      </c>
      <c r="O200" s="370">
        <f t="shared" si="242"/>
        <v>3423957</v>
      </c>
      <c r="P200" s="370">
        <f t="shared" si="242"/>
        <v>51650677.450000003</v>
      </c>
      <c r="Q200" s="370">
        <f t="shared" si="242"/>
        <v>20724256.469999999</v>
      </c>
      <c r="R200" s="346">
        <f t="shared" si="238"/>
        <v>588304181.51000011</v>
      </c>
      <c r="S200" s="344"/>
      <c r="T200" s="325">
        <f t="shared" ref="T200:T254" si="243">I200-R200</f>
        <v>-2311566.9600001574</v>
      </c>
      <c r="U200" s="424">
        <f>U201+U202+U203+U204+U205+U206</f>
        <v>128979855</v>
      </c>
      <c r="V200" s="388">
        <f t="shared" si="174"/>
        <v>46110755</v>
      </c>
      <c r="W200" s="327">
        <f t="shared" si="175"/>
        <v>0.64249645807091349</v>
      </c>
      <c r="Y200" s="370">
        <f t="shared" ref="Y200:AA200" si="244">Y201+Y202+Y203+Y204+Y205+Y206</f>
        <v>98462382</v>
      </c>
      <c r="Z200" s="370">
        <f t="shared" si="244"/>
        <v>65568291</v>
      </c>
      <c r="AA200" s="370">
        <f t="shared" si="244"/>
        <v>65568281.890000001</v>
      </c>
      <c r="AB200" s="371">
        <f t="shared" si="184"/>
        <v>0.66592215786532571</v>
      </c>
      <c r="AC200" s="345">
        <f t="shared" si="185"/>
        <v>0.84163208645510934</v>
      </c>
      <c r="AD200" s="322">
        <f t="shared" si="177"/>
        <v>1.0156161579159135E-8</v>
      </c>
      <c r="AF200" s="325">
        <f t="shared" si="240"/>
        <v>15593282</v>
      </c>
      <c r="AI200" s="370">
        <f t="shared" ref="AI200" si="245">AI201+AI202+AI203+AI204+AI205+AI206</f>
        <v>100773951</v>
      </c>
      <c r="AJ200" s="331">
        <f t="shared" si="187"/>
        <v>17904851</v>
      </c>
    </row>
    <row r="201" spans="1:37" ht="41.25">
      <c r="A201" s="360" t="s">
        <v>127</v>
      </c>
      <c r="B201" s="361" t="s">
        <v>1268</v>
      </c>
      <c r="C201" s="362" t="s">
        <v>1173</v>
      </c>
      <c r="D201" s="362" t="s">
        <v>1237</v>
      </c>
      <c r="E201" s="362" t="s">
        <v>1237</v>
      </c>
      <c r="F201" s="362" t="s">
        <v>1028</v>
      </c>
      <c r="G201" s="363">
        <v>254987851.5</v>
      </c>
      <c r="H201" s="363">
        <v>35044118</v>
      </c>
      <c r="I201" s="363">
        <f>G201+H201</f>
        <v>290031969.5</v>
      </c>
      <c r="J201" s="346">
        <v>114160908.06999999</v>
      </c>
      <c r="K201" s="423">
        <v>54926609</v>
      </c>
      <c r="L201" s="347">
        <v>55659048</v>
      </c>
      <c r="M201" s="347">
        <v>15249320</v>
      </c>
      <c r="N201" s="347">
        <v>1839429</v>
      </c>
      <c r="O201" s="423">
        <v>0</v>
      </c>
      <c r="P201" s="423">
        <v>41140923</v>
      </c>
      <c r="Q201" s="425">
        <v>7055732</v>
      </c>
      <c r="R201" s="346">
        <f t="shared" si="238"/>
        <v>290031969.06999999</v>
      </c>
      <c r="S201" s="344"/>
      <c r="T201" s="325">
        <f>I201-R201</f>
        <v>0.43000000715255737</v>
      </c>
      <c r="U201" s="426">
        <v>62026786</v>
      </c>
      <c r="V201" s="365">
        <f t="shared" si="174"/>
        <v>7100177</v>
      </c>
      <c r="W201" s="398">
        <f t="shared" si="175"/>
        <v>0.88553047065827339</v>
      </c>
      <c r="Y201" s="351">
        <v>48577508</v>
      </c>
      <c r="Z201" s="351">
        <v>48404348</v>
      </c>
      <c r="AA201" s="351">
        <v>48404342.93</v>
      </c>
      <c r="AB201" s="366">
        <f t="shared" si="184"/>
        <v>0.99643528297087613</v>
      </c>
      <c r="AC201" s="366">
        <f t="shared" si="185"/>
        <v>1.1307004262137119</v>
      </c>
      <c r="AD201" s="367">
        <f t="shared" si="177"/>
        <v>2.0585656540004964E-8</v>
      </c>
      <c r="AF201" s="325">
        <f t="shared" si="240"/>
        <v>-6349101</v>
      </c>
      <c r="AI201" s="351">
        <v>48577508</v>
      </c>
      <c r="AJ201" s="331">
        <f t="shared" si="187"/>
        <v>-6349101</v>
      </c>
    </row>
    <row r="202" spans="1:37" ht="114.75">
      <c r="A202" s="360" t="s">
        <v>128</v>
      </c>
      <c r="B202" s="361" t="s">
        <v>1269</v>
      </c>
      <c r="C202" s="362" t="s">
        <v>1173</v>
      </c>
      <c r="D202" s="362" t="s">
        <v>1237</v>
      </c>
      <c r="E202" s="362" t="s">
        <v>1237</v>
      </c>
      <c r="F202" s="362" t="s">
        <v>1038</v>
      </c>
      <c r="G202" s="363">
        <v>96531521.650000006</v>
      </c>
      <c r="H202" s="363">
        <v>0</v>
      </c>
      <c r="I202" s="363">
        <v>96531521.650000006</v>
      </c>
      <c r="J202" s="346">
        <v>35761039.530000001</v>
      </c>
      <c r="K202" s="423">
        <v>14896157</v>
      </c>
      <c r="L202" s="347">
        <v>19540584</v>
      </c>
      <c r="M202" s="347">
        <v>11422032</v>
      </c>
      <c r="N202" s="347">
        <v>11300935</v>
      </c>
      <c r="O202" s="423">
        <v>0</v>
      </c>
      <c r="P202" s="423">
        <v>3610774</v>
      </c>
      <c r="Q202" s="423">
        <v>0</v>
      </c>
      <c r="R202" s="346">
        <f t="shared" si="238"/>
        <v>96531521.530000001</v>
      </c>
      <c r="S202" s="344"/>
      <c r="T202" s="325">
        <f t="shared" si="243"/>
        <v>0.12000000476837158</v>
      </c>
      <c r="U202" s="416">
        <v>20883043</v>
      </c>
      <c r="V202" s="365">
        <f t="shared" si="174"/>
        <v>5986886</v>
      </c>
      <c r="W202" s="398">
        <f t="shared" si="175"/>
        <v>0.71331352427900474</v>
      </c>
      <c r="Y202" s="351">
        <v>17498803</v>
      </c>
      <c r="Z202" s="351">
        <v>11077535</v>
      </c>
      <c r="AA202" s="351">
        <v>11077533.789999999</v>
      </c>
      <c r="AB202" s="366">
        <f t="shared" si="184"/>
        <v>0.63304523115095357</v>
      </c>
      <c r="AC202" s="366">
        <f t="shared" si="185"/>
        <v>0.8512671981049218</v>
      </c>
      <c r="AD202" s="367">
        <f t="shared" si="177"/>
        <v>5.7146759739504644E-8</v>
      </c>
      <c r="AF202" s="325">
        <f t="shared" si="240"/>
        <v>2602646</v>
      </c>
      <c r="AI202" s="351">
        <v>17498803</v>
      </c>
      <c r="AJ202" s="331">
        <f t="shared" si="187"/>
        <v>2602646</v>
      </c>
    </row>
    <row r="203" spans="1:37" ht="63.75">
      <c r="A203" s="360" t="s">
        <v>129</v>
      </c>
      <c r="B203" s="361" t="s">
        <v>1270</v>
      </c>
      <c r="C203" s="362" t="s">
        <v>1173</v>
      </c>
      <c r="D203" s="362" t="s">
        <v>1237</v>
      </c>
      <c r="E203" s="362" t="s">
        <v>1237</v>
      </c>
      <c r="F203" s="362" t="s">
        <v>1271</v>
      </c>
      <c r="G203" s="363">
        <v>118878926.92999999</v>
      </c>
      <c r="H203" s="363">
        <v>0</v>
      </c>
      <c r="I203" s="363">
        <v>118878926.92999999</v>
      </c>
      <c r="J203" s="346">
        <v>43075956.149999999</v>
      </c>
      <c r="K203" s="423">
        <v>7580435</v>
      </c>
      <c r="L203" s="347">
        <v>26828829</v>
      </c>
      <c r="M203" s="347">
        <v>20633308</v>
      </c>
      <c r="N203" s="347">
        <v>4926019</v>
      </c>
      <c r="O203" s="423">
        <v>0</v>
      </c>
      <c r="P203" s="423">
        <v>4750314</v>
      </c>
      <c r="Q203" s="423">
        <v>11084066</v>
      </c>
      <c r="R203" s="346">
        <f t="shared" si="238"/>
        <v>118878927.15000001</v>
      </c>
      <c r="S203" s="344"/>
      <c r="T203" s="325">
        <f t="shared" si="243"/>
        <v>-0.2200000137090683</v>
      </c>
      <c r="U203" s="416">
        <v>30614334</v>
      </c>
      <c r="V203" s="365">
        <f t="shared" si="174"/>
        <v>23033899</v>
      </c>
      <c r="W203" s="398">
        <f t="shared" si="175"/>
        <v>0.24761064539244917</v>
      </c>
      <c r="Y203" s="351">
        <v>29231740</v>
      </c>
      <c r="Z203" s="351">
        <v>4923045</v>
      </c>
      <c r="AA203" s="351">
        <v>4923043.87</v>
      </c>
      <c r="AB203" s="366">
        <f t="shared" si="184"/>
        <v>0.16841432873992448</v>
      </c>
      <c r="AC203" s="366">
        <f t="shared" si="185"/>
        <v>0.25932205883057252</v>
      </c>
      <c r="AD203" s="367">
        <f t="shared" si="177"/>
        <v>3.4209382351760847E-8</v>
      </c>
      <c r="AF203" s="325">
        <f t="shared" si="240"/>
        <v>21651305</v>
      </c>
      <c r="AG203" s="305">
        <v>21651305</v>
      </c>
      <c r="AI203" s="351">
        <v>29231740</v>
      </c>
      <c r="AJ203" s="331">
        <f t="shared" si="187"/>
        <v>21651305</v>
      </c>
      <c r="AK203" s="305">
        <v>21651305</v>
      </c>
    </row>
    <row r="204" spans="1:37" ht="38.25">
      <c r="A204" s="360" t="s">
        <v>130</v>
      </c>
      <c r="B204" s="361" t="s">
        <v>1272</v>
      </c>
      <c r="C204" s="362" t="s">
        <v>1173</v>
      </c>
      <c r="D204" s="362" t="s">
        <v>1237</v>
      </c>
      <c r="E204" s="362" t="s">
        <v>1237</v>
      </c>
      <c r="F204" s="362" t="s">
        <v>1273</v>
      </c>
      <c r="G204" s="363">
        <v>45423588</v>
      </c>
      <c r="H204" s="363">
        <v>0</v>
      </c>
      <c r="I204" s="363">
        <v>45423588</v>
      </c>
      <c r="J204" s="346">
        <v>148141.29</v>
      </c>
      <c r="K204" s="423">
        <v>2241879</v>
      </c>
      <c r="L204" s="347">
        <v>9668676</v>
      </c>
      <c r="M204" s="347">
        <v>21271087</v>
      </c>
      <c r="N204" s="347">
        <v>7734941</v>
      </c>
      <c r="O204" s="423">
        <v>4358864</v>
      </c>
      <c r="P204" s="423">
        <v>0</v>
      </c>
      <c r="Q204" s="423">
        <v>0</v>
      </c>
      <c r="R204" s="346">
        <f t="shared" si="238"/>
        <v>45423588.289999999</v>
      </c>
      <c r="S204" s="344"/>
      <c r="T204" s="325">
        <f t="shared" si="243"/>
        <v>-0.28999999910593033</v>
      </c>
      <c r="U204" s="385">
        <v>12545402</v>
      </c>
      <c r="V204" s="365">
        <f t="shared" si="174"/>
        <v>10303523</v>
      </c>
      <c r="W204" s="398">
        <f t="shared" si="175"/>
        <v>0.17870124847334506</v>
      </c>
      <c r="Y204" s="351">
        <v>2241879</v>
      </c>
      <c r="Z204" s="351">
        <v>250911</v>
      </c>
      <c r="AA204" s="351">
        <v>250909.67</v>
      </c>
      <c r="AB204" s="366">
        <f t="shared" si="184"/>
        <v>0.11191936317704926</v>
      </c>
      <c r="AC204" s="366">
        <f t="shared" si="185"/>
        <v>1</v>
      </c>
      <c r="AD204" s="367">
        <f t="shared" si="177"/>
        <v>4.4605203907779753E-7</v>
      </c>
      <c r="AF204" s="325">
        <f t="shared" si="240"/>
        <v>0</v>
      </c>
      <c r="AI204" s="351">
        <v>2241879</v>
      </c>
      <c r="AJ204" s="331">
        <f t="shared" si="187"/>
        <v>0</v>
      </c>
    </row>
    <row r="205" spans="1:37" ht="51">
      <c r="A205" s="360" t="s">
        <v>131</v>
      </c>
      <c r="B205" s="361" t="s">
        <v>1274</v>
      </c>
      <c r="C205" s="362" t="s">
        <v>1173</v>
      </c>
      <c r="D205" s="362" t="s">
        <v>1237</v>
      </c>
      <c r="E205" s="362" t="s">
        <v>1237</v>
      </c>
      <c r="F205" s="362" t="s">
        <v>1275</v>
      </c>
      <c r="G205" s="363">
        <v>24057445.469999999</v>
      </c>
      <c r="H205" s="363">
        <v>0</v>
      </c>
      <c r="I205" s="363">
        <v>24057445.469999999</v>
      </c>
      <c r="J205" s="346">
        <v>18411868.550000001</v>
      </c>
      <c r="K205" s="423">
        <v>912452</v>
      </c>
      <c r="L205" s="347">
        <v>934907</v>
      </c>
      <c r="M205" s="347">
        <v>0</v>
      </c>
      <c r="N205" s="347">
        <v>0</v>
      </c>
      <c r="O205" s="423">
        <v>-934907</v>
      </c>
      <c r="P205" s="423">
        <v>2148666.4499999993</v>
      </c>
      <c r="Q205" s="423">
        <v>2584458.4699999988</v>
      </c>
      <c r="R205" s="346">
        <f t="shared" si="238"/>
        <v>24057445.469999999</v>
      </c>
      <c r="S205" s="344"/>
      <c r="T205" s="325">
        <f t="shared" si="243"/>
        <v>0</v>
      </c>
      <c r="U205" s="402">
        <v>2910290</v>
      </c>
      <c r="V205" s="365">
        <f t="shared" si="174"/>
        <v>1997838</v>
      </c>
      <c r="W205" s="398">
        <f t="shared" si="175"/>
        <v>0.31352614344274971</v>
      </c>
      <c r="Y205" s="351">
        <v>912452</v>
      </c>
      <c r="Z205" s="351">
        <v>912452</v>
      </c>
      <c r="AA205" s="351">
        <v>912451.63</v>
      </c>
      <c r="AB205" s="366">
        <f t="shared" si="184"/>
        <v>0.99999959449921749</v>
      </c>
      <c r="AC205" s="366">
        <f t="shared" si="185"/>
        <v>1</v>
      </c>
      <c r="AD205" s="367">
        <f t="shared" si="177"/>
        <v>1.095947616421705E-6</v>
      </c>
      <c r="AF205" s="325">
        <f t="shared" si="240"/>
        <v>0</v>
      </c>
      <c r="AG205" s="305">
        <v>0</v>
      </c>
      <c r="AI205" s="351">
        <v>912452</v>
      </c>
      <c r="AJ205" s="331">
        <f t="shared" si="187"/>
        <v>0</v>
      </c>
      <c r="AK205" s="305">
        <v>0</v>
      </c>
    </row>
    <row r="206" spans="1:37" ht="127.5">
      <c r="A206" s="360" t="s">
        <v>139</v>
      </c>
      <c r="B206" s="361" t="s">
        <v>1276</v>
      </c>
      <c r="C206" s="362" t="s">
        <v>1173</v>
      </c>
      <c r="D206" s="362" t="s">
        <v>1072</v>
      </c>
      <c r="E206" s="362"/>
      <c r="F206" s="362"/>
      <c r="G206" s="363">
        <v>11069163</v>
      </c>
      <c r="H206" s="363">
        <v>0</v>
      </c>
      <c r="I206" s="363">
        <v>11069163</v>
      </c>
      <c r="J206" s="346">
        <v>0</v>
      </c>
      <c r="K206" s="423">
        <v>2311568</v>
      </c>
      <c r="L206" s="347">
        <v>3874207</v>
      </c>
      <c r="M206" s="347">
        <v>4427665</v>
      </c>
      <c r="N206" s="347">
        <v>2767290</v>
      </c>
      <c r="O206" s="423">
        <v>0</v>
      </c>
      <c r="P206" s="423">
        <v>0</v>
      </c>
      <c r="Q206" s="423">
        <v>0</v>
      </c>
      <c r="R206" s="346">
        <f t="shared" si="238"/>
        <v>13380730</v>
      </c>
      <c r="S206" s="344" t="s">
        <v>1277</v>
      </c>
      <c r="T206" s="325">
        <f t="shared" si="243"/>
        <v>-2311567</v>
      </c>
      <c r="U206" s="402">
        <v>0</v>
      </c>
      <c r="V206" s="365">
        <f t="shared" si="174"/>
        <v>-2311568</v>
      </c>
      <c r="W206" s="398" t="e">
        <f t="shared" si="175"/>
        <v>#DIV/0!</v>
      </c>
      <c r="Y206" s="351">
        <v>0</v>
      </c>
      <c r="Z206" s="351">
        <v>0</v>
      </c>
      <c r="AA206" s="351">
        <v>0</v>
      </c>
      <c r="AB206" s="366" t="e">
        <f t="shared" si="184"/>
        <v>#DIV/0!</v>
      </c>
      <c r="AC206" s="366" t="e">
        <f t="shared" si="185"/>
        <v>#DIV/0!</v>
      </c>
      <c r="AD206" s="367" t="e">
        <f t="shared" si="177"/>
        <v>#DIV/0!</v>
      </c>
      <c r="AF206" s="325">
        <f t="shared" si="240"/>
        <v>-2311568</v>
      </c>
      <c r="AI206" s="351">
        <f>0+2213833+97736</f>
        <v>2311569</v>
      </c>
      <c r="AJ206" s="331">
        <f t="shared" si="187"/>
        <v>1</v>
      </c>
    </row>
    <row r="207" spans="1:37" ht="63.75">
      <c r="A207" s="321" t="s">
        <v>805</v>
      </c>
      <c r="B207" s="359" t="s">
        <v>1278</v>
      </c>
      <c r="C207" s="341" t="s">
        <v>1173</v>
      </c>
      <c r="D207" s="341" t="s">
        <v>1237</v>
      </c>
      <c r="E207" s="341"/>
      <c r="F207" s="341"/>
      <c r="G207" s="370">
        <f>G208</f>
        <v>100079290</v>
      </c>
      <c r="H207" s="370">
        <f t="shared" ref="H207:Q207" si="246">H208</f>
        <v>0</v>
      </c>
      <c r="I207" s="370">
        <f t="shared" si="246"/>
        <v>100079290</v>
      </c>
      <c r="J207" s="370">
        <f t="shared" si="246"/>
        <v>22274836</v>
      </c>
      <c r="K207" s="370">
        <f t="shared" si="246"/>
        <v>-22274836</v>
      </c>
      <c r="L207" s="370">
        <f t="shared" si="246"/>
        <v>0</v>
      </c>
      <c r="M207" s="370">
        <f t="shared" si="246"/>
        <v>0</v>
      </c>
      <c r="N207" s="370">
        <f t="shared" si="246"/>
        <v>0</v>
      </c>
      <c r="O207" s="370">
        <f t="shared" si="246"/>
        <v>0</v>
      </c>
      <c r="P207" s="370">
        <f t="shared" si="246"/>
        <v>30023787</v>
      </c>
      <c r="Q207" s="370">
        <f t="shared" si="246"/>
        <v>70055503</v>
      </c>
      <c r="R207" s="346">
        <f t="shared" si="238"/>
        <v>100079290</v>
      </c>
      <c r="S207" s="344"/>
      <c r="T207" s="325">
        <f t="shared" si="243"/>
        <v>0</v>
      </c>
      <c r="U207" s="326">
        <f>U208</f>
        <v>1648663</v>
      </c>
      <c r="V207" s="388">
        <f t="shared" si="174"/>
        <v>23923499</v>
      </c>
      <c r="W207" s="399">
        <f t="shared" si="175"/>
        <v>-13.510848487532018</v>
      </c>
      <c r="Y207" s="370">
        <f t="shared" ref="Y207:AA207" si="247">Y208</f>
        <v>0</v>
      </c>
      <c r="Z207" s="370">
        <f t="shared" si="247"/>
        <v>0</v>
      </c>
      <c r="AA207" s="370">
        <f t="shared" si="247"/>
        <v>0</v>
      </c>
      <c r="AB207" s="371" t="e">
        <f t="shared" si="184"/>
        <v>#DIV/0!</v>
      </c>
      <c r="AC207" s="371" t="e">
        <f t="shared" si="185"/>
        <v>#DIV/0!</v>
      </c>
      <c r="AD207" s="322" t="e">
        <f t="shared" si="177"/>
        <v>#DIV/0!</v>
      </c>
      <c r="AF207" s="325">
        <f t="shared" si="240"/>
        <v>22274836</v>
      </c>
      <c r="AI207" s="370">
        <f t="shared" ref="AI207" si="248">AI208</f>
        <v>0</v>
      </c>
      <c r="AJ207" s="331">
        <f t="shared" si="187"/>
        <v>22274836</v>
      </c>
    </row>
    <row r="208" spans="1:37" ht="51">
      <c r="A208" s="360" t="s">
        <v>132</v>
      </c>
      <c r="B208" s="361" t="s">
        <v>1279</v>
      </c>
      <c r="C208" s="362" t="s">
        <v>1280</v>
      </c>
      <c r="D208" s="362" t="s">
        <v>1237</v>
      </c>
      <c r="E208" s="362" t="s">
        <v>1237</v>
      </c>
      <c r="F208" s="362" t="s">
        <v>1038</v>
      </c>
      <c r="G208" s="363">
        <v>100079290</v>
      </c>
      <c r="H208" s="363">
        <v>0</v>
      </c>
      <c r="I208" s="363">
        <v>100079290</v>
      </c>
      <c r="J208" s="346">
        <v>22274836</v>
      </c>
      <c r="K208" s="423">
        <v>-22274836</v>
      </c>
      <c r="L208" s="347">
        <v>0</v>
      </c>
      <c r="M208" s="347">
        <v>0</v>
      </c>
      <c r="N208" s="347">
        <v>0</v>
      </c>
      <c r="O208" s="423">
        <v>0</v>
      </c>
      <c r="P208" s="383">
        <v>30023787</v>
      </c>
      <c r="Q208" s="383">
        <v>70055503</v>
      </c>
      <c r="R208" s="346">
        <f t="shared" si="238"/>
        <v>100079290</v>
      </c>
      <c r="S208" s="344" t="s">
        <v>1281</v>
      </c>
      <c r="T208" s="325">
        <f t="shared" si="243"/>
        <v>0</v>
      </c>
      <c r="U208" s="364">
        <v>1648663</v>
      </c>
      <c r="V208" s="365">
        <f t="shared" si="174"/>
        <v>23923499</v>
      </c>
      <c r="W208" s="398">
        <f t="shared" si="175"/>
        <v>-13.510848487532018</v>
      </c>
      <c r="Y208" s="351">
        <v>0</v>
      </c>
      <c r="Z208" s="351">
        <v>0</v>
      </c>
      <c r="AA208" s="351">
        <v>0</v>
      </c>
      <c r="AB208" s="366" t="e">
        <f t="shared" si="184"/>
        <v>#DIV/0!</v>
      </c>
      <c r="AC208" s="366" t="e">
        <f t="shared" si="185"/>
        <v>#DIV/0!</v>
      </c>
      <c r="AD208" s="367" t="e">
        <f t="shared" si="177"/>
        <v>#DIV/0!</v>
      </c>
      <c r="AF208" s="325">
        <f t="shared" si="240"/>
        <v>22274836</v>
      </c>
      <c r="AI208" s="351">
        <v>0</v>
      </c>
      <c r="AJ208" s="331">
        <f t="shared" si="187"/>
        <v>22274836</v>
      </c>
    </row>
    <row r="209" spans="1:37" ht="63.75">
      <c r="A209" s="321" t="s">
        <v>809</v>
      </c>
      <c r="B209" s="359" t="s">
        <v>1282</v>
      </c>
      <c r="C209" s="341" t="s">
        <v>635</v>
      </c>
      <c r="D209" s="341"/>
      <c r="E209" s="341"/>
      <c r="F209" s="341"/>
      <c r="G209" s="370">
        <f>G210+G219+G225+G229</f>
        <v>246581121.53999999</v>
      </c>
      <c r="H209" s="370">
        <f t="shared" ref="H209:Q209" si="249">H210+H219+H225+H229</f>
        <v>27000000</v>
      </c>
      <c r="I209" s="370">
        <f t="shared" si="249"/>
        <v>273581121.53999996</v>
      </c>
      <c r="J209" s="370">
        <f t="shared" si="249"/>
        <v>62614395.289999999</v>
      </c>
      <c r="K209" s="370">
        <f t="shared" si="249"/>
        <v>37529333</v>
      </c>
      <c r="L209" s="370">
        <f t="shared" si="249"/>
        <v>30652245</v>
      </c>
      <c r="M209" s="370">
        <f t="shared" si="249"/>
        <v>9498188</v>
      </c>
      <c r="N209" s="370">
        <f t="shared" si="249"/>
        <v>2182566</v>
      </c>
      <c r="O209" s="370">
        <f t="shared" si="249"/>
        <v>14757248</v>
      </c>
      <c r="P209" s="370">
        <f t="shared" si="249"/>
        <v>47025029</v>
      </c>
      <c r="Q209" s="370">
        <f t="shared" si="249"/>
        <v>51113176</v>
      </c>
      <c r="R209" s="346">
        <f t="shared" si="238"/>
        <v>255372180.28999999</v>
      </c>
      <c r="S209" s="344"/>
      <c r="T209" s="325">
        <f t="shared" si="243"/>
        <v>18208941.24999997</v>
      </c>
      <c r="U209" s="393">
        <f>U210+U219+U225+U229</f>
        <v>40651982</v>
      </c>
      <c r="V209" s="326">
        <f t="shared" si="174"/>
        <v>3122649</v>
      </c>
      <c r="W209" s="327">
        <f t="shared" si="175"/>
        <v>0.92318581170285863</v>
      </c>
      <c r="Y209" s="370">
        <f t="shared" ref="Y209:AA209" si="250">Y210+Y219+Y225+Y229</f>
        <v>43450515</v>
      </c>
      <c r="Z209" s="370">
        <f t="shared" si="250"/>
        <v>28355498</v>
      </c>
      <c r="AA209" s="370">
        <f t="shared" si="250"/>
        <v>27171560.699999999</v>
      </c>
      <c r="AB209" s="345">
        <f t="shared" si="184"/>
        <v>0.62534496311493659</v>
      </c>
      <c r="AC209" s="345">
        <f t="shared" si="185"/>
        <v>0.86372584996978752</v>
      </c>
      <c r="AD209" s="342">
        <f t="shared" si="177"/>
        <v>2.2053746441516796E-8</v>
      </c>
      <c r="AF209" s="325">
        <f t="shared" si="240"/>
        <v>5921182</v>
      </c>
      <c r="AI209" s="370">
        <f t="shared" ref="AI209" si="251">AI210+AI219+AI225+AI229</f>
        <v>40399981</v>
      </c>
      <c r="AJ209" s="331">
        <f t="shared" si="187"/>
        <v>2870648</v>
      </c>
    </row>
    <row r="210" spans="1:37" ht="25.5">
      <c r="A210" s="321" t="s">
        <v>811</v>
      </c>
      <c r="B210" s="359" t="s">
        <v>1283</v>
      </c>
      <c r="C210" s="341" t="s">
        <v>635</v>
      </c>
      <c r="D210" s="341" t="s">
        <v>1072</v>
      </c>
      <c r="E210" s="341"/>
      <c r="F210" s="341"/>
      <c r="G210" s="370">
        <f>G211+G212+G213+G214+G215+G218</f>
        <v>149005250</v>
      </c>
      <c r="H210" s="370">
        <f t="shared" ref="H210:Q210" si="252">H211+H212+H213+H214+H215+H218</f>
        <v>0</v>
      </c>
      <c r="I210" s="370">
        <f t="shared" si="252"/>
        <v>149005250</v>
      </c>
      <c r="J210" s="370">
        <f t="shared" si="252"/>
        <v>47469998.209999993</v>
      </c>
      <c r="K210" s="370">
        <f t="shared" si="252"/>
        <v>22935793</v>
      </c>
      <c r="L210" s="370">
        <f t="shared" si="252"/>
        <v>14006451</v>
      </c>
      <c r="M210" s="370">
        <f t="shared" si="252"/>
        <v>5379898</v>
      </c>
      <c r="N210" s="370">
        <f t="shared" si="252"/>
        <v>877244</v>
      </c>
      <c r="O210" s="370">
        <f t="shared" si="252"/>
        <v>7851057</v>
      </c>
      <c r="P210" s="370">
        <f t="shared" si="252"/>
        <v>20263210</v>
      </c>
      <c r="Q210" s="370">
        <f t="shared" si="252"/>
        <v>30332780</v>
      </c>
      <c r="R210" s="346">
        <f t="shared" si="238"/>
        <v>149116431.20999998</v>
      </c>
      <c r="S210" s="344"/>
      <c r="T210" s="325">
        <f t="shared" si="243"/>
        <v>-111181.20999997854</v>
      </c>
      <c r="U210" s="393">
        <f>U211+U212+U213+U214+U215+U218</f>
        <v>18209058</v>
      </c>
      <c r="V210" s="326">
        <f t="shared" si="174"/>
        <v>-4726735</v>
      </c>
      <c r="W210" s="327">
        <f t="shared" si="175"/>
        <v>1.2595815225587177</v>
      </c>
      <c r="Y210" s="370">
        <f t="shared" ref="Y210:AA210" si="253">Y211+Y212+Y213+Y214+Y215+Y218</f>
        <v>26270245</v>
      </c>
      <c r="Z210" s="370">
        <f t="shared" si="253"/>
        <v>17573796</v>
      </c>
      <c r="AA210" s="370">
        <f t="shared" si="253"/>
        <v>17297826.52</v>
      </c>
      <c r="AB210" s="345">
        <f t="shared" si="184"/>
        <v>0.65845699269268332</v>
      </c>
      <c r="AC210" s="345">
        <f t="shared" si="185"/>
        <v>0.87307114950774156</v>
      </c>
      <c r="AD210" s="342">
        <f t="shared" si="177"/>
        <v>3.746811404278753E-8</v>
      </c>
      <c r="AF210" s="325">
        <f t="shared" si="240"/>
        <v>3334452</v>
      </c>
      <c r="AI210" s="370">
        <f t="shared" ref="AI210" si="254">AI211+AI212+AI213+AI214+AI215+AI218</f>
        <v>23219711</v>
      </c>
      <c r="AJ210" s="331">
        <f t="shared" si="187"/>
        <v>283918</v>
      </c>
    </row>
    <row r="211" spans="1:37" ht="76.5">
      <c r="A211" s="360" t="s">
        <v>99</v>
      </c>
      <c r="B211" s="361" t="s">
        <v>1284</v>
      </c>
      <c r="C211" s="362" t="s">
        <v>635</v>
      </c>
      <c r="D211" s="362" t="s">
        <v>1072</v>
      </c>
      <c r="E211" s="362" t="s">
        <v>1202</v>
      </c>
      <c r="F211" s="362" t="s">
        <v>1285</v>
      </c>
      <c r="G211" s="376">
        <v>102955000</v>
      </c>
      <c r="H211" s="363">
        <v>0</v>
      </c>
      <c r="I211" s="376">
        <v>102955000</v>
      </c>
      <c r="J211" s="346">
        <v>37095226.579999998</v>
      </c>
      <c r="K211" s="423">
        <v>16235549</v>
      </c>
      <c r="L211" s="347">
        <v>8253291</v>
      </c>
      <c r="M211" s="347">
        <v>247237</v>
      </c>
      <c r="N211" s="347">
        <v>0</v>
      </c>
      <c r="O211" s="423">
        <v>6387493</v>
      </c>
      <c r="P211" s="423">
        <v>16258127</v>
      </c>
      <c r="Q211" s="423">
        <v>18478076</v>
      </c>
      <c r="R211" s="346">
        <f t="shared" si="238"/>
        <v>102954999.58</v>
      </c>
      <c r="S211" s="344" t="s">
        <v>1286</v>
      </c>
      <c r="T211" s="325">
        <f t="shared" si="243"/>
        <v>0.42000000178813934</v>
      </c>
      <c r="U211" s="416">
        <v>8202547</v>
      </c>
      <c r="V211" s="365">
        <f t="shared" ref="V211:V254" si="255">U211-K211</f>
        <v>-8033002</v>
      </c>
      <c r="W211" s="398">
        <f t="shared" ref="W211:W254" si="256">K211/U211</f>
        <v>1.9793302007291149</v>
      </c>
      <c r="Y211" s="351">
        <v>16200552</v>
      </c>
      <c r="Z211" s="351">
        <v>13472369</v>
      </c>
      <c r="AA211" s="351">
        <v>13196402.130000001</v>
      </c>
      <c r="AB211" s="366">
        <f t="shared" si="184"/>
        <v>0.81456496852699845</v>
      </c>
      <c r="AC211" s="366">
        <f t="shared" si="185"/>
        <v>1.0021602350339667</v>
      </c>
      <c r="AD211" s="367">
        <f t="shared" ref="AD211:AD254" si="257">AB211/Z211</f>
        <v>6.046189564188737E-8</v>
      </c>
      <c r="AF211" s="325">
        <f t="shared" si="240"/>
        <v>-34997</v>
      </c>
      <c r="AG211" s="305">
        <v>-34997</v>
      </c>
      <c r="AI211" s="351">
        <f>16200552+427730</f>
        <v>16628282</v>
      </c>
      <c r="AJ211" s="331">
        <f t="shared" si="187"/>
        <v>392733</v>
      </c>
      <c r="AK211" s="305">
        <v>392733</v>
      </c>
    </row>
    <row r="212" spans="1:37" ht="51">
      <c r="A212" s="360" t="s">
        <v>1287</v>
      </c>
      <c r="B212" s="361" t="s">
        <v>1288</v>
      </c>
      <c r="C212" s="362" t="s">
        <v>635</v>
      </c>
      <c r="D212" s="362" t="s">
        <v>1072</v>
      </c>
      <c r="E212" s="362" t="s">
        <v>1072</v>
      </c>
      <c r="F212" s="362" t="s">
        <v>1182</v>
      </c>
      <c r="G212" s="363">
        <v>0</v>
      </c>
      <c r="H212" s="363">
        <v>0</v>
      </c>
      <c r="I212" s="363">
        <v>0</v>
      </c>
      <c r="J212" s="346">
        <v>0</v>
      </c>
      <c r="K212" s="346">
        <v>0</v>
      </c>
      <c r="L212" s="347">
        <v>0</v>
      </c>
      <c r="M212" s="347">
        <v>0</v>
      </c>
      <c r="N212" s="347">
        <v>0</v>
      </c>
      <c r="O212" s="346">
        <v>0</v>
      </c>
      <c r="P212" s="346">
        <v>0</v>
      </c>
      <c r="Q212" s="346">
        <v>0</v>
      </c>
      <c r="R212" s="346">
        <f t="shared" si="238"/>
        <v>0</v>
      </c>
      <c r="S212" s="344"/>
      <c r="T212" s="325">
        <f t="shared" si="243"/>
        <v>0</v>
      </c>
      <c r="U212" s="364">
        <v>0</v>
      </c>
      <c r="V212" s="365">
        <f t="shared" si="255"/>
        <v>0</v>
      </c>
      <c r="W212" s="398" t="e">
        <f t="shared" si="256"/>
        <v>#DIV/0!</v>
      </c>
      <c r="Y212" s="351">
        <v>0</v>
      </c>
      <c r="Z212" s="351">
        <v>0</v>
      </c>
      <c r="AA212" s="351">
        <v>0</v>
      </c>
      <c r="AB212" s="366" t="e">
        <f t="shared" si="184"/>
        <v>#DIV/0!</v>
      </c>
      <c r="AC212" s="366" t="e">
        <f t="shared" si="185"/>
        <v>#DIV/0!</v>
      </c>
      <c r="AD212" s="367" t="e">
        <f t="shared" si="257"/>
        <v>#DIV/0!</v>
      </c>
      <c r="AF212" s="325">
        <f t="shared" si="240"/>
        <v>0</v>
      </c>
      <c r="AI212" s="351">
        <v>0</v>
      </c>
      <c r="AJ212" s="331">
        <f t="shared" si="187"/>
        <v>0</v>
      </c>
    </row>
    <row r="213" spans="1:37" ht="89.25">
      <c r="A213" s="360" t="s">
        <v>100</v>
      </c>
      <c r="B213" s="361" t="s">
        <v>1289</v>
      </c>
      <c r="C213" s="362" t="s">
        <v>635</v>
      </c>
      <c r="D213" s="362" t="s">
        <v>1072</v>
      </c>
      <c r="E213" s="362" t="s">
        <v>1072</v>
      </c>
      <c r="F213" s="362" t="s">
        <v>1290</v>
      </c>
      <c r="G213" s="363">
        <v>2125000</v>
      </c>
      <c r="H213" s="363">
        <v>0</v>
      </c>
      <c r="I213" s="363">
        <v>2125000</v>
      </c>
      <c r="J213" s="346">
        <v>0</v>
      </c>
      <c r="K213" s="346">
        <v>0</v>
      </c>
      <c r="L213" s="347">
        <v>1008340</v>
      </c>
      <c r="M213" s="347">
        <v>939576</v>
      </c>
      <c r="N213" s="347">
        <v>0</v>
      </c>
      <c r="O213" s="346">
        <v>0</v>
      </c>
      <c r="P213" s="346">
        <v>177083</v>
      </c>
      <c r="Q213" s="346"/>
      <c r="R213" s="346">
        <f t="shared" si="238"/>
        <v>2124999</v>
      </c>
      <c r="S213" s="344"/>
      <c r="T213" s="325">
        <f t="shared" si="243"/>
        <v>1</v>
      </c>
      <c r="U213" s="364">
        <v>0</v>
      </c>
      <c r="V213" s="365">
        <f t="shared" si="255"/>
        <v>0</v>
      </c>
      <c r="W213" s="398" t="e">
        <f t="shared" si="256"/>
        <v>#DIV/0!</v>
      </c>
      <c r="Y213" s="351">
        <v>0</v>
      </c>
      <c r="Z213" s="351">
        <v>0</v>
      </c>
      <c r="AA213" s="351">
        <v>0</v>
      </c>
      <c r="AB213" s="366" t="e">
        <f t="shared" ref="AB213:AB254" si="258">AA213/Y213</f>
        <v>#DIV/0!</v>
      </c>
      <c r="AC213" s="366" t="e">
        <f t="shared" ref="AC213:AC254" si="259">K213/Y213</f>
        <v>#DIV/0!</v>
      </c>
      <c r="AD213" s="367" t="e">
        <f t="shared" si="257"/>
        <v>#DIV/0!</v>
      </c>
      <c r="AF213" s="325">
        <f t="shared" si="240"/>
        <v>0</v>
      </c>
      <c r="AI213" s="351">
        <f>0-177083</f>
        <v>-177083</v>
      </c>
      <c r="AJ213" s="331">
        <f t="shared" ref="AJ213:AJ254" si="260">AI213-K213</f>
        <v>-177083</v>
      </c>
    </row>
    <row r="214" spans="1:37" ht="102">
      <c r="A214" s="360" t="s">
        <v>101</v>
      </c>
      <c r="B214" s="361" t="s">
        <v>1291</v>
      </c>
      <c r="C214" s="362" t="s">
        <v>635</v>
      </c>
      <c r="D214" s="362" t="s">
        <v>1072</v>
      </c>
      <c r="E214" s="362" t="s">
        <v>1072</v>
      </c>
      <c r="F214" s="362" t="s">
        <v>1292</v>
      </c>
      <c r="G214" s="363">
        <v>33383190</v>
      </c>
      <c r="H214" s="363">
        <v>0</v>
      </c>
      <c r="I214" s="363">
        <v>33383190</v>
      </c>
      <c r="J214" s="346">
        <v>7744638.4100000001</v>
      </c>
      <c r="K214" s="346">
        <v>4755199</v>
      </c>
      <c r="L214" s="347">
        <v>3144608</v>
      </c>
      <c r="M214" s="347">
        <v>2916621</v>
      </c>
      <c r="N214" s="347">
        <v>877244</v>
      </c>
      <c r="O214" s="346">
        <v>1198930</v>
      </c>
      <c r="P214" s="346">
        <v>3194418</v>
      </c>
      <c r="Q214" s="346">
        <v>9551532</v>
      </c>
      <c r="R214" s="346">
        <f t="shared" si="238"/>
        <v>33383190.41</v>
      </c>
      <c r="S214" s="344"/>
      <c r="T214" s="325">
        <f t="shared" si="243"/>
        <v>-0.41000000014901161</v>
      </c>
      <c r="U214" s="364">
        <v>8695791</v>
      </c>
      <c r="V214" s="365">
        <f t="shared" si="255"/>
        <v>3940592</v>
      </c>
      <c r="W214" s="398">
        <f t="shared" si="256"/>
        <v>0.54683915471289501</v>
      </c>
      <c r="Y214" s="351">
        <v>8550803</v>
      </c>
      <c r="Z214" s="351">
        <v>3454687</v>
      </c>
      <c r="AA214" s="351">
        <v>3454685.73</v>
      </c>
      <c r="AB214" s="366">
        <f t="shared" si="258"/>
        <v>0.40401886583049568</v>
      </c>
      <c r="AC214" s="366">
        <f t="shared" si="259"/>
        <v>0.55611139678928401</v>
      </c>
      <c r="AD214" s="367">
        <f t="shared" si="257"/>
        <v>1.1694803779054244E-7</v>
      </c>
      <c r="AF214" s="325">
        <f t="shared" si="240"/>
        <v>3795604</v>
      </c>
      <c r="AI214" s="351">
        <f>8550803-3618520</f>
        <v>4932283</v>
      </c>
      <c r="AJ214" s="331">
        <f t="shared" si="260"/>
        <v>177084</v>
      </c>
    </row>
    <row r="215" spans="1:37" ht="38.25">
      <c r="A215" s="360" t="s">
        <v>816</v>
      </c>
      <c r="B215" s="361" t="s">
        <v>1293</v>
      </c>
      <c r="C215" s="362" t="s">
        <v>635</v>
      </c>
      <c r="D215" s="362" t="s">
        <v>1072</v>
      </c>
      <c r="E215" s="362" t="s">
        <v>1072</v>
      </c>
      <c r="F215" s="362"/>
      <c r="G215" s="363">
        <f>G216+G217</f>
        <v>10542060</v>
      </c>
      <c r="H215" s="363">
        <f t="shared" ref="H215:Q215" si="261">H216+H217</f>
        <v>0</v>
      </c>
      <c r="I215" s="363">
        <f t="shared" si="261"/>
        <v>10542060</v>
      </c>
      <c r="J215" s="363">
        <f t="shared" si="261"/>
        <v>2518951.62</v>
      </c>
      <c r="K215" s="363">
        <f t="shared" si="261"/>
        <v>1945045</v>
      </c>
      <c r="L215" s="363">
        <f t="shared" si="261"/>
        <v>1600212</v>
      </c>
      <c r="M215" s="363">
        <f t="shared" si="261"/>
        <v>1276464</v>
      </c>
      <c r="N215" s="363">
        <f t="shared" si="261"/>
        <v>0</v>
      </c>
      <c r="O215" s="363">
        <f t="shared" si="261"/>
        <v>264634</v>
      </c>
      <c r="P215" s="363">
        <f t="shared" si="261"/>
        <v>633582</v>
      </c>
      <c r="Q215" s="363">
        <f t="shared" si="261"/>
        <v>2303172</v>
      </c>
      <c r="R215" s="346">
        <f t="shared" si="238"/>
        <v>10542060.620000001</v>
      </c>
      <c r="S215" s="344"/>
      <c r="T215" s="325">
        <f t="shared" si="243"/>
        <v>-0.62000000104308128</v>
      </c>
      <c r="U215" s="396">
        <f>U216+U217</f>
        <v>1310720</v>
      </c>
      <c r="V215" s="365">
        <f t="shared" si="255"/>
        <v>-634325</v>
      </c>
      <c r="W215" s="398">
        <f t="shared" si="256"/>
        <v>1.4839515686035156</v>
      </c>
      <c r="Y215" s="363">
        <f t="shared" ref="Y215:AA215" si="262">Y216+Y217</f>
        <v>1518890</v>
      </c>
      <c r="Z215" s="363">
        <f t="shared" si="262"/>
        <v>646740</v>
      </c>
      <c r="AA215" s="363">
        <f t="shared" si="262"/>
        <v>646738.65999999992</v>
      </c>
      <c r="AB215" s="366">
        <f t="shared" si="258"/>
        <v>0.42579690431828499</v>
      </c>
      <c r="AC215" s="366">
        <f t="shared" si="259"/>
        <v>1.2805700215288796</v>
      </c>
      <c r="AD215" s="367">
        <f t="shared" si="257"/>
        <v>6.5837416012351952E-7</v>
      </c>
      <c r="AF215" s="325">
        <f t="shared" si="240"/>
        <v>-426155</v>
      </c>
      <c r="AI215" s="363">
        <f t="shared" ref="AI215" si="263">AI216+AI217</f>
        <v>1836229</v>
      </c>
      <c r="AJ215" s="331">
        <f t="shared" si="260"/>
        <v>-108816</v>
      </c>
    </row>
    <row r="216" spans="1:37" ht="76.5">
      <c r="A216" s="360" t="s">
        <v>102</v>
      </c>
      <c r="B216" s="372" t="s">
        <v>1294</v>
      </c>
      <c r="C216" s="362" t="s">
        <v>635</v>
      </c>
      <c r="D216" s="362" t="s">
        <v>1072</v>
      </c>
      <c r="E216" s="362" t="s">
        <v>1072</v>
      </c>
      <c r="F216" s="362" t="s">
        <v>1295</v>
      </c>
      <c r="G216" s="376">
        <v>7028040</v>
      </c>
      <c r="H216" s="363">
        <v>0</v>
      </c>
      <c r="I216" s="376">
        <v>7028040</v>
      </c>
      <c r="J216" s="346">
        <v>1196798.5</v>
      </c>
      <c r="K216" s="346">
        <v>1335010</v>
      </c>
      <c r="L216" s="347">
        <v>1426339</v>
      </c>
      <c r="M216" s="347">
        <v>1276464</v>
      </c>
      <c r="N216" s="347">
        <v>0</v>
      </c>
      <c r="O216" s="346">
        <v>264634</v>
      </c>
      <c r="P216" s="346">
        <v>0</v>
      </c>
      <c r="Q216" s="346">
        <v>1528795</v>
      </c>
      <c r="R216" s="346">
        <f t="shared" si="238"/>
        <v>7028040.5</v>
      </c>
      <c r="S216" s="344"/>
      <c r="T216" s="325">
        <f t="shared" si="243"/>
        <v>-0.5</v>
      </c>
      <c r="U216" s="364">
        <v>895861</v>
      </c>
      <c r="V216" s="365">
        <f t="shared" si="255"/>
        <v>-439149</v>
      </c>
      <c r="W216" s="398">
        <f t="shared" si="256"/>
        <v>1.4901976980803942</v>
      </c>
      <c r="Y216" s="351">
        <v>1040849</v>
      </c>
      <c r="Z216" s="351">
        <v>438469</v>
      </c>
      <c r="AA216" s="351">
        <v>438468.55</v>
      </c>
      <c r="AB216" s="366">
        <f t="shared" si="258"/>
        <v>0.42126048062687288</v>
      </c>
      <c r="AC216" s="366">
        <f t="shared" si="259"/>
        <v>1.2826164025713624</v>
      </c>
      <c r="AD216" s="367">
        <f t="shared" si="257"/>
        <v>9.6075316756001649E-7</v>
      </c>
      <c r="AF216" s="325">
        <f t="shared" si="240"/>
        <v>-294161</v>
      </c>
      <c r="AG216" s="305">
        <v>-294161</v>
      </c>
      <c r="AI216" s="351">
        <f>1040849+326466-9127</f>
        <v>1358188</v>
      </c>
      <c r="AJ216" s="331">
        <f t="shared" si="260"/>
        <v>23178</v>
      </c>
      <c r="AK216" s="305">
        <v>23178</v>
      </c>
    </row>
    <row r="217" spans="1:37" ht="89.25">
      <c r="A217" s="360" t="s">
        <v>103</v>
      </c>
      <c r="B217" s="372" t="s">
        <v>1296</v>
      </c>
      <c r="C217" s="362" t="s">
        <v>635</v>
      </c>
      <c r="D217" s="362" t="s">
        <v>1072</v>
      </c>
      <c r="E217" s="362" t="s">
        <v>1297</v>
      </c>
      <c r="F217" s="362" t="s">
        <v>1295</v>
      </c>
      <c r="G217" s="363">
        <v>3514020</v>
      </c>
      <c r="H217" s="363">
        <v>0</v>
      </c>
      <c r="I217" s="363">
        <v>3514020</v>
      </c>
      <c r="J217" s="346">
        <v>1322153.1200000001</v>
      </c>
      <c r="K217" s="346">
        <v>610035</v>
      </c>
      <c r="L217" s="347">
        <v>173873</v>
      </c>
      <c r="M217" s="347">
        <v>0</v>
      </c>
      <c r="N217" s="347">
        <v>0</v>
      </c>
      <c r="O217" s="346">
        <v>0</v>
      </c>
      <c r="P217" s="346">
        <v>633582</v>
      </c>
      <c r="Q217" s="346">
        <v>774377</v>
      </c>
      <c r="R217" s="346">
        <f t="shared" si="238"/>
        <v>3514020.12</v>
      </c>
      <c r="S217" s="344" t="s">
        <v>1286</v>
      </c>
      <c r="T217" s="325">
        <f t="shared" si="243"/>
        <v>-0.12000000011175871</v>
      </c>
      <c r="U217" s="364">
        <v>414859</v>
      </c>
      <c r="V217" s="365">
        <f t="shared" si="255"/>
        <v>-195176</v>
      </c>
      <c r="W217" s="398">
        <f t="shared" si="256"/>
        <v>1.4704634586690899</v>
      </c>
      <c r="Y217" s="351">
        <v>478041</v>
      </c>
      <c r="Z217" s="351">
        <v>208271</v>
      </c>
      <c r="AA217" s="351">
        <v>208270.11</v>
      </c>
      <c r="AB217" s="366">
        <f t="shared" si="258"/>
        <v>0.43567415765593326</v>
      </c>
      <c r="AC217" s="366">
        <f t="shared" si="259"/>
        <v>1.2761143918617859</v>
      </c>
      <c r="AD217" s="367">
        <f t="shared" si="257"/>
        <v>2.0918618418115497E-6</v>
      </c>
      <c r="AF217" s="325">
        <f t="shared" si="240"/>
        <v>-131994</v>
      </c>
      <c r="AG217" s="305">
        <v>-131994</v>
      </c>
      <c r="AI217" s="351">
        <v>478041</v>
      </c>
      <c r="AJ217" s="331">
        <f t="shared" si="260"/>
        <v>-131994</v>
      </c>
      <c r="AK217" s="305">
        <v>-131994</v>
      </c>
    </row>
    <row r="218" spans="1:37" ht="51">
      <c r="A218" s="360" t="s">
        <v>1298</v>
      </c>
      <c r="B218" s="361" t="s">
        <v>1299</v>
      </c>
      <c r="C218" s="362" t="s">
        <v>635</v>
      </c>
      <c r="D218" s="362" t="s">
        <v>1072</v>
      </c>
      <c r="E218" s="362" t="s">
        <v>1072</v>
      </c>
      <c r="F218" s="362" t="s">
        <v>986</v>
      </c>
      <c r="G218" s="363">
        <v>0</v>
      </c>
      <c r="H218" s="363">
        <v>0</v>
      </c>
      <c r="I218" s="363">
        <v>0</v>
      </c>
      <c r="J218" s="346">
        <v>111181.6</v>
      </c>
      <c r="K218" s="346">
        <v>0</v>
      </c>
      <c r="L218" s="347">
        <v>0</v>
      </c>
      <c r="M218" s="347">
        <v>0</v>
      </c>
      <c r="N218" s="347">
        <v>0</v>
      </c>
      <c r="O218" s="346">
        <v>0</v>
      </c>
      <c r="P218" s="346">
        <v>0</v>
      </c>
      <c r="Q218" s="346">
        <v>0</v>
      </c>
      <c r="R218" s="346">
        <f t="shared" si="238"/>
        <v>111181.6</v>
      </c>
      <c r="S218" s="344"/>
      <c r="T218" s="325">
        <f t="shared" si="243"/>
        <v>-111181.6</v>
      </c>
      <c r="U218" s="402">
        <v>0</v>
      </c>
      <c r="V218" s="365">
        <f t="shared" si="255"/>
        <v>0</v>
      </c>
      <c r="W218" s="398" t="e">
        <f t="shared" si="256"/>
        <v>#DIV/0!</v>
      </c>
      <c r="Y218" s="351">
        <v>0</v>
      </c>
      <c r="Z218" s="351">
        <v>0</v>
      </c>
      <c r="AA218" s="351">
        <v>0</v>
      </c>
      <c r="AB218" s="366" t="e">
        <f t="shared" si="258"/>
        <v>#DIV/0!</v>
      </c>
      <c r="AC218" s="366" t="e">
        <f t="shared" si="259"/>
        <v>#DIV/0!</v>
      </c>
      <c r="AD218" s="367" t="e">
        <f t="shared" si="257"/>
        <v>#DIV/0!</v>
      </c>
      <c r="AF218" s="325">
        <f t="shared" si="240"/>
        <v>0</v>
      </c>
      <c r="AI218" s="351">
        <v>0</v>
      </c>
      <c r="AJ218" s="331">
        <f t="shared" si="260"/>
        <v>0</v>
      </c>
    </row>
    <row r="219" spans="1:37" ht="25.5">
      <c r="A219" s="321" t="s">
        <v>821</v>
      </c>
      <c r="B219" s="359" t="s">
        <v>1300</v>
      </c>
      <c r="C219" s="341" t="s">
        <v>635</v>
      </c>
      <c r="D219" s="341" t="s">
        <v>1024</v>
      </c>
      <c r="E219" s="341"/>
      <c r="F219" s="341"/>
      <c r="G219" s="370">
        <f>G220+G224</f>
        <v>14246733.16</v>
      </c>
      <c r="H219" s="370">
        <f t="shared" ref="H219:Q219" si="264">H220+H224</f>
        <v>0</v>
      </c>
      <c r="I219" s="370">
        <f t="shared" si="264"/>
        <v>14246733.16</v>
      </c>
      <c r="J219" s="370">
        <f t="shared" si="264"/>
        <v>4628362</v>
      </c>
      <c r="K219" s="370">
        <f t="shared" si="264"/>
        <v>3385866</v>
      </c>
      <c r="L219" s="370">
        <f t="shared" si="264"/>
        <v>1731698</v>
      </c>
      <c r="M219" s="370">
        <f t="shared" si="264"/>
        <v>0</v>
      </c>
      <c r="N219" s="370">
        <f t="shared" si="264"/>
        <v>0</v>
      </c>
      <c r="O219" s="370">
        <f t="shared" si="264"/>
        <v>1660258</v>
      </c>
      <c r="P219" s="370">
        <f t="shared" si="264"/>
        <v>1420275</v>
      </c>
      <c r="Q219" s="370">
        <f t="shared" si="264"/>
        <v>1420275</v>
      </c>
      <c r="R219" s="346">
        <f t="shared" si="238"/>
        <v>14246734</v>
      </c>
      <c r="S219" s="344"/>
      <c r="T219" s="325">
        <f t="shared" si="243"/>
        <v>-0.83999999985098839</v>
      </c>
      <c r="U219" s="393">
        <f>U220+U224</f>
        <v>5129297</v>
      </c>
      <c r="V219" s="326">
        <f t="shared" si="255"/>
        <v>1743431</v>
      </c>
      <c r="W219" s="327">
        <f t="shared" si="256"/>
        <v>0.66010332410074912</v>
      </c>
      <c r="Y219" s="370">
        <f t="shared" ref="Y219:AA219" si="265">Y220+Y224</f>
        <v>5122005</v>
      </c>
      <c r="Z219" s="370">
        <f t="shared" si="265"/>
        <v>2953352</v>
      </c>
      <c r="AA219" s="370">
        <f t="shared" si="265"/>
        <v>2529539.19</v>
      </c>
      <c r="AB219" s="345">
        <f t="shared" si="258"/>
        <v>0.49385722778482255</v>
      </c>
      <c r="AC219" s="345">
        <f t="shared" si="259"/>
        <v>0.66104308761900854</v>
      </c>
      <c r="AD219" s="342">
        <f t="shared" si="257"/>
        <v>1.6721922337223011E-7</v>
      </c>
      <c r="AF219" s="325">
        <f t="shared" si="240"/>
        <v>1736139</v>
      </c>
      <c r="AI219" s="370">
        <f t="shared" ref="AI219" si="266">AI220+AI224</f>
        <v>5122005</v>
      </c>
      <c r="AJ219" s="331">
        <f t="shared" si="260"/>
        <v>1736139</v>
      </c>
    </row>
    <row r="220" spans="1:37" ht="51">
      <c r="A220" s="360" t="s">
        <v>823</v>
      </c>
      <c r="B220" s="361" t="s">
        <v>1301</v>
      </c>
      <c r="C220" s="362" t="s">
        <v>635</v>
      </c>
      <c r="D220" s="362" t="s">
        <v>1024</v>
      </c>
      <c r="E220" s="362"/>
      <c r="F220" s="362"/>
      <c r="G220" s="363">
        <f>G221+G222+G223</f>
        <v>14246733.16</v>
      </c>
      <c r="H220" s="363">
        <f t="shared" ref="H220:Q220" si="267">H221+H222+H223</f>
        <v>0</v>
      </c>
      <c r="I220" s="363">
        <f t="shared" si="267"/>
        <v>14246733.16</v>
      </c>
      <c r="J220" s="363">
        <f t="shared" si="267"/>
        <v>4628362</v>
      </c>
      <c r="K220" s="363">
        <f t="shared" si="267"/>
        <v>3385866</v>
      </c>
      <c r="L220" s="363">
        <f t="shared" si="267"/>
        <v>1731698</v>
      </c>
      <c r="M220" s="363">
        <f t="shared" si="267"/>
        <v>0</v>
      </c>
      <c r="N220" s="363">
        <f t="shared" si="267"/>
        <v>0</v>
      </c>
      <c r="O220" s="363">
        <f t="shared" si="267"/>
        <v>1660258</v>
      </c>
      <c r="P220" s="363">
        <f t="shared" si="267"/>
        <v>1420275</v>
      </c>
      <c r="Q220" s="363">
        <f t="shared" si="267"/>
        <v>1420275</v>
      </c>
      <c r="R220" s="346">
        <f t="shared" si="238"/>
        <v>14246734</v>
      </c>
      <c r="S220" s="344"/>
      <c r="T220" s="325">
        <f t="shared" si="243"/>
        <v>-0.83999999985098839</v>
      </c>
      <c r="U220" s="396">
        <f>U221+U222+U223</f>
        <v>5129297</v>
      </c>
      <c r="V220" s="365">
        <f t="shared" si="255"/>
        <v>1743431</v>
      </c>
      <c r="W220" s="398">
        <f t="shared" si="256"/>
        <v>0.66010332410074912</v>
      </c>
      <c r="Y220" s="363">
        <f t="shared" ref="Y220:AA220" si="268">Y221+Y222+Y223</f>
        <v>5122005</v>
      </c>
      <c r="Z220" s="363">
        <f t="shared" si="268"/>
        <v>2953352</v>
      </c>
      <c r="AA220" s="363">
        <f t="shared" si="268"/>
        <v>2529539.19</v>
      </c>
      <c r="AB220" s="366">
        <f t="shared" si="258"/>
        <v>0.49385722778482255</v>
      </c>
      <c r="AC220" s="366">
        <f t="shared" si="259"/>
        <v>0.66104308761900854</v>
      </c>
      <c r="AD220" s="367">
        <f t="shared" si="257"/>
        <v>1.6721922337223011E-7</v>
      </c>
      <c r="AF220" s="325">
        <f t="shared" si="240"/>
        <v>1736139</v>
      </c>
      <c r="AI220" s="363">
        <f t="shared" ref="AI220" si="269">AI221+AI222+AI223</f>
        <v>5122005</v>
      </c>
      <c r="AJ220" s="331">
        <f t="shared" si="260"/>
        <v>1736139</v>
      </c>
    </row>
    <row r="221" spans="1:37" ht="127.5">
      <c r="A221" s="360" t="s">
        <v>74</v>
      </c>
      <c r="B221" s="372" t="s">
        <v>1302</v>
      </c>
      <c r="C221" s="362" t="s">
        <v>635</v>
      </c>
      <c r="D221" s="362" t="s">
        <v>1024</v>
      </c>
      <c r="E221" s="362" t="s">
        <v>1024</v>
      </c>
      <c r="F221" s="362" t="s">
        <v>1275</v>
      </c>
      <c r="G221" s="363">
        <v>9136369.0700000003</v>
      </c>
      <c r="H221" s="363">
        <v>0</v>
      </c>
      <c r="I221" s="363">
        <v>9136369.0700000003</v>
      </c>
      <c r="J221" s="346">
        <v>3229224.13</v>
      </c>
      <c r="K221" s="346">
        <v>2229887</v>
      </c>
      <c r="L221" s="347">
        <v>836709</v>
      </c>
      <c r="M221" s="347">
        <v>0</v>
      </c>
      <c r="N221" s="347">
        <v>0</v>
      </c>
      <c r="O221" s="346">
        <v>0</v>
      </c>
      <c r="P221" s="346">
        <v>1420275</v>
      </c>
      <c r="Q221" s="346">
        <v>1420275</v>
      </c>
      <c r="R221" s="346">
        <f t="shared" si="238"/>
        <v>9136370.129999999</v>
      </c>
      <c r="S221" s="344"/>
      <c r="T221" s="325">
        <f t="shared" si="243"/>
        <v>-1.0599999986588955</v>
      </c>
      <c r="U221" s="364">
        <v>3133662</v>
      </c>
      <c r="V221" s="365">
        <f t="shared" si="255"/>
        <v>903775</v>
      </c>
      <c r="W221" s="398">
        <f t="shared" si="256"/>
        <v>0.71159142243164708</v>
      </c>
      <c r="Y221" s="351">
        <v>3126370</v>
      </c>
      <c r="Z221" s="351">
        <v>1926954</v>
      </c>
      <c r="AA221" s="351">
        <v>1798812.2</v>
      </c>
      <c r="AB221" s="366">
        <f t="shared" si="258"/>
        <v>0.57536766281662122</v>
      </c>
      <c r="AC221" s="366">
        <f t="shared" si="259"/>
        <v>0.71325115069553513</v>
      </c>
      <c r="AD221" s="367">
        <f t="shared" si="257"/>
        <v>2.9858920494034691E-7</v>
      </c>
      <c r="AF221" s="325">
        <f t="shared" si="240"/>
        <v>896483</v>
      </c>
      <c r="AG221" s="305">
        <v>896483</v>
      </c>
      <c r="AI221" s="351">
        <v>3126370</v>
      </c>
      <c r="AJ221" s="331">
        <f t="shared" si="260"/>
        <v>896483</v>
      </c>
      <c r="AK221" s="305">
        <v>896483</v>
      </c>
    </row>
    <row r="222" spans="1:37" ht="51">
      <c r="A222" s="360" t="s">
        <v>75</v>
      </c>
      <c r="B222" s="372" t="s">
        <v>1303</v>
      </c>
      <c r="C222" s="362" t="s">
        <v>635</v>
      </c>
      <c r="D222" s="362" t="s">
        <v>1024</v>
      </c>
      <c r="E222" s="362" t="s">
        <v>1024</v>
      </c>
      <c r="F222" s="362" t="s">
        <v>1275</v>
      </c>
      <c r="G222" s="363">
        <v>5110364.0900000008</v>
      </c>
      <c r="H222" s="363">
        <v>0</v>
      </c>
      <c r="I222" s="363">
        <v>5110364.0900000008</v>
      </c>
      <c r="J222" s="346">
        <v>1399137.8699999999</v>
      </c>
      <c r="K222" s="346">
        <v>1155979</v>
      </c>
      <c r="L222" s="347">
        <v>894989</v>
      </c>
      <c r="M222" s="347">
        <v>0</v>
      </c>
      <c r="N222" s="347">
        <v>0</v>
      </c>
      <c r="O222" s="346">
        <v>1660258</v>
      </c>
      <c r="P222" s="346">
        <v>0</v>
      </c>
      <c r="Q222" s="346">
        <v>0</v>
      </c>
      <c r="R222" s="346">
        <f t="shared" si="238"/>
        <v>5110363.87</v>
      </c>
      <c r="S222" s="344"/>
      <c r="T222" s="325">
        <f t="shared" si="243"/>
        <v>0.22000000067055225</v>
      </c>
      <c r="U222" s="364">
        <v>1995635</v>
      </c>
      <c r="V222" s="365">
        <f t="shared" si="255"/>
        <v>839656</v>
      </c>
      <c r="W222" s="398">
        <f t="shared" si="256"/>
        <v>0.57925372124662078</v>
      </c>
      <c r="Y222" s="351">
        <v>1995635</v>
      </c>
      <c r="Z222" s="351">
        <v>1026398</v>
      </c>
      <c r="AA222" s="351">
        <v>730726.99</v>
      </c>
      <c r="AB222" s="366">
        <f t="shared" si="258"/>
        <v>0.36616264497265283</v>
      </c>
      <c r="AC222" s="366">
        <f t="shared" si="259"/>
        <v>0.57925372124662078</v>
      </c>
      <c r="AD222" s="367">
        <f t="shared" si="257"/>
        <v>3.5674528299222408E-7</v>
      </c>
      <c r="AF222" s="325">
        <f t="shared" si="240"/>
        <v>839656</v>
      </c>
      <c r="AG222" s="305">
        <v>839656</v>
      </c>
      <c r="AI222" s="351">
        <v>1995635</v>
      </c>
      <c r="AJ222" s="331">
        <f t="shared" si="260"/>
        <v>839656</v>
      </c>
      <c r="AK222" s="305">
        <v>839656</v>
      </c>
    </row>
    <row r="223" spans="1:37" ht="76.5">
      <c r="A223" s="360" t="s">
        <v>76</v>
      </c>
      <c r="B223" s="372" t="s">
        <v>1304</v>
      </c>
      <c r="C223" s="362" t="s">
        <v>635</v>
      </c>
      <c r="D223" s="362" t="s">
        <v>1024</v>
      </c>
      <c r="E223" s="362" t="s">
        <v>1024</v>
      </c>
      <c r="F223" s="362" t="s">
        <v>1305</v>
      </c>
      <c r="G223" s="363">
        <v>0</v>
      </c>
      <c r="H223" s="363">
        <v>0</v>
      </c>
      <c r="I223" s="363">
        <v>0</v>
      </c>
      <c r="J223" s="346">
        <v>0</v>
      </c>
      <c r="K223" s="346">
        <v>0</v>
      </c>
      <c r="L223" s="347">
        <v>0</v>
      </c>
      <c r="M223" s="347">
        <v>0</v>
      </c>
      <c r="N223" s="347">
        <v>0</v>
      </c>
      <c r="O223" s="346">
        <v>0</v>
      </c>
      <c r="P223" s="346">
        <v>0</v>
      </c>
      <c r="Q223" s="346">
        <v>0</v>
      </c>
      <c r="R223" s="346">
        <f t="shared" si="238"/>
        <v>0</v>
      </c>
      <c r="S223" s="344"/>
      <c r="T223" s="325">
        <f t="shared" si="243"/>
        <v>0</v>
      </c>
      <c r="U223" s="364">
        <v>0</v>
      </c>
      <c r="V223" s="365">
        <f t="shared" si="255"/>
        <v>0</v>
      </c>
      <c r="W223" s="398" t="e">
        <f t="shared" si="256"/>
        <v>#DIV/0!</v>
      </c>
      <c r="Y223" s="351">
        <v>0</v>
      </c>
      <c r="Z223" s="351">
        <v>0</v>
      </c>
      <c r="AA223" s="351">
        <v>0</v>
      </c>
      <c r="AB223" s="366" t="e">
        <f t="shared" si="258"/>
        <v>#DIV/0!</v>
      </c>
      <c r="AC223" s="366" t="e">
        <f t="shared" si="259"/>
        <v>#DIV/0!</v>
      </c>
      <c r="AD223" s="367" t="e">
        <f t="shared" si="257"/>
        <v>#DIV/0!</v>
      </c>
      <c r="AF223" s="325">
        <f t="shared" si="240"/>
        <v>0</v>
      </c>
      <c r="AI223" s="351">
        <v>0</v>
      </c>
      <c r="AJ223" s="331">
        <f t="shared" si="260"/>
        <v>0</v>
      </c>
    </row>
    <row r="224" spans="1:37" ht="38.25">
      <c r="A224" s="360" t="s">
        <v>77</v>
      </c>
      <c r="B224" s="361" t="s">
        <v>1306</v>
      </c>
      <c r="C224" s="362" t="s">
        <v>635</v>
      </c>
      <c r="D224" s="362" t="s">
        <v>1024</v>
      </c>
      <c r="E224" s="362" t="s">
        <v>1024</v>
      </c>
      <c r="F224" s="362" t="s">
        <v>986</v>
      </c>
      <c r="G224" s="363">
        <v>0</v>
      </c>
      <c r="H224" s="363">
        <v>0</v>
      </c>
      <c r="I224" s="363">
        <v>0</v>
      </c>
      <c r="J224" s="346">
        <v>0</v>
      </c>
      <c r="K224" s="346">
        <v>0</v>
      </c>
      <c r="L224" s="347">
        <v>0</v>
      </c>
      <c r="M224" s="347">
        <v>0</v>
      </c>
      <c r="N224" s="347">
        <v>0</v>
      </c>
      <c r="O224" s="346">
        <v>0</v>
      </c>
      <c r="P224" s="346">
        <v>0</v>
      </c>
      <c r="Q224" s="346">
        <v>0</v>
      </c>
      <c r="R224" s="346">
        <f t="shared" si="238"/>
        <v>0</v>
      </c>
      <c r="S224" s="344"/>
      <c r="T224" s="325">
        <f t="shared" si="243"/>
        <v>0</v>
      </c>
      <c r="U224" s="364">
        <v>0</v>
      </c>
      <c r="V224" s="365">
        <f t="shared" si="255"/>
        <v>0</v>
      </c>
      <c r="W224" s="398" t="e">
        <f t="shared" si="256"/>
        <v>#DIV/0!</v>
      </c>
      <c r="Y224" s="351">
        <v>0</v>
      </c>
      <c r="Z224" s="351">
        <v>0</v>
      </c>
      <c r="AA224" s="351">
        <v>0</v>
      </c>
      <c r="AB224" s="366" t="e">
        <f t="shared" si="258"/>
        <v>#DIV/0!</v>
      </c>
      <c r="AC224" s="366" t="e">
        <f t="shared" si="259"/>
        <v>#DIV/0!</v>
      </c>
      <c r="AD224" s="367" t="e">
        <f t="shared" si="257"/>
        <v>#DIV/0!</v>
      </c>
      <c r="AF224" s="325">
        <f t="shared" si="240"/>
        <v>0</v>
      </c>
      <c r="AI224" s="351">
        <v>0</v>
      </c>
      <c r="AJ224" s="331">
        <f t="shared" si="260"/>
        <v>0</v>
      </c>
    </row>
    <row r="225" spans="1:37" ht="51">
      <c r="A225" s="321" t="s">
        <v>829</v>
      </c>
      <c r="B225" s="359" t="s">
        <v>1307</v>
      </c>
      <c r="C225" s="341" t="s">
        <v>635</v>
      </c>
      <c r="D225" s="341" t="s">
        <v>1098</v>
      </c>
      <c r="E225" s="341"/>
      <c r="F225" s="341"/>
      <c r="G225" s="370">
        <f>G226+G227+G228</f>
        <v>29100252.529999997</v>
      </c>
      <c r="H225" s="370">
        <f>H226+H227+H228</f>
        <v>12000000</v>
      </c>
      <c r="I225" s="370">
        <f>I226+I227+I228</f>
        <v>41100252.530000001</v>
      </c>
      <c r="J225" s="370">
        <f>J226+J227+J228</f>
        <v>6380917.8800000008</v>
      </c>
      <c r="K225" s="370">
        <f>K226+K227+K228</f>
        <v>5752836</v>
      </c>
      <c r="L225" s="370">
        <f t="shared" ref="L225:Q225" si="270">L226+L227+L228</f>
        <v>5594196</v>
      </c>
      <c r="M225" s="370">
        <f t="shared" si="270"/>
        <v>2514347</v>
      </c>
      <c r="N225" s="370">
        <f t="shared" si="270"/>
        <v>1305322</v>
      </c>
      <c r="O225" s="370">
        <f t="shared" si="270"/>
        <v>2064470</v>
      </c>
      <c r="P225" s="370">
        <f t="shared" si="270"/>
        <v>10341544</v>
      </c>
      <c r="Q225" s="370">
        <f t="shared" si="270"/>
        <v>3826497</v>
      </c>
      <c r="R225" s="346">
        <f t="shared" si="238"/>
        <v>37780129.880000003</v>
      </c>
      <c r="S225" s="344"/>
      <c r="T225" s="325">
        <f t="shared" si="243"/>
        <v>3320122.6499999985</v>
      </c>
      <c r="U225" s="393">
        <f>U226+U227+U228</f>
        <v>5956443</v>
      </c>
      <c r="V225" s="326">
        <f t="shared" si="255"/>
        <v>203607</v>
      </c>
      <c r="W225" s="327">
        <f t="shared" si="256"/>
        <v>0.9658173510600202</v>
      </c>
      <c r="Y225" s="370">
        <f>Y226+Y227+Y228</f>
        <v>5158603</v>
      </c>
      <c r="Z225" s="370">
        <f t="shared" ref="Z225:AA225" si="271">Z226+Z227+Z228</f>
        <v>3258454</v>
      </c>
      <c r="AA225" s="370">
        <f t="shared" si="271"/>
        <v>3155408.9699999997</v>
      </c>
      <c r="AB225" s="345">
        <f t="shared" si="258"/>
        <v>0.61167897006224359</v>
      </c>
      <c r="AC225" s="345">
        <f t="shared" si="259"/>
        <v>1.1151926209479581</v>
      </c>
      <c r="AD225" s="342">
        <f t="shared" si="257"/>
        <v>1.8772060924053052E-7</v>
      </c>
      <c r="AF225" s="325">
        <f t="shared" si="240"/>
        <v>-594233</v>
      </c>
      <c r="AI225" s="370">
        <f>AI226+AI227+AI228</f>
        <v>5158603</v>
      </c>
      <c r="AJ225" s="331">
        <f t="shared" si="260"/>
        <v>-594233</v>
      </c>
    </row>
    <row r="226" spans="1:37" ht="76.5">
      <c r="A226" s="360" t="s">
        <v>114</v>
      </c>
      <c r="B226" s="361" t="s">
        <v>1308</v>
      </c>
      <c r="C226" s="362" t="s">
        <v>635</v>
      </c>
      <c r="D226" s="362" t="s">
        <v>1098</v>
      </c>
      <c r="E226" s="362" t="s">
        <v>1202</v>
      </c>
      <c r="F226" s="362" t="s">
        <v>1309</v>
      </c>
      <c r="G226" s="363">
        <v>17517814.899999999</v>
      </c>
      <c r="H226" s="363">
        <v>0</v>
      </c>
      <c r="I226" s="363">
        <v>17517814.899999999</v>
      </c>
      <c r="J226" s="346">
        <v>3641299.04</v>
      </c>
      <c r="K226" s="346">
        <v>3504558</v>
      </c>
      <c r="L226" s="347">
        <v>3353884</v>
      </c>
      <c r="M226" s="347">
        <v>2377033</v>
      </c>
      <c r="N226" s="347">
        <v>1305322</v>
      </c>
      <c r="O226" s="346">
        <v>0</v>
      </c>
      <c r="P226" s="346">
        <v>1202983</v>
      </c>
      <c r="Q226" s="346">
        <v>1262182</v>
      </c>
      <c r="R226" s="346">
        <f t="shared" si="238"/>
        <v>16647261.039999999</v>
      </c>
      <c r="S226" s="344" t="s">
        <v>1310</v>
      </c>
      <c r="T226" s="325">
        <f t="shared" si="243"/>
        <v>870553.8599999994</v>
      </c>
      <c r="U226" s="402">
        <v>2483210</v>
      </c>
      <c r="V226" s="365">
        <f t="shared" si="255"/>
        <v>-1021348</v>
      </c>
      <c r="W226" s="398">
        <f t="shared" si="256"/>
        <v>1.4113015008799095</v>
      </c>
      <c r="Y226" s="351">
        <v>2483210</v>
      </c>
      <c r="Z226" s="351">
        <v>1487063</v>
      </c>
      <c r="AA226" s="351">
        <v>1487057.04</v>
      </c>
      <c r="AB226" s="366">
        <f t="shared" si="258"/>
        <v>0.59884465671449461</v>
      </c>
      <c r="AC226" s="366">
        <f t="shared" si="259"/>
        <v>1.4113015008799095</v>
      </c>
      <c r="AD226" s="367">
        <f t="shared" si="257"/>
        <v>4.027029498511459E-7</v>
      </c>
      <c r="AF226" s="325">
        <f t="shared" si="240"/>
        <v>-1021348</v>
      </c>
      <c r="AG226" s="305">
        <v>-1021348</v>
      </c>
      <c r="AI226" s="351">
        <v>2483210</v>
      </c>
      <c r="AJ226" s="331">
        <f t="shared" si="260"/>
        <v>-1021348</v>
      </c>
      <c r="AK226" s="305">
        <v>-1021348</v>
      </c>
    </row>
    <row r="227" spans="1:37" ht="63.75">
      <c r="A227" s="360" t="s">
        <v>115</v>
      </c>
      <c r="B227" s="361" t="s">
        <v>1311</v>
      </c>
      <c r="C227" s="362" t="s">
        <v>635</v>
      </c>
      <c r="D227" s="362" t="s">
        <v>1098</v>
      </c>
      <c r="E227" s="362"/>
      <c r="F227" s="362" t="s">
        <v>1309</v>
      </c>
      <c r="G227" s="363">
        <v>7582438.5</v>
      </c>
      <c r="H227" s="376">
        <v>8000000</v>
      </c>
      <c r="I227" s="376">
        <v>15582438.5</v>
      </c>
      <c r="J227" s="346">
        <v>2183587.77</v>
      </c>
      <c r="K227" s="346">
        <v>1042332</v>
      </c>
      <c r="L227" s="347">
        <v>1933408</v>
      </c>
      <c r="M227" s="347">
        <v>87937</v>
      </c>
      <c r="N227" s="347">
        <v>0</v>
      </c>
      <c r="O227" s="346">
        <v>750000</v>
      </c>
      <c r="P227" s="346">
        <v>6526951</v>
      </c>
      <c r="Q227" s="346">
        <v>1882275</v>
      </c>
      <c r="R227" s="346">
        <f t="shared" si="238"/>
        <v>14406490.77</v>
      </c>
      <c r="S227" s="344" t="s">
        <v>1312</v>
      </c>
      <c r="T227" s="325">
        <f t="shared" si="243"/>
        <v>1175947.7300000004</v>
      </c>
      <c r="U227" s="364">
        <v>2252649</v>
      </c>
      <c r="V227" s="365">
        <f t="shared" si="255"/>
        <v>1210317</v>
      </c>
      <c r="W227" s="398">
        <f t="shared" si="256"/>
        <v>0.46271389817055386</v>
      </c>
      <c r="Y227" s="351">
        <v>1439424</v>
      </c>
      <c r="Z227" s="351">
        <v>868623</v>
      </c>
      <c r="AA227" s="351">
        <v>765589.09</v>
      </c>
      <c r="AB227" s="366">
        <f t="shared" si="258"/>
        <v>0.53187183901338309</v>
      </c>
      <c r="AC227" s="366">
        <f t="shared" si="259"/>
        <v>0.72413131919434437</v>
      </c>
      <c r="AD227" s="367">
        <f t="shared" si="257"/>
        <v>6.1231608996467181E-7</v>
      </c>
      <c r="AF227" s="325">
        <f t="shared" si="240"/>
        <v>397092</v>
      </c>
      <c r="AG227" s="305">
        <v>397092</v>
      </c>
      <c r="AI227" s="351">
        <v>1439424</v>
      </c>
      <c r="AJ227" s="331">
        <f t="shared" si="260"/>
        <v>397092</v>
      </c>
      <c r="AK227" s="305">
        <v>397092</v>
      </c>
    </row>
    <row r="228" spans="1:37" ht="127.5">
      <c r="A228" s="360" t="s">
        <v>116</v>
      </c>
      <c r="B228" s="361" t="s">
        <v>1313</v>
      </c>
      <c r="C228" s="362" t="s">
        <v>635</v>
      </c>
      <c r="D228" s="362" t="s">
        <v>1098</v>
      </c>
      <c r="E228" s="362"/>
      <c r="F228" s="362" t="s">
        <v>1314</v>
      </c>
      <c r="G228" s="363">
        <v>3999999.13</v>
      </c>
      <c r="H228" s="376">
        <v>4000000</v>
      </c>
      <c r="I228" s="376">
        <v>7999999.1299999999</v>
      </c>
      <c r="J228" s="346">
        <v>556031.06999999995</v>
      </c>
      <c r="K228" s="346">
        <v>1205946</v>
      </c>
      <c r="L228" s="347">
        <v>306904</v>
      </c>
      <c r="M228" s="347">
        <v>49377</v>
      </c>
      <c r="N228" s="347">
        <v>0</v>
      </c>
      <c r="O228" s="346">
        <v>1314470</v>
      </c>
      <c r="P228" s="346">
        <v>2611610</v>
      </c>
      <c r="Q228" s="346">
        <v>682040</v>
      </c>
      <c r="R228" s="346">
        <f t="shared" si="238"/>
        <v>6726378.0700000003</v>
      </c>
      <c r="S228" s="344" t="s">
        <v>1315</v>
      </c>
      <c r="T228" s="325">
        <f t="shared" si="243"/>
        <v>1273621.0599999996</v>
      </c>
      <c r="U228" s="364">
        <v>1220584</v>
      </c>
      <c r="V228" s="365">
        <f t="shared" si="255"/>
        <v>14638</v>
      </c>
      <c r="W228" s="398">
        <f t="shared" si="256"/>
        <v>0.98800738007380073</v>
      </c>
      <c r="Y228" s="351">
        <v>1235969</v>
      </c>
      <c r="Z228" s="351">
        <v>902768</v>
      </c>
      <c r="AA228" s="351">
        <v>902762.84</v>
      </c>
      <c r="AB228" s="366">
        <f t="shared" si="258"/>
        <v>0.73040896656793164</v>
      </c>
      <c r="AC228" s="366">
        <f t="shared" si="259"/>
        <v>0.97570893768371214</v>
      </c>
      <c r="AD228" s="367">
        <f t="shared" si="257"/>
        <v>8.0907715666475955E-7</v>
      </c>
      <c r="AF228" s="325">
        <f t="shared" si="240"/>
        <v>30023</v>
      </c>
      <c r="AI228" s="351">
        <v>1235969</v>
      </c>
      <c r="AJ228" s="331">
        <f t="shared" si="260"/>
        <v>30023</v>
      </c>
    </row>
    <row r="229" spans="1:37" ht="38.25">
      <c r="A229" s="321" t="s">
        <v>835</v>
      </c>
      <c r="B229" s="359" t="s">
        <v>1316</v>
      </c>
      <c r="C229" s="341"/>
      <c r="D229" s="341"/>
      <c r="E229" s="341"/>
      <c r="F229" s="341"/>
      <c r="G229" s="370">
        <f>G230+G231</f>
        <v>54228885.850000001</v>
      </c>
      <c r="H229" s="370">
        <f t="shared" ref="H229:Q229" si="272">H230+H231</f>
        <v>15000000</v>
      </c>
      <c r="I229" s="370">
        <f t="shared" si="272"/>
        <v>69228885.849999994</v>
      </c>
      <c r="J229" s="370">
        <f t="shared" si="272"/>
        <v>4135117.1999999997</v>
      </c>
      <c r="K229" s="370">
        <f t="shared" si="272"/>
        <v>5454838</v>
      </c>
      <c r="L229" s="370">
        <f t="shared" si="272"/>
        <v>9319900</v>
      </c>
      <c r="M229" s="370">
        <f t="shared" si="272"/>
        <v>1603943</v>
      </c>
      <c r="N229" s="370">
        <f t="shared" si="272"/>
        <v>0</v>
      </c>
      <c r="O229" s="370">
        <f t="shared" si="272"/>
        <v>3181463</v>
      </c>
      <c r="P229" s="370">
        <f t="shared" si="272"/>
        <v>15000000</v>
      </c>
      <c r="Q229" s="370">
        <f t="shared" si="272"/>
        <v>15533624</v>
      </c>
      <c r="R229" s="346">
        <f t="shared" si="238"/>
        <v>54228885.200000003</v>
      </c>
      <c r="S229" s="344"/>
      <c r="T229" s="325">
        <f t="shared" si="243"/>
        <v>15000000.649999991</v>
      </c>
      <c r="U229" s="393">
        <f>U230+U231</f>
        <v>11357184</v>
      </c>
      <c r="V229" s="326">
        <f t="shared" si="255"/>
        <v>5902346</v>
      </c>
      <c r="W229" s="327">
        <f t="shared" si="256"/>
        <v>0.48029846130871878</v>
      </c>
      <c r="Y229" s="370">
        <f t="shared" ref="Y229:AA229" si="273">Y230+Y231</f>
        <v>6899662</v>
      </c>
      <c r="Z229" s="370">
        <f t="shared" si="273"/>
        <v>4569896</v>
      </c>
      <c r="AA229" s="370">
        <f t="shared" si="273"/>
        <v>4188786.02</v>
      </c>
      <c r="AB229" s="345">
        <f t="shared" si="258"/>
        <v>0.60710017679126893</v>
      </c>
      <c r="AC229" s="345">
        <f t="shared" si="259"/>
        <v>0.79059495957917936</v>
      </c>
      <c r="AD229" s="342">
        <f t="shared" si="257"/>
        <v>1.3284770086480499E-7</v>
      </c>
      <c r="AF229" s="325">
        <f t="shared" si="240"/>
        <v>1444824</v>
      </c>
      <c r="AI229" s="370">
        <f t="shared" ref="AI229" si="274">AI230+AI231</f>
        <v>6899662</v>
      </c>
      <c r="AJ229" s="331">
        <f t="shared" si="260"/>
        <v>1444824</v>
      </c>
    </row>
    <row r="230" spans="1:37" ht="63.75">
      <c r="A230" s="360" t="s">
        <v>78</v>
      </c>
      <c r="B230" s="361" t="s">
        <v>1317</v>
      </c>
      <c r="C230" s="362" t="s">
        <v>635</v>
      </c>
      <c r="D230" s="362" t="s">
        <v>1024</v>
      </c>
      <c r="E230" s="362" t="s">
        <v>1024</v>
      </c>
      <c r="F230" s="362" t="s">
        <v>1318</v>
      </c>
      <c r="G230" s="363">
        <v>47759948.920000002</v>
      </c>
      <c r="H230" s="363">
        <v>15000000</v>
      </c>
      <c r="I230" s="363">
        <v>62759948.920000002</v>
      </c>
      <c r="J230" s="346">
        <v>2875725.63</v>
      </c>
      <c r="K230" s="346">
        <v>4515977</v>
      </c>
      <c r="L230" s="347">
        <v>8230679</v>
      </c>
      <c r="M230" s="347">
        <v>1603943</v>
      </c>
      <c r="N230" s="347">
        <v>0</v>
      </c>
      <c r="O230" s="346">
        <v>0</v>
      </c>
      <c r="P230" s="346">
        <v>15000000</v>
      </c>
      <c r="Q230" s="346">
        <v>15533624</v>
      </c>
      <c r="R230" s="346">
        <f t="shared" si="238"/>
        <v>47759948.629999995</v>
      </c>
      <c r="S230" s="344" t="s">
        <v>1319</v>
      </c>
      <c r="T230" s="325">
        <f t="shared" si="243"/>
        <v>15000000.290000007</v>
      </c>
      <c r="U230" s="364">
        <v>9710296</v>
      </c>
      <c r="V230" s="365">
        <f t="shared" si="255"/>
        <v>5194319</v>
      </c>
      <c r="W230" s="398">
        <f t="shared" si="256"/>
        <v>0.46507099268652574</v>
      </c>
      <c r="Y230" s="351">
        <v>5252774</v>
      </c>
      <c r="Z230" s="351">
        <v>3638015</v>
      </c>
      <c r="AA230" s="351">
        <v>3462230.77</v>
      </c>
      <c r="AB230" s="366">
        <f t="shared" si="258"/>
        <v>0.65912425891538451</v>
      </c>
      <c r="AC230" s="366">
        <f t="shared" si="259"/>
        <v>0.85973182931532943</v>
      </c>
      <c r="AD230" s="367">
        <f t="shared" si="257"/>
        <v>1.811768942446319E-7</v>
      </c>
      <c r="AF230" s="325">
        <f t="shared" si="240"/>
        <v>736797</v>
      </c>
      <c r="AG230" s="305">
        <v>736797</v>
      </c>
      <c r="AI230" s="351">
        <v>5252774</v>
      </c>
      <c r="AJ230" s="331">
        <f t="shared" si="260"/>
        <v>736797</v>
      </c>
      <c r="AK230" s="305">
        <v>736797</v>
      </c>
    </row>
    <row r="231" spans="1:37" ht="63.75">
      <c r="A231" s="360" t="s">
        <v>79</v>
      </c>
      <c r="B231" s="361" t="s">
        <v>1320</v>
      </c>
      <c r="C231" s="362" t="s">
        <v>635</v>
      </c>
      <c r="D231" s="362" t="s">
        <v>1024</v>
      </c>
      <c r="E231" s="362" t="s">
        <v>1024</v>
      </c>
      <c r="F231" s="362" t="s">
        <v>1275</v>
      </c>
      <c r="G231" s="363">
        <v>6468936.9299999997</v>
      </c>
      <c r="H231" s="363">
        <v>0</v>
      </c>
      <c r="I231" s="363">
        <v>6468936.9299999997</v>
      </c>
      <c r="J231" s="346">
        <v>1259391.5699999998</v>
      </c>
      <c r="K231" s="346">
        <v>938861</v>
      </c>
      <c r="L231" s="347">
        <v>1089221</v>
      </c>
      <c r="M231" s="347">
        <v>0</v>
      </c>
      <c r="N231" s="347">
        <v>0</v>
      </c>
      <c r="O231" s="346">
        <v>3181463</v>
      </c>
      <c r="P231" s="346">
        <v>0</v>
      </c>
      <c r="Q231" s="346">
        <v>0</v>
      </c>
      <c r="R231" s="346">
        <f t="shared" si="238"/>
        <v>6468936.5700000003</v>
      </c>
      <c r="S231" s="344"/>
      <c r="T231" s="325">
        <f t="shared" si="243"/>
        <v>0.35999999940395355</v>
      </c>
      <c r="U231" s="364">
        <v>1646888</v>
      </c>
      <c r="V231" s="365">
        <f t="shared" si="255"/>
        <v>708027</v>
      </c>
      <c r="W231" s="398">
        <f t="shared" si="256"/>
        <v>0.57008187563453006</v>
      </c>
      <c r="Y231" s="351">
        <v>1646888</v>
      </c>
      <c r="Z231" s="351">
        <v>931881</v>
      </c>
      <c r="AA231" s="351">
        <v>726555.25</v>
      </c>
      <c r="AB231" s="366">
        <f t="shared" si="258"/>
        <v>0.44116858584190305</v>
      </c>
      <c r="AC231" s="366">
        <f t="shared" si="259"/>
        <v>0.57008187563453006</v>
      </c>
      <c r="AD231" s="367">
        <f t="shared" si="257"/>
        <v>4.7341729882023892E-7</v>
      </c>
      <c r="AF231" s="325">
        <f t="shared" si="240"/>
        <v>708027</v>
      </c>
      <c r="AG231" s="305">
        <v>708027</v>
      </c>
      <c r="AI231" s="351">
        <v>1646888</v>
      </c>
      <c r="AJ231" s="331">
        <f t="shared" si="260"/>
        <v>708027</v>
      </c>
      <c r="AK231" s="305">
        <v>708027</v>
      </c>
    </row>
    <row r="232" spans="1:37" ht="89.25">
      <c r="A232" s="321" t="s">
        <v>840</v>
      </c>
      <c r="B232" s="359" t="s">
        <v>1321</v>
      </c>
      <c r="C232" s="341" t="s">
        <v>1173</v>
      </c>
      <c r="D232" s="341"/>
      <c r="E232" s="341"/>
      <c r="F232" s="341"/>
      <c r="G232" s="370">
        <f>G233+G241</f>
        <v>485857472.94</v>
      </c>
      <c r="H232" s="370">
        <f t="shared" ref="H232:Q232" si="275">H233+H241</f>
        <v>11912839</v>
      </c>
      <c r="I232" s="370">
        <f t="shared" si="275"/>
        <v>497770311.94</v>
      </c>
      <c r="J232" s="370">
        <f t="shared" si="275"/>
        <v>254973513.23000002</v>
      </c>
      <c r="K232" s="370">
        <f t="shared" si="275"/>
        <v>49356950</v>
      </c>
      <c r="L232" s="370">
        <f t="shared" si="275"/>
        <v>63072637</v>
      </c>
      <c r="M232" s="370">
        <f t="shared" si="275"/>
        <v>40086042</v>
      </c>
      <c r="N232" s="370">
        <f t="shared" si="275"/>
        <v>6427858</v>
      </c>
      <c r="O232" s="370">
        <f t="shared" si="275"/>
        <v>9340274</v>
      </c>
      <c r="P232" s="370">
        <f t="shared" si="275"/>
        <v>36432581</v>
      </c>
      <c r="Q232" s="370">
        <f t="shared" si="275"/>
        <v>35768886</v>
      </c>
      <c r="R232" s="346">
        <f t="shared" si="238"/>
        <v>495458741.23000002</v>
      </c>
      <c r="S232" s="344"/>
      <c r="T232" s="325">
        <f t="shared" si="243"/>
        <v>2311570.7099999785</v>
      </c>
      <c r="U232" s="393">
        <f>U233+U241</f>
        <v>45180122</v>
      </c>
      <c r="V232" s="388">
        <f t="shared" si="255"/>
        <v>-4176828</v>
      </c>
      <c r="W232" s="327">
        <f t="shared" si="256"/>
        <v>1.092448355938481</v>
      </c>
      <c r="Y232" s="370">
        <f t="shared" ref="Y232:AA232" si="276">Y233+Y241</f>
        <v>43988516</v>
      </c>
      <c r="Z232" s="370">
        <f t="shared" si="276"/>
        <v>32679311</v>
      </c>
      <c r="AA232" s="370">
        <f t="shared" si="276"/>
        <v>31078097.670000002</v>
      </c>
      <c r="AB232" s="371">
        <f t="shared" si="258"/>
        <v>0.70650479934353783</v>
      </c>
      <c r="AC232" s="345">
        <f t="shared" si="259"/>
        <v>1.1220417165243766</v>
      </c>
      <c r="AD232" s="322">
        <f t="shared" si="257"/>
        <v>2.1619329714250642E-8</v>
      </c>
      <c r="AF232" s="325">
        <f t="shared" si="240"/>
        <v>-5368434</v>
      </c>
      <c r="AI232" s="370">
        <f t="shared" ref="AI232" si="277">AI233+AI241</f>
        <v>52566988</v>
      </c>
      <c r="AJ232" s="331">
        <f t="shared" si="260"/>
        <v>3210038</v>
      </c>
    </row>
    <row r="233" spans="1:37" ht="51">
      <c r="A233" s="427" t="s">
        <v>842</v>
      </c>
      <c r="B233" s="359" t="s">
        <v>1322</v>
      </c>
      <c r="C233" s="341" t="s">
        <v>1173</v>
      </c>
      <c r="D233" s="341" t="s">
        <v>1072</v>
      </c>
      <c r="E233" s="341"/>
      <c r="F233" s="341"/>
      <c r="G233" s="370">
        <f>G234+G235+G239+G240</f>
        <v>409161373.42000002</v>
      </c>
      <c r="H233" s="370">
        <f t="shared" ref="H233:Q233" si="278">H234+H235+H239+H240</f>
        <v>11912839</v>
      </c>
      <c r="I233" s="370">
        <f t="shared" si="278"/>
        <v>421074212.42000002</v>
      </c>
      <c r="J233" s="370">
        <f t="shared" si="278"/>
        <v>241423810.40000001</v>
      </c>
      <c r="K233" s="370">
        <f t="shared" si="278"/>
        <v>40637789</v>
      </c>
      <c r="L233" s="370">
        <f t="shared" si="278"/>
        <v>43556025</v>
      </c>
      <c r="M233" s="370">
        <f t="shared" si="278"/>
        <v>40086042</v>
      </c>
      <c r="N233" s="370">
        <f t="shared" si="278"/>
        <v>6427858</v>
      </c>
      <c r="O233" s="370">
        <f t="shared" si="278"/>
        <v>5884297</v>
      </c>
      <c r="P233" s="370">
        <f t="shared" si="278"/>
        <v>20539493</v>
      </c>
      <c r="Q233" s="370">
        <f t="shared" si="278"/>
        <v>20207328</v>
      </c>
      <c r="R233" s="346">
        <f t="shared" si="238"/>
        <v>418762642.39999998</v>
      </c>
      <c r="S233" s="344"/>
      <c r="T233" s="325">
        <f t="shared" si="243"/>
        <v>2311570.0200000405</v>
      </c>
      <c r="U233" s="393">
        <f>U234+U235+U239+U240</f>
        <v>33531448</v>
      </c>
      <c r="V233" s="326">
        <f t="shared" si="255"/>
        <v>-7106341</v>
      </c>
      <c r="W233" s="327">
        <f t="shared" si="256"/>
        <v>1.2119306329986108</v>
      </c>
      <c r="Y233" s="370">
        <f t="shared" ref="Y233:AA233" si="279">Y234+Y235+Y239+Y240</f>
        <v>33839842</v>
      </c>
      <c r="Z233" s="370">
        <f t="shared" si="279"/>
        <v>24532567</v>
      </c>
      <c r="AA233" s="370">
        <f t="shared" si="279"/>
        <v>24481380.710000001</v>
      </c>
      <c r="AB233" s="345">
        <f t="shared" si="258"/>
        <v>0.72344843424505356</v>
      </c>
      <c r="AC233" s="345">
        <f t="shared" si="259"/>
        <v>1.2008858965712665</v>
      </c>
      <c r="AD233" s="342">
        <f t="shared" si="257"/>
        <v>2.9489308405641103E-8</v>
      </c>
      <c r="AF233" s="325">
        <f t="shared" si="240"/>
        <v>-6797947</v>
      </c>
      <c r="AI233" s="370">
        <f t="shared" ref="AI233" si="280">AI234+AI235+AI239+AI240</f>
        <v>42418314</v>
      </c>
      <c r="AJ233" s="331">
        <f t="shared" si="260"/>
        <v>1780525</v>
      </c>
    </row>
    <row r="234" spans="1:37" ht="89.25">
      <c r="A234" s="360" t="s">
        <v>123</v>
      </c>
      <c r="B234" s="361" t="s">
        <v>1323</v>
      </c>
      <c r="C234" s="362" t="s">
        <v>1173</v>
      </c>
      <c r="D234" s="362" t="s">
        <v>1072</v>
      </c>
      <c r="E234" s="362" t="s">
        <v>1072</v>
      </c>
      <c r="F234" s="362" t="s">
        <v>1275</v>
      </c>
      <c r="G234" s="376">
        <v>315612565</v>
      </c>
      <c r="H234" s="363">
        <v>11000000</v>
      </c>
      <c r="I234" s="376">
        <v>326612565</v>
      </c>
      <c r="J234" s="346">
        <v>216184847.56</v>
      </c>
      <c r="K234" s="346">
        <v>33292282</v>
      </c>
      <c r="L234" s="347">
        <v>35464375</v>
      </c>
      <c r="M234" s="347">
        <v>35620760</v>
      </c>
      <c r="N234" s="347">
        <v>5210954</v>
      </c>
      <c r="O234" s="346">
        <v>0</v>
      </c>
      <c r="P234" s="346">
        <v>0</v>
      </c>
      <c r="Q234" s="346">
        <v>839346</v>
      </c>
      <c r="R234" s="346">
        <f t="shared" si="238"/>
        <v>326612564.56</v>
      </c>
      <c r="S234" s="344"/>
      <c r="T234" s="325">
        <f t="shared" si="243"/>
        <v>0.43999999761581421</v>
      </c>
      <c r="U234" s="402">
        <v>22353899</v>
      </c>
      <c r="V234" s="365">
        <f t="shared" si="255"/>
        <v>-10938383</v>
      </c>
      <c r="W234" s="398">
        <f t="shared" si="256"/>
        <v>1.4893277454640017</v>
      </c>
      <c r="Y234" s="351">
        <v>23520534</v>
      </c>
      <c r="Z234" s="351">
        <v>19779454</v>
      </c>
      <c r="AA234" s="351">
        <v>19779452.469999999</v>
      </c>
      <c r="AB234" s="366">
        <f t="shared" si="258"/>
        <v>0.84094402235935628</v>
      </c>
      <c r="AC234" s="366">
        <f t="shared" si="259"/>
        <v>1.4154560436425465</v>
      </c>
      <c r="AD234" s="367">
        <f t="shared" si="257"/>
        <v>4.2516038226300701E-8</v>
      </c>
      <c r="AF234" s="325">
        <f t="shared" si="240"/>
        <v>-9771748</v>
      </c>
      <c r="AG234" s="305">
        <v>-9771748</v>
      </c>
      <c r="AI234" s="351">
        <f>23520534+6848375+3950595</f>
        <v>34319504</v>
      </c>
      <c r="AJ234" s="331">
        <f t="shared" si="260"/>
        <v>1027222</v>
      </c>
      <c r="AK234" s="305">
        <v>1027222</v>
      </c>
    </row>
    <row r="235" spans="1:37" ht="51">
      <c r="A235" s="360" t="s">
        <v>846</v>
      </c>
      <c r="B235" s="361" t="s">
        <v>1324</v>
      </c>
      <c r="C235" s="362" t="s">
        <v>1173</v>
      </c>
      <c r="D235" s="362" t="s">
        <v>1072</v>
      </c>
      <c r="E235" s="362" t="s">
        <v>1072</v>
      </c>
      <c r="F235" s="362"/>
      <c r="G235" s="363">
        <f>G236+G237+G238</f>
        <v>81013117.670000002</v>
      </c>
      <c r="H235" s="363">
        <f t="shared" ref="H235:Q235" si="281">H236+H237+H238</f>
        <v>782839</v>
      </c>
      <c r="I235" s="363">
        <f t="shared" si="281"/>
        <v>81795956.670000002</v>
      </c>
      <c r="J235" s="363">
        <f t="shared" si="281"/>
        <v>22662295.98</v>
      </c>
      <c r="K235" s="363">
        <f t="shared" si="281"/>
        <v>5776253</v>
      </c>
      <c r="L235" s="363">
        <f t="shared" si="281"/>
        <v>5416095</v>
      </c>
      <c r="M235" s="363">
        <f t="shared" si="281"/>
        <v>1832052</v>
      </c>
      <c r="N235" s="363">
        <f t="shared" si="281"/>
        <v>189638</v>
      </c>
      <c r="O235" s="363">
        <f t="shared" si="281"/>
        <v>3860733</v>
      </c>
      <c r="P235" s="363">
        <f t="shared" si="281"/>
        <v>20539493</v>
      </c>
      <c r="Q235" s="363">
        <f t="shared" si="281"/>
        <v>19207829</v>
      </c>
      <c r="R235" s="346">
        <f t="shared" si="238"/>
        <v>79484388.980000004</v>
      </c>
      <c r="S235" s="344"/>
      <c r="T235" s="325">
        <f t="shared" si="243"/>
        <v>2311567.6899999976</v>
      </c>
      <c r="U235" s="396">
        <f>U236+U237+U238</f>
        <v>7579185</v>
      </c>
      <c r="V235" s="365">
        <f t="shared" si="255"/>
        <v>1802932</v>
      </c>
      <c r="W235" s="398">
        <f t="shared" si="256"/>
        <v>0.76212059739932458</v>
      </c>
      <c r="Y235" s="363">
        <f t="shared" ref="Y235:AA235" si="282">Y236+Y237+Y238</f>
        <v>7104493</v>
      </c>
      <c r="Z235" s="363">
        <f t="shared" si="282"/>
        <v>3956540</v>
      </c>
      <c r="AA235" s="363">
        <f t="shared" si="282"/>
        <v>3905358.39</v>
      </c>
      <c r="AB235" s="366">
        <f t="shared" si="258"/>
        <v>0.54970261635840867</v>
      </c>
      <c r="AC235" s="366">
        <f t="shared" si="259"/>
        <v>0.81304225368368999</v>
      </c>
      <c r="AD235" s="367">
        <f t="shared" si="257"/>
        <v>1.3893518487325002E-7</v>
      </c>
      <c r="AF235" s="325">
        <f t="shared" si="240"/>
        <v>1328240</v>
      </c>
      <c r="AI235" s="363">
        <f t="shared" ref="AI235" si="283">AI236+AI237+AI238</f>
        <v>6595381</v>
      </c>
      <c r="AJ235" s="331">
        <f t="shared" si="260"/>
        <v>819128</v>
      </c>
    </row>
    <row r="236" spans="1:37" ht="63.75">
      <c r="A236" s="360" t="s">
        <v>124</v>
      </c>
      <c r="B236" s="372" t="s">
        <v>1325</v>
      </c>
      <c r="C236" s="362" t="s">
        <v>1173</v>
      </c>
      <c r="D236" s="362" t="s">
        <v>1072</v>
      </c>
      <c r="E236" s="362" t="s">
        <v>1072</v>
      </c>
      <c r="F236" s="362" t="s">
        <v>1275</v>
      </c>
      <c r="G236" s="376">
        <v>13774958</v>
      </c>
      <c r="H236" s="363">
        <v>782839</v>
      </c>
      <c r="I236" s="376">
        <v>14557797</v>
      </c>
      <c r="J236" s="346">
        <v>3583419.75</v>
      </c>
      <c r="K236" s="346">
        <v>1366142</v>
      </c>
      <c r="L236" s="347">
        <v>687882</v>
      </c>
      <c r="M236" s="347">
        <v>0</v>
      </c>
      <c r="N236" s="347">
        <v>0</v>
      </c>
      <c r="O236" s="346">
        <v>1532411</v>
      </c>
      <c r="P236" s="346">
        <v>3072691</v>
      </c>
      <c r="Q236" s="346">
        <v>2003684</v>
      </c>
      <c r="R236" s="346">
        <f t="shared" si="238"/>
        <v>12246229.75</v>
      </c>
      <c r="S236" s="344" t="s">
        <v>1326</v>
      </c>
      <c r="T236" s="325">
        <f t="shared" si="243"/>
        <v>2311567.25</v>
      </c>
      <c r="U236" s="402">
        <v>1780873</v>
      </c>
      <c r="V236" s="365">
        <f t="shared" si="255"/>
        <v>414731</v>
      </c>
      <c r="W236" s="398">
        <f t="shared" si="256"/>
        <v>0.76711927240179401</v>
      </c>
      <c r="Y236" s="351">
        <v>997787</v>
      </c>
      <c r="Z236" s="351">
        <v>752931</v>
      </c>
      <c r="AA236" s="351">
        <v>752929.11</v>
      </c>
      <c r="AB236" s="366">
        <f t="shared" si="258"/>
        <v>0.75459903767036451</v>
      </c>
      <c r="AC236" s="366">
        <f t="shared" si="259"/>
        <v>1.3691719775863986</v>
      </c>
      <c r="AD236" s="367">
        <f t="shared" si="257"/>
        <v>1.0022153924733667E-6</v>
      </c>
      <c r="AF236" s="325">
        <f t="shared" si="240"/>
        <v>-368355</v>
      </c>
      <c r="AG236" s="305">
        <v>-368355</v>
      </c>
      <c r="AI236" s="351">
        <f>997787+499104+125640</f>
        <v>1622531</v>
      </c>
      <c r="AJ236" s="331">
        <f t="shared" si="260"/>
        <v>256389</v>
      </c>
      <c r="AK236" s="305">
        <v>256389</v>
      </c>
    </row>
    <row r="237" spans="1:37" ht="63.75">
      <c r="A237" s="360" t="s">
        <v>125</v>
      </c>
      <c r="B237" s="372" t="s">
        <v>1327</v>
      </c>
      <c r="C237" s="362" t="s">
        <v>1173</v>
      </c>
      <c r="D237" s="362" t="s">
        <v>1072</v>
      </c>
      <c r="E237" s="362" t="s">
        <v>1072</v>
      </c>
      <c r="F237" s="362" t="s">
        <v>1328</v>
      </c>
      <c r="G237" s="363">
        <v>28182440.399999999</v>
      </c>
      <c r="H237" s="363">
        <v>0</v>
      </c>
      <c r="I237" s="363">
        <v>28182440.399999999</v>
      </c>
      <c r="J237" s="346">
        <v>17084335.82</v>
      </c>
      <c r="K237" s="346">
        <v>3601441</v>
      </c>
      <c r="L237" s="347">
        <v>3649712</v>
      </c>
      <c r="M237" s="347">
        <v>1832052</v>
      </c>
      <c r="N237" s="347">
        <v>189638</v>
      </c>
      <c r="O237" s="346">
        <v>0</v>
      </c>
      <c r="P237" s="346">
        <v>179599</v>
      </c>
      <c r="Q237" s="346">
        <v>1645662</v>
      </c>
      <c r="R237" s="346">
        <f t="shared" si="238"/>
        <v>28182439.82</v>
      </c>
      <c r="S237" s="344"/>
      <c r="T237" s="325">
        <f t="shared" si="243"/>
        <v>0.57999999821186066</v>
      </c>
      <c r="U237" s="402">
        <v>4543513</v>
      </c>
      <c r="V237" s="365">
        <f t="shared" si="255"/>
        <v>942072</v>
      </c>
      <c r="W237" s="398">
        <f t="shared" si="256"/>
        <v>0.79265559491081017</v>
      </c>
      <c r="Y237" s="351">
        <v>4543513</v>
      </c>
      <c r="Z237" s="351">
        <v>2565518</v>
      </c>
      <c r="AA237" s="351">
        <v>2565511.12</v>
      </c>
      <c r="AB237" s="366">
        <f t="shared" si="258"/>
        <v>0.56465363255260859</v>
      </c>
      <c r="AC237" s="366">
        <f t="shared" si="259"/>
        <v>0.79265559491081017</v>
      </c>
      <c r="AD237" s="367">
        <f t="shared" si="257"/>
        <v>2.2009342072540852E-7</v>
      </c>
      <c r="AF237" s="325">
        <f t="shared" si="240"/>
        <v>942072</v>
      </c>
      <c r="AI237" s="351">
        <f>4543513-574994-131132</f>
        <v>3837387</v>
      </c>
      <c r="AJ237" s="331">
        <f t="shared" si="260"/>
        <v>235946</v>
      </c>
    </row>
    <row r="238" spans="1:37" ht="63.75">
      <c r="A238" s="360" t="s">
        <v>126</v>
      </c>
      <c r="B238" s="372" t="s">
        <v>1329</v>
      </c>
      <c r="C238" s="362" t="s">
        <v>1173</v>
      </c>
      <c r="D238" s="362" t="s">
        <v>1330</v>
      </c>
      <c r="E238" s="362" t="s">
        <v>1202</v>
      </c>
      <c r="F238" s="362" t="s">
        <v>1328</v>
      </c>
      <c r="G238" s="363">
        <v>39055719.270000003</v>
      </c>
      <c r="H238" s="363">
        <v>0</v>
      </c>
      <c r="I238" s="363">
        <v>39055719.270000003</v>
      </c>
      <c r="J238" s="346">
        <v>1994540.4100000001</v>
      </c>
      <c r="K238" s="346">
        <v>808670</v>
      </c>
      <c r="L238" s="347">
        <v>1078501</v>
      </c>
      <c r="M238" s="347">
        <v>0</v>
      </c>
      <c r="N238" s="347">
        <v>0</v>
      </c>
      <c r="O238" s="346">
        <v>2328322</v>
      </c>
      <c r="P238" s="346">
        <v>17287203</v>
      </c>
      <c r="Q238" s="346">
        <v>15558483</v>
      </c>
      <c r="R238" s="346">
        <f t="shared" si="238"/>
        <v>39055719.409999996</v>
      </c>
      <c r="S238" s="344" t="s">
        <v>1286</v>
      </c>
      <c r="T238" s="325">
        <f t="shared" si="243"/>
        <v>-0.13999999314546585</v>
      </c>
      <c r="U238" s="364">
        <v>1254799</v>
      </c>
      <c r="V238" s="365">
        <f t="shared" si="255"/>
        <v>446129</v>
      </c>
      <c r="W238" s="398">
        <f t="shared" si="256"/>
        <v>0.64446178232529672</v>
      </c>
      <c r="Y238" s="351">
        <v>1563193</v>
      </c>
      <c r="Z238" s="351">
        <v>638091</v>
      </c>
      <c r="AA238" s="351">
        <v>586918.16</v>
      </c>
      <c r="AB238" s="366">
        <f t="shared" si="258"/>
        <v>0.37546109789386212</v>
      </c>
      <c r="AC238" s="366">
        <f t="shared" si="259"/>
        <v>0.51731935851811006</v>
      </c>
      <c r="AD238" s="367">
        <f t="shared" si="257"/>
        <v>5.8841309138330136E-7</v>
      </c>
      <c r="AF238" s="325">
        <f t="shared" si="240"/>
        <v>754523</v>
      </c>
      <c r="AI238" s="351">
        <f>1563193-427730</f>
        <v>1135463</v>
      </c>
      <c r="AJ238" s="331">
        <f t="shared" si="260"/>
        <v>326793</v>
      </c>
    </row>
    <row r="239" spans="1:37" ht="51">
      <c r="A239" s="360" t="s">
        <v>140</v>
      </c>
      <c r="B239" s="361" t="s">
        <v>1288</v>
      </c>
      <c r="C239" s="362" t="s">
        <v>1173</v>
      </c>
      <c r="D239" s="362" t="s">
        <v>1072</v>
      </c>
      <c r="E239" s="362" t="s">
        <v>1072</v>
      </c>
      <c r="F239" s="362" t="s">
        <v>1182</v>
      </c>
      <c r="G239" s="363">
        <v>4568226</v>
      </c>
      <c r="H239" s="363">
        <v>0</v>
      </c>
      <c r="I239" s="363">
        <v>4568226</v>
      </c>
      <c r="J239" s="346">
        <v>321947.70999999996</v>
      </c>
      <c r="K239" s="346">
        <v>393890</v>
      </c>
      <c r="L239" s="347">
        <v>860583</v>
      </c>
      <c r="M239" s="347">
        <v>1128611</v>
      </c>
      <c r="N239" s="347">
        <v>564306</v>
      </c>
      <c r="O239" s="346">
        <v>1138735</v>
      </c>
      <c r="P239" s="346">
        <v>0</v>
      </c>
      <c r="Q239" s="346">
        <v>160153</v>
      </c>
      <c r="R239" s="346">
        <f t="shared" si="238"/>
        <v>4568225.71</v>
      </c>
      <c r="S239" s="344"/>
      <c r="T239" s="325">
        <f t="shared" si="243"/>
        <v>0.2900000000372529</v>
      </c>
      <c r="U239" s="385">
        <v>1796480</v>
      </c>
      <c r="V239" s="365">
        <f t="shared" si="255"/>
        <v>1402590</v>
      </c>
      <c r="W239" s="398">
        <f t="shared" si="256"/>
        <v>0.21925654613466333</v>
      </c>
      <c r="Y239" s="351">
        <v>1569124</v>
      </c>
      <c r="Z239" s="351">
        <v>70784</v>
      </c>
      <c r="AA239" s="351">
        <v>70782.759999999995</v>
      </c>
      <c r="AB239" s="366">
        <f t="shared" si="258"/>
        <v>4.510973001496376E-2</v>
      </c>
      <c r="AC239" s="366">
        <f t="shared" si="259"/>
        <v>0.25102541290554475</v>
      </c>
      <c r="AD239" s="367">
        <f t="shared" si="257"/>
        <v>6.3728709899078547E-7</v>
      </c>
      <c r="AF239" s="325">
        <f t="shared" si="240"/>
        <v>1175234</v>
      </c>
      <c r="AI239" s="351">
        <f>1569124-801216-349397</f>
        <v>418511</v>
      </c>
      <c r="AJ239" s="331">
        <f t="shared" si="260"/>
        <v>24621</v>
      </c>
    </row>
    <row r="240" spans="1:37" ht="51">
      <c r="A240" s="360" t="s">
        <v>141</v>
      </c>
      <c r="B240" s="361" t="s">
        <v>1331</v>
      </c>
      <c r="C240" s="362" t="s">
        <v>1173</v>
      </c>
      <c r="D240" s="362" t="s">
        <v>1072</v>
      </c>
      <c r="E240" s="362" t="s">
        <v>1072</v>
      </c>
      <c r="F240" s="362" t="s">
        <v>1332</v>
      </c>
      <c r="G240" s="363">
        <v>7967464.75</v>
      </c>
      <c r="H240" s="363">
        <v>130000</v>
      </c>
      <c r="I240" s="363">
        <v>8097464.75</v>
      </c>
      <c r="J240" s="346">
        <v>2254719.15</v>
      </c>
      <c r="K240" s="346">
        <v>1175364</v>
      </c>
      <c r="L240" s="347">
        <v>1814972</v>
      </c>
      <c r="M240" s="347">
        <v>1504619</v>
      </c>
      <c r="N240" s="347">
        <v>462960</v>
      </c>
      <c r="O240" s="346">
        <v>884829</v>
      </c>
      <c r="P240" s="346">
        <v>0</v>
      </c>
      <c r="Q240" s="346">
        <v>0</v>
      </c>
      <c r="R240" s="346">
        <f t="shared" si="238"/>
        <v>8097463.1500000004</v>
      </c>
      <c r="S240" s="344"/>
      <c r="T240" s="325">
        <f t="shared" si="243"/>
        <v>1.599999999627471</v>
      </c>
      <c r="U240" s="364">
        <v>1801884</v>
      </c>
      <c r="V240" s="365">
        <f t="shared" si="255"/>
        <v>626520</v>
      </c>
      <c r="W240" s="398">
        <f t="shared" si="256"/>
        <v>0.6522972621988985</v>
      </c>
      <c r="Y240" s="351">
        <v>1645691</v>
      </c>
      <c r="Z240" s="351">
        <v>725789</v>
      </c>
      <c r="AA240" s="351">
        <v>725787.09</v>
      </c>
      <c r="AB240" s="366">
        <f t="shared" si="258"/>
        <v>0.44102270110245484</v>
      </c>
      <c r="AC240" s="366">
        <f t="shared" si="259"/>
        <v>0.71420698053279752</v>
      </c>
      <c r="AD240" s="367">
        <f t="shared" si="257"/>
        <v>6.0764588758227917E-7</v>
      </c>
      <c r="AF240" s="325">
        <f t="shared" si="240"/>
        <v>470327</v>
      </c>
      <c r="AI240" s="351">
        <f>1645691-462826-97947</f>
        <v>1084918</v>
      </c>
      <c r="AJ240" s="331">
        <f t="shared" si="260"/>
        <v>-90446</v>
      </c>
    </row>
    <row r="241" spans="1:37" ht="38.25">
      <c r="A241" s="321" t="s">
        <v>853</v>
      </c>
      <c r="B241" s="359" t="s">
        <v>1333</v>
      </c>
      <c r="C241" s="341" t="s">
        <v>1173</v>
      </c>
      <c r="D241" s="341" t="s">
        <v>1024</v>
      </c>
      <c r="E241" s="341"/>
      <c r="F241" s="341"/>
      <c r="G241" s="370">
        <f>G242+G245+G246+G247</f>
        <v>76696099.519999996</v>
      </c>
      <c r="H241" s="370">
        <f t="shared" ref="H241:Q241" si="284">H242+H245+H246+H247</f>
        <v>0</v>
      </c>
      <c r="I241" s="370">
        <f t="shared" si="284"/>
        <v>76696099.519999996</v>
      </c>
      <c r="J241" s="370">
        <f t="shared" si="284"/>
        <v>13549702.83</v>
      </c>
      <c r="K241" s="370">
        <f t="shared" si="284"/>
        <v>8719161</v>
      </c>
      <c r="L241" s="370">
        <f t="shared" si="284"/>
        <v>19516612</v>
      </c>
      <c r="M241" s="370">
        <f t="shared" si="284"/>
        <v>0</v>
      </c>
      <c r="N241" s="370">
        <f t="shared" si="284"/>
        <v>0</v>
      </c>
      <c r="O241" s="370">
        <f t="shared" si="284"/>
        <v>3455977</v>
      </c>
      <c r="P241" s="370">
        <f t="shared" si="284"/>
        <v>15893088</v>
      </c>
      <c r="Q241" s="370">
        <f t="shared" si="284"/>
        <v>15561558</v>
      </c>
      <c r="R241" s="346">
        <f t="shared" si="238"/>
        <v>76696098.829999998</v>
      </c>
      <c r="S241" s="344"/>
      <c r="T241" s="325">
        <f t="shared" si="243"/>
        <v>0.68999999761581421</v>
      </c>
      <c r="U241" s="393">
        <f>U242+U245+U246+U247</f>
        <v>11648674</v>
      </c>
      <c r="V241" s="326">
        <f t="shared" si="255"/>
        <v>2929513</v>
      </c>
      <c r="W241" s="327">
        <f t="shared" si="256"/>
        <v>0.74851103224281146</v>
      </c>
      <c r="Y241" s="370">
        <f t="shared" ref="Y241:AA241" si="285">Y242+Y245+Y246+Y247</f>
        <v>10148674</v>
      </c>
      <c r="Z241" s="370">
        <f t="shared" si="285"/>
        <v>8146744</v>
      </c>
      <c r="AA241" s="370">
        <f t="shared" si="285"/>
        <v>6596716.96</v>
      </c>
      <c r="AB241" s="345">
        <f t="shared" si="258"/>
        <v>0.65000777047326574</v>
      </c>
      <c r="AC241" s="345">
        <f t="shared" si="259"/>
        <v>0.85914287915840037</v>
      </c>
      <c r="AD241" s="342">
        <f t="shared" si="257"/>
        <v>7.9787430472010139E-8</v>
      </c>
      <c r="AF241" s="325">
        <f t="shared" si="240"/>
        <v>1429513</v>
      </c>
      <c r="AI241" s="370">
        <f t="shared" ref="AI241" si="286">AI242+AI245+AI246+AI247</f>
        <v>10148674</v>
      </c>
      <c r="AJ241" s="331">
        <f t="shared" si="260"/>
        <v>1429513</v>
      </c>
    </row>
    <row r="242" spans="1:37" ht="63.75">
      <c r="A242" s="360" t="s">
        <v>855</v>
      </c>
      <c r="B242" s="361" t="s">
        <v>1334</v>
      </c>
      <c r="C242" s="362" t="s">
        <v>1173</v>
      </c>
      <c r="D242" s="362" t="s">
        <v>1024</v>
      </c>
      <c r="E242" s="362" t="s">
        <v>1024</v>
      </c>
      <c r="F242" s="362" t="s">
        <v>1335</v>
      </c>
      <c r="G242" s="363">
        <f>G243+G244</f>
        <v>55330599.289999999</v>
      </c>
      <c r="H242" s="363">
        <f t="shared" ref="H242:Q242" si="287">H243+H244</f>
        <v>0</v>
      </c>
      <c r="I242" s="363">
        <f t="shared" si="287"/>
        <v>55330599.289999999</v>
      </c>
      <c r="J242" s="363">
        <f t="shared" si="287"/>
        <v>8303693.8499999996</v>
      </c>
      <c r="K242" s="363">
        <f t="shared" si="287"/>
        <v>3974341</v>
      </c>
      <c r="L242" s="363">
        <f t="shared" si="287"/>
        <v>10427862</v>
      </c>
      <c r="M242" s="363">
        <f t="shared" si="287"/>
        <v>0</v>
      </c>
      <c r="N242" s="363">
        <f t="shared" si="287"/>
        <v>0</v>
      </c>
      <c r="O242" s="363">
        <f t="shared" si="287"/>
        <v>3455977</v>
      </c>
      <c r="P242" s="363">
        <f t="shared" si="287"/>
        <v>15893088</v>
      </c>
      <c r="Q242" s="363">
        <f t="shared" si="287"/>
        <v>13275637</v>
      </c>
      <c r="R242" s="346">
        <f t="shared" si="238"/>
        <v>55330598.850000001</v>
      </c>
      <c r="S242" s="344"/>
      <c r="T242" s="325">
        <f t="shared" si="243"/>
        <v>0.43999999761581421</v>
      </c>
      <c r="U242" s="402">
        <f>U243+U244</f>
        <v>5237945</v>
      </c>
      <c r="V242" s="365">
        <f t="shared" si="255"/>
        <v>1263604</v>
      </c>
      <c r="W242" s="398">
        <f t="shared" si="256"/>
        <v>0.75875958987732783</v>
      </c>
      <c r="Y242" s="363">
        <f t="shared" ref="Y242:AA242" si="288">Y243+Y244</f>
        <v>5237945</v>
      </c>
      <c r="Z242" s="363">
        <f t="shared" si="288"/>
        <v>3775015</v>
      </c>
      <c r="AA242" s="363">
        <f t="shared" si="288"/>
        <v>3695988.93</v>
      </c>
      <c r="AB242" s="366">
        <f t="shared" si="258"/>
        <v>0.70561812504713206</v>
      </c>
      <c r="AC242" s="366">
        <f t="shared" si="259"/>
        <v>0.75875958987732783</v>
      </c>
      <c r="AD242" s="367">
        <f t="shared" si="257"/>
        <v>1.8691796590136253E-7</v>
      </c>
      <c r="AF242" s="325">
        <f t="shared" si="240"/>
        <v>1263604</v>
      </c>
      <c r="AI242" s="363">
        <f t="shared" ref="AI242" si="289">AI243+AI244</f>
        <v>5237945</v>
      </c>
      <c r="AJ242" s="331">
        <f t="shared" si="260"/>
        <v>1263604</v>
      </c>
    </row>
    <row r="243" spans="1:37" ht="76.5">
      <c r="A243" s="360" t="s">
        <v>150</v>
      </c>
      <c r="B243" s="361" t="s">
        <v>1336</v>
      </c>
      <c r="C243" s="362"/>
      <c r="D243" s="362" t="s">
        <v>1024</v>
      </c>
      <c r="E243" s="362"/>
      <c r="F243" s="362" t="s">
        <v>1337</v>
      </c>
      <c r="G243" s="363">
        <v>54746209.329999998</v>
      </c>
      <c r="H243" s="363">
        <v>0</v>
      </c>
      <c r="I243" s="363">
        <v>54746209.329999998</v>
      </c>
      <c r="J243" s="346">
        <v>8303693.8499999996</v>
      </c>
      <c r="K243" s="346">
        <v>3974341</v>
      </c>
      <c r="L243" s="347">
        <v>10427862</v>
      </c>
      <c r="M243" s="347">
        <v>0</v>
      </c>
      <c r="N243" s="347">
        <v>0</v>
      </c>
      <c r="O243" s="346">
        <v>3455977</v>
      </c>
      <c r="P243" s="346">
        <v>15893088</v>
      </c>
      <c r="Q243" s="346">
        <v>12691247</v>
      </c>
      <c r="R243" s="346">
        <f t="shared" si="238"/>
        <v>54746208.850000001</v>
      </c>
      <c r="S243" s="344"/>
      <c r="T243" s="325">
        <f t="shared" si="243"/>
        <v>0.47999999672174454</v>
      </c>
      <c r="U243" s="402">
        <v>5237945</v>
      </c>
      <c r="V243" s="365">
        <f t="shared" si="255"/>
        <v>1263604</v>
      </c>
      <c r="W243" s="398">
        <f t="shared" si="256"/>
        <v>0.75875958987732783</v>
      </c>
      <c r="Y243" s="351">
        <v>5237945</v>
      </c>
      <c r="Z243" s="351">
        <v>3775015</v>
      </c>
      <c r="AA243" s="351">
        <v>3695988.93</v>
      </c>
      <c r="AB243" s="366">
        <f t="shared" si="258"/>
        <v>0.70561812504713206</v>
      </c>
      <c r="AC243" s="366">
        <f t="shared" si="259"/>
        <v>0.75875958987732783</v>
      </c>
      <c r="AD243" s="367">
        <f t="shared" si="257"/>
        <v>1.8691796590136253E-7</v>
      </c>
      <c r="AF243" s="325">
        <f t="shared" si="240"/>
        <v>1263604</v>
      </c>
      <c r="AI243" s="351">
        <v>5237945</v>
      </c>
      <c r="AJ243" s="331">
        <f t="shared" si="260"/>
        <v>1263604</v>
      </c>
    </row>
    <row r="244" spans="1:37" ht="76.5">
      <c r="A244" s="360" t="s">
        <v>149</v>
      </c>
      <c r="B244" s="361" t="s">
        <v>1338</v>
      </c>
      <c r="C244" s="362"/>
      <c r="D244" s="362" t="s">
        <v>1024</v>
      </c>
      <c r="E244" s="362"/>
      <c r="F244" s="362" t="s">
        <v>1337</v>
      </c>
      <c r="G244" s="363">
        <v>584389.96</v>
      </c>
      <c r="H244" s="363">
        <v>0</v>
      </c>
      <c r="I244" s="363">
        <v>584389.96</v>
      </c>
      <c r="J244" s="346">
        <v>0</v>
      </c>
      <c r="K244" s="346">
        <v>0</v>
      </c>
      <c r="L244" s="347">
        <v>0</v>
      </c>
      <c r="M244" s="347">
        <v>0</v>
      </c>
      <c r="N244" s="347">
        <v>0</v>
      </c>
      <c r="O244" s="346">
        <v>0</v>
      </c>
      <c r="P244" s="346">
        <v>0</v>
      </c>
      <c r="Q244" s="346">
        <v>584390</v>
      </c>
      <c r="R244" s="346">
        <f t="shared" si="238"/>
        <v>584390</v>
      </c>
      <c r="S244" s="344" t="s">
        <v>1339</v>
      </c>
      <c r="T244" s="325">
        <f t="shared" si="243"/>
        <v>-4.0000000037252903E-2</v>
      </c>
      <c r="U244" s="402">
        <v>0</v>
      </c>
      <c r="V244" s="365">
        <f t="shared" si="255"/>
        <v>0</v>
      </c>
      <c r="W244" s="398" t="e">
        <f t="shared" si="256"/>
        <v>#DIV/0!</v>
      </c>
      <c r="Y244" s="351">
        <v>0</v>
      </c>
      <c r="Z244" s="351">
        <v>0</v>
      </c>
      <c r="AA244" s="351">
        <v>0</v>
      </c>
      <c r="AB244" s="366" t="e">
        <f t="shared" si="258"/>
        <v>#DIV/0!</v>
      </c>
      <c r="AC244" s="366" t="e">
        <f t="shared" si="259"/>
        <v>#DIV/0!</v>
      </c>
      <c r="AD244" s="367" t="e">
        <f t="shared" si="257"/>
        <v>#DIV/0!</v>
      </c>
      <c r="AF244" s="325">
        <f t="shared" si="240"/>
        <v>0</v>
      </c>
      <c r="AI244" s="351">
        <v>0</v>
      </c>
      <c r="AJ244" s="331">
        <f t="shared" si="260"/>
        <v>0</v>
      </c>
    </row>
    <row r="245" spans="1:37" ht="76.5">
      <c r="A245" s="360" t="s">
        <v>133</v>
      </c>
      <c r="B245" s="361" t="s">
        <v>1340</v>
      </c>
      <c r="C245" s="362" t="s">
        <v>1173</v>
      </c>
      <c r="D245" s="362" t="s">
        <v>1024</v>
      </c>
      <c r="E245" s="362" t="s">
        <v>1024</v>
      </c>
      <c r="F245" s="362" t="s">
        <v>1341</v>
      </c>
      <c r="G245" s="363">
        <v>21365500.23</v>
      </c>
      <c r="H245" s="363">
        <v>0</v>
      </c>
      <c r="I245" s="363">
        <v>21365500.23</v>
      </c>
      <c r="J245" s="346">
        <v>5246008.9800000004</v>
      </c>
      <c r="K245" s="346">
        <v>4744820</v>
      </c>
      <c r="L245" s="347">
        <v>9088750</v>
      </c>
      <c r="M245" s="347">
        <v>0</v>
      </c>
      <c r="N245" s="347">
        <v>0</v>
      </c>
      <c r="O245" s="346">
        <v>0</v>
      </c>
      <c r="P245" s="346">
        <v>0</v>
      </c>
      <c r="Q245" s="346">
        <v>2285921</v>
      </c>
      <c r="R245" s="382">
        <f t="shared" si="238"/>
        <v>21365499.98</v>
      </c>
      <c r="S245" s="344"/>
      <c r="T245" s="325">
        <f t="shared" si="243"/>
        <v>0.25</v>
      </c>
      <c r="U245" s="364">
        <v>6410729</v>
      </c>
      <c r="V245" s="365">
        <f t="shared" si="255"/>
        <v>1665909</v>
      </c>
      <c r="W245" s="398">
        <f t="shared" si="256"/>
        <v>0.74013735411370529</v>
      </c>
      <c r="Y245" s="351">
        <v>4910729</v>
      </c>
      <c r="Z245" s="351">
        <v>4371729</v>
      </c>
      <c r="AA245" s="351">
        <v>2900728.03</v>
      </c>
      <c r="AB245" s="366">
        <f t="shared" si="258"/>
        <v>0.59069193799942932</v>
      </c>
      <c r="AC245" s="366">
        <f t="shared" si="259"/>
        <v>0.96621499577761261</v>
      </c>
      <c r="AD245" s="367">
        <f t="shared" si="257"/>
        <v>1.3511632079651537E-7</v>
      </c>
      <c r="AF245" s="325">
        <f t="shared" si="240"/>
        <v>165909</v>
      </c>
      <c r="AI245" s="351">
        <v>4910729</v>
      </c>
      <c r="AJ245" s="331">
        <f t="shared" si="260"/>
        <v>165909</v>
      </c>
    </row>
    <row r="246" spans="1:37" ht="38.25">
      <c r="A246" s="360" t="s">
        <v>134</v>
      </c>
      <c r="B246" s="361" t="s">
        <v>1342</v>
      </c>
      <c r="C246" s="362" t="s">
        <v>1173</v>
      </c>
      <c r="D246" s="362" t="s">
        <v>1024</v>
      </c>
      <c r="E246" s="362" t="s">
        <v>1024</v>
      </c>
      <c r="F246" s="362" t="s">
        <v>1209</v>
      </c>
      <c r="G246" s="363">
        <v>0</v>
      </c>
      <c r="H246" s="363">
        <v>0</v>
      </c>
      <c r="I246" s="363">
        <v>0</v>
      </c>
      <c r="J246" s="346">
        <v>0</v>
      </c>
      <c r="K246" s="346">
        <v>0</v>
      </c>
      <c r="L246" s="347">
        <v>0</v>
      </c>
      <c r="M246" s="347">
        <v>0</v>
      </c>
      <c r="N246" s="347">
        <v>0</v>
      </c>
      <c r="O246" s="346">
        <v>0</v>
      </c>
      <c r="P246" s="346">
        <v>0</v>
      </c>
      <c r="Q246" s="346">
        <v>0</v>
      </c>
      <c r="R246" s="346">
        <f t="shared" si="238"/>
        <v>0</v>
      </c>
      <c r="S246" s="344"/>
      <c r="T246" s="325">
        <f t="shared" si="243"/>
        <v>0</v>
      </c>
      <c r="U246" s="364">
        <v>0</v>
      </c>
      <c r="V246" s="365">
        <f t="shared" si="255"/>
        <v>0</v>
      </c>
      <c r="W246" s="398" t="e">
        <f t="shared" si="256"/>
        <v>#DIV/0!</v>
      </c>
      <c r="Y246" s="351">
        <v>0</v>
      </c>
      <c r="Z246" s="351">
        <v>0</v>
      </c>
      <c r="AA246" s="351">
        <v>0</v>
      </c>
      <c r="AB246" s="366" t="e">
        <f t="shared" si="258"/>
        <v>#DIV/0!</v>
      </c>
      <c r="AC246" s="366" t="e">
        <f t="shared" si="259"/>
        <v>#DIV/0!</v>
      </c>
      <c r="AD246" s="367" t="e">
        <f t="shared" si="257"/>
        <v>#DIV/0!</v>
      </c>
      <c r="AF246" s="325">
        <f t="shared" si="240"/>
        <v>0</v>
      </c>
      <c r="AI246" s="351">
        <v>0</v>
      </c>
      <c r="AJ246" s="331">
        <f t="shared" si="260"/>
        <v>0</v>
      </c>
    </row>
    <row r="247" spans="1:37" ht="63.75">
      <c r="A247" s="360" t="s">
        <v>135</v>
      </c>
      <c r="B247" s="361" t="s">
        <v>1343</v>
      </c>
      <c r="C247" s="362" t="s">
        <v>1173</v>
      </c>
      <c r="D247" s="362" t="s">
        <v>1024</v>
      </c>
      <c r="E247" s="362" t="s">
        <v>1024</v>
      </c>
      <c r="F247" s="362" t="s">
        <v>1344</v>
      </c>
      <c r="G247" s="363">
        <v>0</v>
      </c>
      <c r="H247" s="363">
        <v>0</v>
      </c>
      <c r="I247" s="363">
        <v>0</v>
      </c>
      <c r="J247" s="346">
        <v>0</v>
      </c>
      <c r="K247" s="346">
        <v>0</v>
      </c>
      <c r="L247" s="347">
        <v>0</v>
      </c>
      <c r="M247" s="347">
        <v>0</v>
      </c>
      <c r="N247" s="347">
        <v>0</v>
      </c>
      <c r="O247" s="346">
        <v>0</v>
      </c>
      <c r="P247" s="346">
        <v>0</v>
      </c>
      <c r="Q247" s="346">
        <v>0</v>
      </c>
      <c r="R247" s="346">
        <f t="shared" si="238"/>
        <v>0</v>
      </c>
      <c r="S247" s="344"/>
      <c r="T247" s="325">
        <f t="shared" si="243"/>
        <v>0</v>
      </c>
      <c r="U247" s="364">
        <v>0</v>
      </c>
      <c r="V247" s="365">
        <f t="shared" si="255"/>
        <v>0</v>
      </c>
      <c r="W247" s="398" t="e">
        <f t="shared" si="256"/>
        <v>#DIV/0!</v>
      </c>
      <c r="Y247" s="351">
        <v>0</v>
      </c>
      <c r="Z247" s="351">
        <v>0</v>
      </c>
      <c r="AA247" s="351">
        <v>0</v>
      </c>
      <c r="AB247" s="366" t="e">
        <f t="shared" si="258"/>
        <v>#DIV/0!</v>
      </c>
      <c r="AC247" s="366" t="e">
        <f t="shared" si="259"/>
        <v>#DIV/0!</v>
      </c>
      <c r="AD247" s="367" t="e">
        <f t="shared" si="257"/>
        <v>#DIV/0!</v>
      </c>
      <c r="AF247" s="325">
        <f t="shared" si="240"/>
        <v>0</v>
      </c>
      <c r="AI247" s="351">
        <v>0</v>
      </c>
      <c r="AJ247" s="331">
        <f t="shared" si="260"/>
        <v>0</v>
      </c>
    </row>
    <row r="248" spans="1:37" ht="38.25">
      <c r="A248" s="321" t="s">
        <v>863</v>
      </c>
      <c r="B248" s="359" t="s">
        <v>1345</v>
      </c>
      <c r="C248" s="341" t="s">
        <v>635</v>
      </c>
      <c r="D248" s="341" t="s">
        <v>1072</v>
      </c>
      <c r="E248" s="341"/>
      <c r="F248" s="341"/>
      <c r="G248" s="370">
        <f>G249+G252</f>
        <v>226969402</v>
      </c>
      <c r="H248" s="370">
        <f t="shared" ref="H248:Q248" si="290">H249+H252</f>
        <v>43561543</v>
      </c>
      <c r="I248" s="370">
        <f t="shared" si="290"/>
        <v>270530945</v>
      </c>
      <c r="J248" s="370">
        <f t="shared" si="290"/>
        <v>127340408.99000001</v>
      </c>
      <c r="K248" s="370">
        <f t="shared" si="290"/>
        <v>25666449</v>
      </c>
      <c r="L248" s="370">
        <f t="shared" si="290"/>
        <v>21158456</v>
      </c>
      <c r="M248" s="370">
        <f t="shared" si="290"/>
        <v>3482960</v>
      </c>
      <c r="N248" s="370">
        <f t="shared" si="290"/>
        <v>0</v>
      </c>
      <c r="O248" s="370">
        <f t="shared" si="290"/>
        <v>24394051</v>
      </c>
      <c r="P248" s="370">
        <f t="shared" si="290"/>
        <v>26490189</v>
      </c>
      <c r="Q248" s="370">
        <f t="shared" si="290"/>
        <v>29729176</v>
      </c>
      <c r="R248" s="346">
        <f t="shared" si="238"/>
        <v>258261689.99000001</v>
      </c>
      <c r="S248" s="344"/>
      <c r="T248" s="325">
        <f t="shared" si="243"/>
        <v>12269255.00999999</v>
      </c>
      <c r="U248" s="393">
        <f>U249+U252</f>
        <v>32367865</v>
      </c>
      <c r="V248" s="326">
        <f t="shared" si="255"/>
        <v>6701416</v>
      </c>
      <c r="W248" s="327">
        <f t="shared" si="256"/>
        <v>0.79296082704250037</v>
      </c>
      <c r="Y248" s="370">
        <f t="shared" ref="Y248:AA248" si="291">Y249+Y252</f>
        <v>31550488</v>
      </c>
      <c r="Z248" s="370">
        <f t="shared" si="291"/>
        <v>16830101</v>
      </c>
      <c r="AA248" s="370">
        <f t="shared" si="291"/>
        <v>16532911.92</v>
      </c>
      <c r="AB248" s="345">
        <f t="shared" si="258"/>
        <v>0.52401445961786708</v>
      </c>
      <c r="AC248" s="345">
        <f t="shared" si="259"/>
        <v>0.81350402567465829</v>
      </c>
      <c r="AD248" s="342">
        <f t="shared" si="257"/>
        <v>3.1135550500728844E-8</v>
      </c>
      <c r="AF248" s="325">
        <f t="shared" si="240"/>
        <v>5884039</v>
      </c>
      <c r="AI248" s="370">
        <f t="shared" ref="AI248" si="292">AI249+AI252</f>
        <v>28803938</v>
      </c>
      <c r="AJ248" s="331">
        <f t="shared" si="260"/>
        <v>3137489</v>
      </c>
    </row>
    <row r="249" spans="1:37" ht="63.75">
      <c r="A249" s="321" t="s">
        <v>865</v>
      </c>
      <c r="B249" s="359" t="s">
        <v>1346</v>
      </c>
      <c r="C249" s="341" t="s">
        <v>635</v>
      </c>
      <c r="D249" s="341" t="s">
        <v>1072</v>
      </c>
      <c r="E249" s="341"/>
      <c r="F249" s="341"/>
      <c r="G249" s="370">
        <f>G250+G251</f>
        <v>217485002</v>
      </c>
      <c r="H249" s="370">
        <f t="shared" ref="H249:Q249" si="293">H250+H251</f>
        <v>25685543</v>
      </c>
      <c r="I249" s="370">
        <f t="shared" si="293"/>
        <v>243170545</v>
      </c>
      <c r="J249" s="370">
        <f t="shared" si="293"/>
        <v>127340408.99000001</v>
      </c>
      <c r="K249" s="370">
        <f t="shared" si="293"/>
        <v>22419313</v>
      </c>
      <c r="L249" s="370">
        <f t="shared" si="293"/>
        <v>20919200</v>
      </c>
      <c r="M249" s="370">
        <f t="shared" si="293"/>
        <v>3482960</v>
      </c>
      <c r="N249" s="370">
        <f t="shared" si="293"/>
        <v>0</v>
      </c>
      <c r="O249" s="370">
        <f t="shared" si="293"/>
        <v>18105637</v>
      </c>
      <c r="P249" s="370">
        <f t="shared" si="293"/>
        <v>18105637</v>
      </c>
      <c r="Q249" s="370">
        <f t="shared" si="293"/>
        <v>23440762</v>
      </c>
      <c r="R249" s="346">
        <f t="shared" si="238"/>
        <v>233813917.99000001</v>
      </c>
      <c r="S249" s="344"/>
      <c r="T249" s="325">
        <f t="shared" si="243"/>
        <v>9356627.0099999905</v>
      </c>
      <c r="U249" s="393">
        <f>U250+U251</f>
        <v>32367865</v>
      </c>
      <c r="V249" s="326">
        <f t="shared" si="255"/>
        <v>9948552</v>
      </c>
      <c r="W249" s="327">
        <f t="shared" si="256"/>
        <v>0.69264108089921905</v>
      </c>
      <c r="Y249" s="370">
        <f t="shared" ref="Y249:AA249" si="294">Y250+Y251</f>
        <v>28358458</v>
      </c>
      <c r="Z249" s="370">
        <f t="shared" si="294"/>
        <v>14670674</v>
      </c>
      <c r="AA249" s="370">
        <f t="shared" si="294"/>
        <v>14373484.92</v>
      </c>
      <c r="AB249" s="345">
        <f t="shared" si="258"/>
        <v>0.50685001702137678</v>
      </c>
      <c r="AC249" s="345">
        <f t="shared" si="259"/>
        <v>0.79056883135183165</v>
      </c>
      <c r="AD249" s="342">
        <f t="shared" si="257"/>
        <v>3.4548516109169681E-8</v>
      </c>
      <c r="AF249" s="325">
        <f t="shared" si="240"/>
        <v>5939145</v>
      </c>
      <c r="AI249" s="370">
        <f t="shared" ref="AI249" si="295">AI250+AI251</f>
        <v>28358458</v>
      </c>
      <c r="AJ249" s="331">
        <f t="shared" si="260"/>
        <v>5939145</v>
      </c>
    </row>
    <row r="250" spans="1:37" ht="114.75">
      <c r="A250" s="360" t="s">
        <v>107</v>
      </c>
      <c r="B250" s="361" t="s">
        <v>1347</v>
      </c>
      <c r="C250" s="362" t="s">
        <v>635</v>
      </c>
      <c r="D250" s="362" t="s">
        <v>1072</v>
      </c>
      <c r="E250" s="362" t="s">
        <v>1216</v>
      </c>
      <c r="F250" s="362" t="s">
        <v>1275</v>
      </c>
      <c r="G250" s="363">
        <v>209216720</v>
      </c>
      <c r="H250" s="428">
        <v>25685543</v>
      </c>
      <c r="I250" s="363">
        <f>G250+H250</f>
        <v>234902263</v>
      </c>
      <c r="J250" s="346">
        <v>126337848.99000001</v>
      </c>
      <c r="K250" s="346">
        <v>21796488</v>
      </c>
      <c r="L250" s="347">
        <v>15508622</v>
      </c>
      <c r="M250" s="347">
        <v>3221210</v>
      </c>
      <c r="N250" s="347">
        <v>0</v>
      </c>
      <c r="O250" s="346">
        <v>18105637</v>
      </c>
      <c r="P250" s="346">
        <v>18105637</v>
      </c>
      <c r="Q250" s="429">
        <v>23440762</v>
      </c>
      <c r="R250" s="346">
        <f t="shared" si="238"/>
        <v>226516204.99000001</v>
      </c>
      <c r="S250" s="344" t="s">
        <v>1348</v>
      </c>
      <c r="T250" s="325">
        <f t="shared" si="243"/>
        <v>8386058.0099999905</v>
      </c>
      <c r="U250" s="416">
        <v>29084990</v>
      </c>
      <c r="V250" s="365">
        <f t="shared" si="255"/>
        <v>7288502</v>
      </c>
      <c r="W250" s="398">
        <f t="shared" si="256"/>
        <v>0.74940675585585559</v>
      </c>
      <c r="Y250" s="351">
        <v>27819269</v>
      </c>
      <c r="Z250" s="351">
        <v>14670674</v>
      </c>
      <c r="AA250" s="351">
        <v>14373484.92</v>
      </c>
      <c r="AB250" s="366">
        <f t="shared" si="258"/>
        <v>0.51667370986635197</v>
      </c>
      <c r="AC250" s="366">
        <f t="shared" si="259"/>
        <v>0.78350326171402995</v>
      </c>
      <c r="AD250" s="367">
        <f t="shared" si="257"/>
        <v>3.5218130391715607E-8</v>
      </c>
      <c r="AF250" s="325">
        <f t="shared" si="240"/>
        <v>6022781</v>
      </c>
      <c r="AG250" s="305">
        <v>6022781</v>
      </c>
      <c r="AI250" s="351">
        <v>27819269</v>
      </c>
      <c r="AJ250" s="331">
        <f t="shared" si="260"/>
        <v>6022781</v>
      </c>
      <c r="AK250" s="305">
        <v>6022781</v>
      </c>
    </row>
    <row r="251" spans="1:37" ht="114.75">
      <c r="A251" s="360" t="s">
        <v>108</v>
      </c>
      <c r="B251" s="361" t="s">
        <v>1349</v>
      </c>
      <c r="C251" s="362" t="s">
        <v>635</v>
      </c>
      <c r="D251" s="362" t="s">
        <v>1072</v>
      </c>
      <c r="E251" s="362" t="s">
        <v>1216</v>
      </c>
      <c r="F251" s="362" t="s">
        <v>1275</v>
      </c>
      <c r="G251" s="363">
        <v>8268282</v>
      </c>
      <c r="H251" s="363">
        <v>0</v>
      </c>
      <c r="I251" s="363">
        <v>8268282</v>
      </c>
      <c r="J251" s="346">
        <v>1002560</v>
      </c>
      <c r="K251" s="346">
        <v>622825</v>
      </c>
      <c r="L251" s="347">
        <v>5410578</v>
      </c>
      <c r="M251" s="347">
        <v>261750</v>
      </c>
      <c r="N251" s="347">
        <v>0</v>
      </c>
      <c r="O251" s="346">
        <v>0</v>
      </c>
      <c r="P251" s="346">
        <v>0</v>
      </c>
      <c r="Q251" s="346">
        <v>0</v>
      </c>
      <c r="R251" s="346">
        <f t="shared" si="238"/>
        <v>7297713</v>
      </c>
      <c r="S251" s="344" t="s">
        <v>1348</v>
      </c>
      <c r="T251" s="325">
        <f t="shared" si="243"/>
        <v>970569</v>
      </c>
      <c r="U251" s="385">
        <v>3282875</v>
      </c>
      <c r="V251" s="365">
        <f t="shared" si="255"/>
        <v>2660050</v>
      </c>
      <c r="W251" s="398">
        <f t="shared" si="256"/>
        <v>0.18971937707040323</v>
      </c>
      <c r="Y251" s="351">
        <v>539189</v>
      </c>
      <c r="Z251" s="351">
        <v>0</v>
      </c>
      <c r="AA251" s="351">
        <v>0</v>
      </c>
      <c r="AB251" s="366">
        <f t="shared" si="258"/>
        <v>0</v>
      </c>
      <c r="AC251" s="366">
        <f t="shared" si="259"/>
        <v>1.1551144403910316</v>
      </c>
      <c r="AD251" s="367" t="e">
        <f t="shared" si="257"/>
        <v>#DIV/0!</v>
      </c>
      <c r="AF251" s="325">
        <f>Y251-K251</f>
        <v>-83636</v>
      </c>
      <c r="AG251" s="305">
        <v>-83636</v>
      </c>
      <c r="AI251" s="351">
        <v>539189</v>
      </c>
      <c r="AJ251" s="331">
        <f t="shared" si="260"/>
        <v>-83636</v>
      </c>
      <c r="AK251" s="305">
        <v>-83636</v>
      </c>
    </row>
    <row r="252" spans="1:37" ht="63.75">
      <c r="A252" s="321" t="s">
        <v>869</v>
      </c>
      <c r="B252" s="359" t="s">
        <v>1350</v>
      </c>
      <c r="C252" s="341" t="s">
        <v>635</v>
      </c>
      <c r="D252" s="341" t="s">
        <v>1072</v>
      </c>
      <c r="E252" s="341"/>
      <c r="F252" s="341"/>
      <c r="G252" s="370">
        <f>G253</f>
        <v>9484400</v>
      </c>
      <c r="H252" s="370">
        <f t="shared" ref="H252:Q252" si="296">H253</f>
        <v>17876000</v>
      </c>
      <c r="I252" s="370">
        <f t="shared" si="296"/>
        <v>27360400</v>
      </c>
      <c r="J252" s="370">
        <f t="shared" si="296"/>
        <v>0</v>
      </c>
      <c r="K252" s="370">
        <f t="shared" si="296"/>
        <v>3247136</v>
      </c>
      <c r="L252" s="370">
        <f t="shared" si="296"/>
        <v>239256</v>
      </c>
      <c r="M252" s="370">
        <f t="shared" si="296"/>
        <v>0</v>
      </c>
      <c r="N252" s="370">
        <f t="shared" si="296"/>
        <v>0</v>
      </c>
      <c r="O252" s="370">
        <f t="shared" si="296"/>
        <v>6288414</v>
      </c>
      <c r="P252" s="370">
        <f t="shared" si="296"/>
        <v>8384552</v>
      </c>
      <c r="Q252" s="370">
        <f t="shared" si="296"/>
        <v>6288414</v>
      </c>
      <c r="R252" s="346">
        <f t="shared" si="238"/>
        <v>24447772</v>
      </c>
      <c r="S252" s="344"/>
      <c r="T252" s="325">
        <f t="shared" si="243"/>
        <v>2912628</v>
      </c>
      <c r="U252" s="326">
        <f>U253</f>
        <v>0</v>
      </c>
      <c r="V252" s="388">
        <f t="shared" si="255"/>
        <v>-3247136</v>
      </c>
      <c r="W252" s="399" t="e">
        <f t="shared" si="256"/>
        <v>#DIV/0!</v>
      </c>
      <c r="Y252" s="370">
        <f t="shared" ref="Y252:AA252" si="297">Y253</f>
        <v>3192030</v>
      </c>
      <c r="Z252" s="370">
        <f t="shared" si="297"/>
        <v>2159427</v>
      </c>
      <c r="AA252" s="370">
        <f t="shared" si="297"/>
        <v>2159427</v>
      </c>
      <c r="AB252" s="371">
        <f t="shared" si="258"/>
        <v>0.6765058599073317</v>
      </c>
      <c r="AC252" s="371">
        <f t="shared" si="259"/>
        <v>1.0172636222090645</v>
      </c>
      <c r="AD252" s="322">
        <f t="shared" si="257"/>
        <v>3.1328026365666987E-7</v>
      </c>
      <c r="AF252" s="325">
        <f t="shared" si="240"/>
        <v>-55106</v>
      </c>
      <c r="AI252" s="370">
        <f t="shared" ref="AI252" si="298">AI253</f>
        <v>445480</v>
      </c>
      <c r="AJ252" s="331">
        <f t="shared" si="260"/>
        <v>-2801656</v>
      </c>
    </row>
    <row r="253" spans="1:37" ht="114.75">
      <c r="A253" s="360" t="s">
        <v>138</v>
      </c>
      <c r="B253" s="361" t="s">
        <v>1351</v>
      </c>
      <c r="C253" s="362" t="s">
        <v>635</v>
      </c>
      <c r="D253" s="362" t="s">
        <v>1072</v>
      </c>
      <c r="E253" s="362" t="s">
        <v>1216</v>
      </c>
      <c r="F253" s="362" t="s">
        <v>1275</v>
      </c>
      <c r="G253" s="363">
        <v>9484400</v>
      </c>
      <c r="H253" s="363">
        <v>17876000</v>
      </c>
      <c r="I253" s="363">
        <v>27360400</v>
      </c>
      <c r="J253" s="346">
        <v>0</v>
      </c>
      <c r="K253" s="346">
        <v>3247136</v>
      </c>
      <c r="L253" s="347">
        <v>239256</v>
      </c>
      <c r="M253" s="347">
        <v>0</v>
      </c>
      <c r="N253" s="347">
        <v>0</v>
      </c>
      <c r="O253" s="346">
        <v>6288414</v>
      </c>
      <c r="P253" s="346">
        <v>8384552</v>
      </c>
      <c r="Q253" s="346">
        <v>6288414</v>
      </c>
      <c r="R253" s="346">
        <f t="shared" si="238"/>
        <v>24447772</v>
      </c>
      <c r="S253" s="344" t="s">
        <v>1352</v>
      </c>
      <c r="T253" s="325">
        <f t="shared" si="243"/>
        <v>2912628</v>
      </c>
      <c r="U253" s="385">
        <v>0</v>
      </c>
      <c r="V253" s="365">
        <f t="shared" si="255"/>
        <v>-3247136</v>
      </c>
      <c r="W253" s="398" t="e">
        <f t="shared" si="256"/>
        <v>#DIV/0!</v>
      </c>
      <c r="Y253" s="351">
        <v>3192030</v>
      </c>
      <c r="Z253" s="351">
        <v>2159427</v>
      </c>
      <c r="AA253" s="351">
        <v>2159427</v>
      </c>
      <c r="AB253" s="366">
        <f t="shared" si="258"/>
        <v>0.6765058599073317</v>
      </c>
      <c r="AC253" s="366">
        <f t="shared" si="259"/>
        <v>1.0172636222090645</v>
      </c>
      <c r="AD253" s="367">
        <f t="shared" si="257"/>
        <v>3.1328026365666987E-7</v>
      </c>
      <c r="AF253" s="325">
        <f t="shared" si="240"/>
        <v>-55106</v>
      </c>
      <c r="AG253" s="305">
        <v>-55106</v>
      </c>
      <c r="AI253" s="351">
        <f>3192030-2746550</f>
        <v>445480</v>
      </c>
      <c r="AJ253" s="331">
        <f t="shared" si="260"/>
        <v>-2801656</v>
      </c>
      <c r="AK253" s="305">
        <v>-2801656</v>
      </c>
    </row>
    <row r="254" spans="1:37" ht="229.5">
      <c r="A254" s="430"/>
      <c r="B254" s="431" t="s">
        <v>1353</v>
      </c>
      <c r="C254" s="432" t="s">
        <v>1354</v>
      </c>
      <c r="D254" s="432" t="s">
        <v>1079</v>
      </c>
      <c r="E254" s="432"/>
      <c r="F254" s="433" t="s">
        <v>1182</v>
      </c>
      <c r="G254" s="434">
        <v>78064529</v>
      </c>
      <c r="H254" s="434">
        <v>0</v>
      </c>
      <c r="I254" s="434">
        <v>78064529</v>
      </c>
      <c r="J254" s="435">
        <v>32109688.689999998</v>
      </c>
      <c r="K254" s="435">
        <v>10679913</v>
      </c>
      <c r="L254" s="436">
        <v>13080178</v>
      </c>
      <c r="M254" s="436">
        <v>8479655</v>
      </c>
      <c r="N254" s="436">
        <v>3688910</v>
      </c>
      <c r="O254" s="435">
        <v>1180103</v>
      </c>
      <c r="P254" s="435">
        <v>3583847</v>
      </c>
      <c r="Q254" s="435">
        <v>5262234</v>
      </c>
      <c r="R254" s="437">
        <f t="shared" si="238"/>
        <v>78064528.689999998</v>
      </c>
      <c r="S254" s="438" t="s">
        <v>1355</v>
      </c>
      <c r="T254" s="325">
        <f t="shared" si="243"/>
        <v>0.31000000238418579</v>
      </c>
      <c r="U254" s="439">
        <v>12516695</v>
      </c>
      <c r="V254" s="326">
        <f t="shared" si="255"/>
        <v>1836782</v>
      </c>
      <c r="W254" s="327">
        <f t="shared" si="256"/>
        <v>0.85325343471259785</v>
      </c>
      <c r="Y254" s="440">
        <v>12641532</v>
      </c>
      <c r="Z254" s="440">
        <v>8742763</v>
      </c>
      <c r="AA254" s="440">
        <v>7960408.6800000006</v>
      </c>
      <c r="AB254" s="371">
        <f t="shared" si="258"/>
        <v>0.62970284614238214</v>
      </c>
      <c r="AC254" s="371">
        <f t="shared" si="259"/>
        <v>0.84482743072595945</v>
      </c>
      <c r="AD254" s="322">
        <f t="shared" si="257"/>
        <v>7.2025610912978208E-8</v>
      </c>
      <c r="AF254" s="325">
        <f t="shared" si="240"/>
        <v>1961619</v>
      </c>
      <c r="AI254" s="440">
        <f>12641532-407451</f>
        <v>12234081</v>
      </c>
      <c r="AJ254" s="331">
        <f t="shared" si="260"/>
        <v>1554168</v>
      </c>
    </row>
    <row r="255" spans="1:37">
      <c r="A255" s="441"/>
      <c r="B255" s="312" t="s">
        <v>1356</v>
      </c>
      <c r="C255" s="312"/>
      <c r="D255" s="312"/>
      <c r="E255" s="312"/>
      <c r="F255" s="312"/>
      <c r="G255" s="312"/>
      <c r="H255" s="312"/>
      <c r="I255" s="312"/>
      <c r="J255" s="312"/>
      <c r="K255" s="312"/>
      <c r="L255" s="442">
        <f>523799164-L8-L9-L10-L11</f>
        <v>40958045.50999999</v>
      </c>
      <c r="M255" s="442">
        <f>519254630-M8-M9-M10-M11</f>
        <v>301555707</v>
      </c>
      <c r="N255" s="442">
        <f>322306655-N8-N9-N10-N11</f>
        <v>258004216</v>
      </c>
      <c r="O255" s="312"/>
      <c r="P255" s="312"/>
      <c r="Q255" s="312"/>
      <c r="R255" s="312"/>
      <c r="S255" s="344"/>
      <c r="T255" s="312"/>
      <c r="U255" s="443">
        <f>581367245-U8-U9-U10-U11</f>
        <v>44755338</v>
      </c>
      <c r="V255" s="326">
        <f>581367245-V8-V9-V10-V11</f>
        <v>470322423.51999998</v>
      </c>
      <c r="W255" s="326">
        <f>581367245-W8-W9-W10-W11</f>
        <v>581367241.47143435</v>
      </c>
      <c r="Y255" s="349"/>
      <c r="Z255" s="349"/>
      <c r="AA255" s="349"/>
      <c r="AB255" s="350"/>
      <c r="AC255" s="350"/>
      <c r="AD255" s="350"/>
    </row>
    <row r="256" spans="1:37">
      <c r="A256" s="441"/>
      <c r="B256" s="312"/>
      <c r="C256" s="312"/>
      <c r="D256" s="312"/>
      <c r="E256" s="312"/>
      <c r="F256" s="312"/>
      <c r="G256" s="312"/>
      <c r="H256" s="312"/>
      <c r="I256" s="312"/>
      <c r="J256" s="312"/>
      <c r="K256" s="312"/>
      <c r="L256" s="444"/>
      <c r="M256" s="444"/>
      <c r="N256" s="444"/>
      <c r="O256" s="312"/>
      <c r="P256" s="312"/>
      <c r="Q256" s="312"/>
      <c r="R256" s="312"/>
      <c r="S256" s="344"/>
      <c r="T256" s="312"/>
      <c r="U256" s="445"/>
    </row>
    <row r="257" spans="1:32" s="328" customFormat="1">
      <c r="A257" s="446" t="s">
        <v>1072</v>
      </c>
      <c r="B257" s="447"/>
      <c r="C257" s="447"/>
      <c r="D257" s="447"/>
      <c r="E257" s="447"/>
      <c r="F257" s="447"/>
      <c r="G257" s="447"/>
      <c r="H257" s="447"/>
      <c r="I257" s="447"/>
      <c r="J257" s="448">
        <f>J258+J259+J260</f>
        <v>477088630.06999999</v>
      </c>
      <c r="K257" s="448">
        <f t="shared" ref="K257:AA257" si="299">K258+K259+K260</f>
        <v>107826238</v>
      </c>
      <c r="L257" s="448">
        <f t="shared" si="299"/>
        <v>95260096.599999994</v>
      </c>
      <c r="M257" s="448">
        <f t="shared" si="299"/>
        <v>55663228</v>
      </c>
      <c r="N257" s="448">
        <f t="shared" si="299"/>
        <v>10880809</v>
      </c>
      <c r="O257" s="448">
        <f t="shared" si="299"/>
        <v>55106927.399999999</v>
      </c>
      <c r="P257" s="448">
        <f t="shared" si="299"/>
        <v>97640605</v>
      </c>
      <c r="Q257" s="448">
        <f t="shared" si="299"/>
        <v>91694963</v>
      </c>
      <c r="R257" s="448">
        <f t="shared" si="299"/>
        <v>991161497.06999993</v>
      </c>
      <c r="S257" s="448"/>
      <c r="T257" s="448">
        <f>T258+T259+T260</f>
        <v>15005850.710000049</v>
      </c>
      <c r="U257" s="449">
        <f t="shared" si="299"/>
        <v>114006755</v>
      </c>
      <c r="V257" s="449">
        <f t="shared" si="299"/>
        <v>6180517</v>
      </c>
      <c r="W257" s="450">
        <f>K257/U257</f>
        <v>0.94578815088632251</v>
      </c>
      <c r="X257" s="449"/>
      <c r="Y257" s="449">
        <f t="shared" si="299"/>
        <v>120729247</v>
      </c>
      <c r="Z257" s="449">
        <f t="shared" si="299"/>
        <v>75816983</v>
      </c>
      <c r="AA257" s="449">
        <f t="shared" si="299"/>
        <v>72301849.49000001</v>
      </c>
      <c r="AB257" s="450">
        <f>AA257/Y257</f>
        <v>0.59887600798172802</v>
      </c>
      <c r="AC257" s="450">
        <f>K257/Y257</f>
        <v>0.89312441416950117</v>
      </c>
      <c r="AD257" s="449"/>
      <c r="AF257" s="309"/>
    </row>
    <row r="258" spans="1:32">
      <c r="A258" s="312"/>
      <c r="B258" s="312" t="s">
        <v>467</v>
      </c>
      <c r="C258" s="312"/>
      <c r="D258" s="312"/>
      <c r="E258" s="312"/>
      <c r="F258" s="312"/>
      <c r="G258" s="312"/>
      <c r="H258" s="312"/>
      <c r="I258" s="312"/>
      <c r="J258" s="442">
        <f>J104</f>
        <v>3198606</v>
      </c>
      <c r="K258" s="442">
        <f t="shared" ref="K258:AA258" si="300">K104</f>
        <v>884381</v>
      </c>
      <c r="L258" s="442">
        <f t="shared" si="300"/>
        <v>401701</v>
      </c>
      <c r="M258" s="442">
        <f>M104</f>
        <v>47848</v>
      </c>
      <c r="N258" s="442">
        <f t="shared" si="300"/>
        <v>13795</v>
      </c>
      <c r="O258" s="442">
        <f t="shared" si="300"/>
        <v>271737</v>
      </c>
      <c r="P258" s="442">
        <f t="shared" si="300"/>
        <v>8284</v>
      </c>
      <c r="Q258" s="442">
        <f>Q104</f>
        <v>0</v>
      </c>
      <c r="R258" s="442">
        <f>R104</f>
        <v>4826352</v>
      </c>
      <c r="S258" s="442"/>
      <c r="T258" s="442">
        <f t="shared" si="300"/>
        <v>200364.3599999994</v>
      </c>
      <c r="U258" s="451">
        <f t="shared" si="300"/>
        <v>1325820</v>
      </c>
      <c r="V258" s="451">
        <f t="shared" si="300"/>
        <v>441439</v>
      </c>
      <c r="W258" s="452">
        <f t="shared" ref="W258:W287" si="301">K258/U258</f>
        <v>0.66704454601680474</v>
      </c>
      <c r="X258" s="451"/>
      <c r="Y258" s="451">
        <f t="shared" si="300"/>
        <v>1325820</v>
      </c>
      <c r="Z258" s="451">
        <f t="shared" si="300"/>
        <v>925986</v>
      </c>
      <c r="AA258" s="451">
        <f t="shared" si="300"/>
        <v>787809.32000000007</v>
      </c>
      <c r="AB258" s="452">
        <f t="shared" ref="AB258:AB287" si="302">AA258/Y258</f>
        <v>0.59420533707441436</v>
      </c>
      <c r="AC258" s="452">
        <f t="shared" ref="AC258:AC287" si="303">K258/Y258</f>
        <v>0.66704454601680474</v>
      </c>
      <c r="AD258" s="451"/>
    </row>
    <row r="259" spans="1:32">
      <c r="A259" s="441"/>
      <c r="B259" s="312" t="s">
        <v>1173</v>
      </c>
      <c r="C259" s="312"/>
      <c r="D259" s="312"/>
      <c r="E259" s="312"/>
      <c r="F259" s="312"/>
      <c r="G259" s="312"/>
      <c r="H259" s="312"/>
      <c r="I259" s="312"/>
      <c r="J259" s="442">
        <f>J233+J206</f>
        <v>241423810.40000001</v>
      </c>
      <c r="K259" s="442">
        <f t="shared" ref="K259:AA259" si="304">K233+K206</f>
        <v>42949357</v>
      </c>
      <c r="L259" s="442">
        <f t="shared" si="304"/>
        <v>47430232</v>
      </c>
      <c r="M259" s="442">
        <f t="shared" si="304"/>
        <v>44513707</v>
      </c>
      <c r="N259" s="442">
        <f t="shared" si="304"/>
        <v>9195148</v>
      </c>
      <c r="O259" s="442">
        <f t="shared" si="304"/>
        <v>5884297</v>
      </c>
      <c r="P259" s="442">
        <f t="shared" si="304"/>
        <v>20539493</v>
      </c>
      <c r="Q259" s="442">
        <f t="shared" si="304"/>
        <v>20207328</v>
      </c>
      <c r="R259" s="442">
        <f t="shared" si="304"/>
        <v>432143372.39999998</v>
      </c>
      <c r="S259" s="442"/>
      <c r="T259" s="442">
        <f t="shared" si="304"/>
        <v>3.0200000405311584</v>
      </c>
      <c r="U259" s="451">
        <f t="shared" si="304"/>
        <v>33531448</v>
      </c>
      <c r="V259" s="451">
        <f t="shared" si="304"/>
        <v>-9417909</v>
      </c>
      <c r="W259" s="452">
        <f t="shared" si="301"/>
        <v>1.2808679482019387</v>
      </c>
      <c r="X259" s="451"/>
      <c r="Y259" s="451">
        <f t="shared" si="304"/>
        <v>33839842</v>
      </c>
      <c r="Z259" s="451">
        <f t="shared" si="304"/>
        <v>24532567</v>
      </c>
      <c r="AA259" s="451">
        <f t="shared" si="304"/>
        <v>24481380.710000001</v>
      </c>
      <c r="AB259" s="452">
        <f t="shared" si="302"/>
        <v>0.72344843424505356</v>
      </c>
      <c r="AC259" s="452">
        <f t="shared" si="303"/>
        <v>1.2691949625533121</v>
      </c>
      <c r="AD259" s="451"/>
    </row>
    <row r="260" spans="1:32">
      <c r="A260" s="441"/>
      <c r="B260" s="312" t="s">
        <v>635</v>
      </c>
      <c r="C260" s="312"/>
      <c r="D260" s="312"/>
      <c r="E260" s="312"/>
      <c r="F260" s="312"/>
      <c r="G260" s="312"/>
      <c r="H260" s="312"/>
      <c r="I260" s="312"/>
      <c r="J260" s="442">
        <f>J210+J192+J194+J248+J171+J172</f>
        <v>232466213.66999999</v>
      </c>
      <c r="K260" s="442">
        <f t="shared" ref="K260:AA260" si="305">K210+K192+K194+K248+K171+K172</f>
        <v>63992500</v>
      </c>
      <c r="L260" s="442">
        <f t="shared" si="305"/>
        <v>47428163.600000001</v>
      </c>
      <c r="M260" s="442">
        <f t="shared" si="305"/>
        <v>11101673</v>
      </c>
      <c r="N260" s="442">
        <f t="shared" si="305"/>
        <v>1671866</v>
      </c>
      <c r="O260" s="442">
        <f t="shared" si="305"/>
        <v>48950893.399999999</v>
      </c>
      <c r="P260" s="442">
        <f t="shared" si="305"/>
        <v>77092828</v>
      </c>
      <c r="Q260" s="442">
        <f t="shared" si="305"/>
        <v>71487635</v>
      </c>
      <c r="R260" s="442">
        <f t="shared" si="305"/>
        <v>554191772.66999996</v>
      </c>
      <c r="S260" s="442"/>
      <c r="T260" s="442">
        <f t="shared" si="305"/>
        <v>14805483.330000009</v>
      </c>
      <c r="U260" s="451">
        <f t="shared" si="305"/>
        <v>79149487</v>
      </c>
      <c r="V260" s="451">
        <f t="shared" si="305"/>
        <v>15156987</v>
      </c>
      <c r="W260" s="452">
        <f t="shared" si="301"/>
        <v>0.8085017657789747</v>
      </c>
      <c r="X260" s="451"/>
      <c r="Y260" s="451">
        <f t="shared" si="305"/>
        <v>85563585</v>
      </c>
      <c r="Z260" s="451">
        <f t="shared" si="305"/>
        <v>50358430</v>
      </c>
      <c r="AA260" s="451">
        <f t="shared" si="305"/>
        <v>47032659.460000001</v>
      </c>
      <c r="AB260" s="452">
        <f t="shared" si="302"/>
        <v>0.54968079539911752</v>
      </c>
      <c r="AC260" s="452">
        <f t="shared" si="303"/>
        <v>0.74789409536778995</v>
      </c>
      <c r="AD260" s="451"/>
    </row>
    <row r="261" spans="1:32" s="328" customFormat="1">
      <c r="A261" s="446" t="s">
        <v>1237</v>
      </c>
      <c r="B261" s="447"/>
      <c r="C261" s="447"/>
      <c r="D261" s="447"/>
      <c r="E261" s="447"/>
      <c r="F261" s="447"/>
      <c r="G261" s="447"/>
      <c r="H261" s="447"/>
      <c r="I261" s="447"/>
      <c r="J261" s="448">
        <f>J262+J263</f>
        <v>334240350.67000002</v>
      </c>
      <c r="K261" s="448">
        <f t="shared" ref="K261:AA261" si="306">K262+K263</f>
        <v>105290542.52</v>
      </c>
      <c r="L261" s="448">
        <f t="shared" si="306"/>
        <v>165642419</v>
      </c>
      <c r="M261" s="448">
        <f t="shared" si="306"/>
        <v>82471547</v>
      </c>
      <c r="N261" s="448">
        <f t="shared" si="306"/>
        <v>31217387</v>
      </c>
      <c r="O261" s="448">
        <f t="shared" si="306"/>
        <v>19449299</v>
      </c>
      <c r="P261" s="448">
        <f t="shared" si="306"/>
        <v>126607714.45</v>
      </c>
      <c r="Q261" s="448">
        <f t="shared" si="306"/>
        <v>112839083.47</v>
      </c>
      <c r="R261" s="448">
        <f t="shared" si="306"/>
        <v>977758343.11000001</v>
      </c>
      <c r="S261" s="448"/>
      <c r="T261" s="448">
        <f t="shared" si="306"/>
        <v>3651810.416812025</v>
      </c>
      <c r="U261" s="449">
        <f t="shared" si="306"/>
        <v>188145240</v>
      </c>
      <c r="V261" s="449">
        <f t="shared" si="306"/>
        <v>82854697.480000004</v>
      </c>
      <c r="W261" s="450">
        <f t="shared" si="301"/>
        <v>0.5596237381291177</v>
      </c>
      <c r="X261" s="449"/>
      <c r="Y261" s="449">
        <f t="shared" si="306"/>
        <v>148341916</v>
      </c>
      <c r="Z261" s="449">
        <f t="shared" si="306"/>
        <v>99485399</v>
      </c>
      <c r="AA261" s="449">
        <f t="shared" si="306"/>
        <v>99475488.129999995</v>
      </c>
      <c r="AB261" s="450">
        <f t="shared" si="302"/>
        <v>0.67058246793846177</v>
      </c>
      <c r="AC261" s="450">
        <f t="shared" si="303"/>
        <v>0.70978281364520057</v>
      </c>
      <c r="AD261" s="449"/>
      <c r="AF261" s="309"/>
    </row>
    <row r="262" spans="1:32">
      <c r="A262" s="312"/>
      <c r="B262" s="312" t="s">
        <v>635</v>
      </c>
      <c r="C262" s="312"/>
      <c r="D262" s="312"/>
      <c r="E262" s="312"/>
      <c r="F262" s="312"/>
      <c r="G262" s="312"/>
      <c r="H262" s="312"/>
      <c r="I262" s="312"/>
      <c r="J262" s="442">
        <f>J182+J195+J196</f>
        <v>100407601.08</v>
      </c>
      <c r="K262" s="442">
        <f t="shared" ref="K262:AA262" si="307">K182+K195+K196</f>
        <v>47007846.519999996</v>
      </c>
      <c r="L262" s="442">
        <f t="shared" si="307"/>
        <v>53010375</v>
      </c>
      <c r="M262" s="442">
        <f t="shared" si="307"/>
        <v>13895800</v>
      </c>
      <c r="N262" s="442">
        <f t="shared" si="307"/>
        <v>5416063</v>
      </c>
      <c r="O262" s="442">
        <f t="shared" si="307"/>
        <v>16025342</v>
      </c>
      <c r="P262" s="442">
        <f t="shared" si="307"/>
        <v>44933250</v>
      </c>
      <c r="Q262" s="442">
        <f t="shared" si="307"/>
        <v>22059324</v>
      </c>
      <c r="R262" s="442">
        <f t="shared" si="307"/>
        <v>302755601.60000002</v>
      </c>
      <c r="S262" s="442"/>
      <c r="T262" s="442">
        <f t="shared" si="307"/>
        <v>3651810.3768120259</v>
      </c>
      <c r="U262" s="451">
        <f t="shared" si="307"/>
        <v>57516722</v>
      </c>
      <c r="V262" s="451">
        <f t="shared" si="307"/>
        <v>10508875.480000004</v>
      </c>
      <c r="W262" s="452">
        <f t="shared" si="301"/>
        <v>0.81729008339522535</v>
      </c>
      <c r="X262" s="451"/>
      <c r="Y262" s="451">
        <f t="shared" si="307"/>
        <v>49879534</v>
      </c>
      <c r="Z262" s="451">
        <f t="shared" si="307"/>
        <v>33917108</v>
      </c>
      <c r="AA262" s="451">
        <f t="shared" si="307"/>
        <v>33907206.239999995</v>
      </c>
      <c r="AB262" s="452">
        <f t="shared" si="302"/>
        <v>0.67978193701649248</v>
      </c>
      <c r="AC262" s="452">
        <f t="shared" si="303"/>
        <v>0.94242753992048112</v>
      </c>
      <c r="AD262" s="451"/>
    </row>
    <row r="263" spans="1:32">
      <c r="A263" s="441"/>
      <c r="B263" s="312" t="s">
        <v>1173</v>
      </c>
      <c r="C263" s="312"/>
      <c r="D263" s="312"/>
      <c r="E263" s="312"/>
      <c r="F263" s="312"/>
      <c r="G263" s="312"/>
      <c r="H263" s="312"/>
      <c r="I263" s="312"/>
      <c r="J263" s="442">
        <f>J201+J202+J203+J204+J205+J208</f>
        <v>233832749.59</v>
      </c>
      <c r="K263" s="442">
        <f t="shared" ref="K263:AA263" si="308">K201+K202+K203+K204+K205+K208</f>
        <v>58282696</v>
      </c>
      <c r="L263" s="442">
        <f t="shared" si="308"/>
        <v>112632044</v>
      </c>
      <c r="M263" s="442">
        <f t="shared" si="308"/>
        <v>68575747</v>
      </c>
      <c r="N263" s="442">
        <f t="shared" si="308"/>
        <v>25801324</v>
      </c>
      <c r="O263" s="442">
        <f t="shared" si="308"/>
        <v>3423957</v>
      </c>
      <c r="P263" s="442">
        <f t="shared" si="308"/>
        <v>81674464.450000003</v>
      </c>
      <c r="Q263" s="442">
        <f t="shared" si="308"/>
        <v>90779759.469999999</v>
      </c>
      <c r="R263" s="442">
        <f t="shared" si="308"/>
        <v>675002741.50999999</v>
      </c>
      <c r="S263" s="442"/>
      <c r="T263" s="442">
        <f t="shared" si="308"/>
        <v>3.9999999105930328E-2</v>
      </c>
      <c r="U263" s="451">
        <f t="shared" si="308"/>
        <v>130628518</v>
      </c>
      <c r="V263" s="451">
        <f t="shared" si="308"/>
        <v>72345822</v>
      </c>
      <c r="W263" s="452">
        <f t="shared" si="301"/>
        <v>0.4461713023491547</v>
      </c>
      <c r="X263" s="451"/>
      <c r="Y263" s="451">
        <f t="shared" si="308"/>
        <v>98462382</v>
      </c>
      <c r="Z263" s="451">
        <f t="shared" si="308"/>
        <v>65568291</v>
      </c>
      <c r="AA263" s="451">
        <f t="shared" si="308"/>
        <v>65568281.890000001</v>
      </c>
      <c r="AB263" s="452">
        <f t="shared" si="302"/>
        <v>0.66592215786532571</v>
      </c>
      <c r="AC263" s="452">
        <f t="shared" si="303"/>
        <v>0.59192856008703909</v>
      </c>
      <c r="AD263" s="451"/>
    </row>
    <row r="264" spans="1:32" s="328" customFormat="1">
      <c r="A264" s="446" t="s">
        <v>527</v>
      </c>
      <c r="B264" s="447"/>
      <c r="C264" s="447"/>
      <c r="D264" s="447"/>
      <c r="E264" s="447"/>
      <c r="F264" s="447"/>
      <c r="G264" s="447"/>
      <c r="H264" s="447"/>
      <c r="I264" s="447"/>
      <c r="J264" s="448">
        <f>J265+J266</f>
        <v>251585784.56999999</v>
      </c>
      <c r="K264" s="448">
        <f t="shared" ref="K264:AA264" si="309">K265+K266</f>
        <v>83200241</v>
      </c>
      <c r="L264" s="448">
        <f t="shared" si="309"/>
        <v>67232172</v>
      </c>
      <c r="M264" s="448">
        <f t="shared" si="309"/>
        <v>29390551</v>
      </c>
      <c r="N264" s="448">
        <f t="shared" si="309"/>
        <v>11251592</v>
      </c>
      <c r="O264" s="448">
        <f t="shared" si="309"/>
        <v>22077819</v>
      </c>
      <c r="P264" s="448">
        <f t="shared" si="309"/>
        <v>68365037</v>
      </c>
      <c r="Q264" s="448">
        <f t="shared" si="309"/>
        <v>82450034</v>
      </c>
      <c r="R264" s="448">
        <f t="shared" si="309"/>
        <v>615553230.56999993</v>
      </c>
      <c r="S264" s="448"/>
      <c r="T264" s="448">
        <f t="shared" si="309"/>
        <v>7339644.8168840297</v>
      </c>
      <c r="U264" s="449">
        <f t="shared" si="309"/>
        <v>91534968</v>
      </c>
      <c r="V264" s="449">
        <f t="shared" si="309"/>
        <v>8334727</v>
      </c>
      <c r="W264" s="450">
        <f t="shared" si="301"/>
        <v>0.90894488541253438</v>
      </c>
      <c r="X264" s="449"/>
      <c r="Y264" s="449">
        <f t="shared" si="309"/>
        <v>91097529</v>
      </c>
      <c r="Z264" s="449">
        <f t="shared" si="309"/>
        <v>72273687</v>
      </c>
      <c r="AA264" s="449">
        <f t="shared" si="309"/>
        <v>61498557.459999993</v>
      </c>
      <c r="AB264" s="450">
        <f t="shared" si="302"/>
        <v>0.67508480345279176</v>
      </c>
      <c r="AC264" s="450">
        <f t="shared" si="303"/>
        <v>0.91330952566232615</v>
      </c>
      <c r="AD264" s="449"/>
      <c r="AF264" s="309"/>
    </row>
    <row r="265" spans="1:32">
      <c r="A265" s="312"/>
      <c r="B265" s="312" t="s">
        <v>467</v>
      </c>
      <c r="C265" s="312"/>
      <c r="D265" s="312"/>
      <c r="E265" s="312"/>
      <c r="F265" s="312"/>
      <c r="G265" s="312"/>
      <c r="H265" s="312"/>
      <c r="I265" s="312"/>
      <c r="J265" s="442">
        <f>J20+J32-J46</f>
        <v>126461068.5</v>
      </c>
      <c r="K265" s="442">
        <f t="shared" ref="K265:AA265" si="310">K20+K32-K46</f>
        <v>30927521</v>
      </c>
      <c r="L265" s="442">
        <f t="shared" si="310"/>
        <v>16979027</v>
      </c>
      <c r="M265" s="442">
        <f t="shared" si="310"/>
        <v>3473786</v>
      </c>
      <c r="N265" s="442">
        <f t="shared" si="310"/>
        <v>1822513</v>
      </c>
      <c r="O265" s="442">
        <f t="shared" si="310"/>
        <v>4637409</v>
      </c>
      <c r="P265" s="442">
        <f t="shared" si="310"/>
        <v>8510890</v>
      </c>
      <c r="Q265" s="442">
        <f t="shared" si="310"/>
        <v>6577590</v>
      </c>
      <c r="R265" s="442">
        <f t="shared" si="310"/>
        <v>199389804.5</v>
      </c>
      <c r="S265" s="442"/>
      <c r="T265" s="442">
        <f t="shared" si="310"/>
        <v>111634.76713600755</v>
      </c>
      <c r="U265" s="451">
        <f t="shared" si="310"/>
        <v>29330402</v>
      </c>
      <c r="V265" s="451">
        <f t="shared" si="310"/>
        <v>-1597119</v>
      </c>
      <c r="W265" s="452">
        <f t="shared" si="301"/>
        <v>1.0544526801917</v>
      </c>
      <c r="X265" s="451"/>
      <c r="Y265" s="451">
        <f t="shared" si="310"/>
        <v>33027648</v>
      </c>
      <c r="Z265" s="451">
        <f t="shared" si="310"/>
        <v>28059017</v>
      </c>
      <c r="AA265" s="451">
        <f t="shared" si="310"/>
        <v>25413271.159999996</v>
      </c>
      <c r="AB265" s="452">
        <f t="shared" si="302"/>
        <v>0.76945446312132171</v>
      </c>
      <c r="AC265" s="452">
        <f t="shared" si="303"/>
        <v>0.93641306217142684</v>
      </c>
      <c r="AD265" s="451"/>
    </row>
    <row r="266" spans="1:32">
      <c r="A266" s="441"/>
      <c r="B266" s="312" t="s">
        <v>635</v>
      </c>
      <c r="C266" s="312"/>
      <c r="D266" s="312"/>
      <c r="E266" s="312"/>
      <c r="F266" s="312"/>
      <c r="G266" s="312"/>
      <c r="H266" s="312"/>
      <c r="I266" s="312"/>
      <c r="J266" s="442">
        <f>J109+J151+J154+J157+J193</f>
        <v>125124716.07000001</v>
      </c>
      <c r="K266" s="442">
        <f t="shared" ref="K266:AA266" si="311">K109+K151+K154+K157+K193</f>
        <v>52272720</v>
      </c>
      <c r="L266" s="442">
        <f t="shared" si="311"/>
        <v>50253145</v>
      </c>
      <c r="M266" s="442">
        <f t="shared" si="311"/>
        <v>25916765</v>
      </c>
      <c r="N266" s="442">
        <f t="shared" si="311"/>
        <v>9429079</v>
      </c>
      <c r="O266" s="442">
        <f t="shared" si="311"/>
        <v>17440410</v>
      </c>
      <c r="P266" s="442">
        <f t="shared" si="311"/>
        <v>59854147</v>
      </c>
      <c r="Q266" s="442">
        <f t="shared" si="311"/>
        <v>75872444</v>
      </c>
      <c r="R266" s="442">
        <f t="shared" si="311"/>
        <v>416163426.06999999</v>
      </c>
      <c r="S266" s="442"/>
      <c r="T266" s="442">
        <f t="shared" si="311"/>
        <v>7228010.0497480221</v>
      </c>
      <c r="U266" s="451">
        <f t="shared" si="311"/>
        <v>62204566</v>
      </c>
      <c r="V266" s="451">
        <f t="shared" si="311"/>
        <v>9931846</v>
      </c>
      <c r="W266" s="452">
        <f t="shared" si="301"/>
        <v>0.84033573998410338</v>
      </c>
      <c r="X266" s="451"/>
      <c r="Y266" s="451">
        <f t="shared" si="311"/>
        <v>58069881</v>
      </c>
      <c r="Z266" s="451">
        <f t="shared" si="311"/>
        <v>44214670</v>
      </c>
      <c r="AA266" s="451">
        <f t="shared" si="311"/>
        <v>36085286.299999997</v>
      </c>
      <c r="AB266" s="452">
        <f t="shared" si="302"/>
        <v>0.62141140430441033</v>
      </c>
      <c r="AC266" s="452">
        <f t="shared" si="303"/>
        <v>0.90016922886409911</v>
      </c>
      <c r="AD266" s="451"/>
    </row>
    <row r="267" spans="1:32" s="328" customFormat="1">
      <c r="A267" s="446" t="s">
        <v>1024</v>
      </c>
      <c r="B267" s="447"/>
      <c r="C267" s="447"/>
      <c r="D267" s="447"/>
      <c r="E267" s="447"/>
      <c r="F267" s="447"/>
      <c r="G267" s="447"/>
      <c r="H267" s="447"/>
      <c r="I267" s="447"/>
      <c r="J267" s="448">
        <f>J268+J269+J270</f>
        <v>270012456.63999999</v>
      </c>
      <c r="K267" s="448">
        <f t="shared" ref="K267:AA267" si="312">K268+K269+K270</f>
        <v>48349431</v>
      </c>
      <c r="L267" s="448">
        <f t="shared" si="312"/>
        <v>74495601</v>
      </c>
      <c r="M267" s="448">
        <f t="shared" si="312"/>
        <v>12055956</v>
      </c>
      <c r="N267" s="448">
        <f t="shared" si="312"/>
        <v>2837877</v>
      </c>
      <c r="O267" s="448">
        <f t="shared" si="312"/>
        <v>9720226</v>
      </c>
      <c r="P267" s="448">
        <f t="shared" si="312"/>
        <v>77690733</v>
      </c>
      <c r="Q267" s="448">
        <f t="shared" si="312"/>
        <v>80983591</v>
      </c>
      <c r="R267" s="448">
        <f t="shared" si="312"/>
        <v>576145871.63999999</v>
      </c>
      <c r="S267" s="448"/>
      <c r="T267" s="448">
        <f t="shared" si="312"/>
        <v>4793838.6500000004</v>
      </c>
      <c r="U267" s="449">
        <f t="shared" si="312"/>
        <v>67532806</v>
      </c>
      <c r="V267" s="449">
        <f t="shared" si="312"/>
        <v>19183375</v>
      </c>
      <c r="W267" s="450">
        <f t="shared" si="301"/>
        <v>0.71593990926424711</v>
      </c>
      <c r="X267" s="449"/>
      <c r="Y267" s="449">
        <f t="shared" si="312"/>
        <v>54715035</v>
      </c>
      <c r="Z267" s="449">
        <f t="shared" si="312"/>
        <v>41138622</v>
      </c>
      <c r="AA267" s="449">
        <f t="shared" si="312"/>
        <v>37584217.549999997</v>
      </c>
      <c r="AB267" s="450">
        <f t="shared" si="302"/>
        <v>0.68690840735092273</v>
      </c>
      <c r="AC267" s="450">
        <f t="shared" si="303"/>
        <v>0.8836589613805419</v>
      </c>
      <c r="AD267" s="449"/>
      <c r="AF267" s="309"/>
    </row>
    <row r="268" spans="1:32">
      <c r="A268" s="312"/>
      <c r="B268" s="312" t="s">
        <v>467</v>
      </c>
      <c r="C268" s="312"/>
      <c r="D268" s="312"/>
      <c r="E268" s="312"/>
      <c r="F268" s="312"/>
      <c r="G268" s="312"/>
      <c r="H268" s="312"/>
      <c r="I268" s="312"/>
      <c r="J268" s="442">
        <f>J61+J63+J68+J75</f>
        <v>5769783.4799999995</v>
      </c>
      <c r="K268" s="442">
        <f t="shared" ref="K268:AA268" si="313">K61+K63+K68+K75</f>
        <v>4801241</v>
      </c>
      <c r="L268" s="442">
        <f t="shared" si="313"/>
        <v>6406378</v>
      </c>
      <c r="M268" s="442">
        <f t="shared" si="313"/>
        <v>1228045</v>
      </c>
      <c r="N268" s="442">
        <f t="shared" si="313"/>
        <v>0</v>
      </c>
      <c r="O268" s="442">
        <f t="shared" si="313"/>
        <v>0</v>
      </c>
      <c r="P268" s="442">
        <f t="shared" si="313"/>
        <v>0</v>
      </c>
      <c r="Q268" s="442">
        <f t="shared" si="313"/>
        <v>2726681</v>
      </c>
      <c r="R268" s="442">
        <f t="shared" si="313"/>
        <v>20932128.48</v>
      </c>
      <c r="S268" s="442"/>
      <c r="T268" s="442">
        <f t="shared" si="313"/>
        <v>2805110.7300000018</v>
      </c>
      <c r="U268" s="451">
        <f t="shared" si="313"/>
        <v>5329017</v>
      </c>
      <c r="V268" s="451">
        <f t="shared" si="313"/>
        <v>527776</v>
      </c>
      <c r="W268" s="452">
        <f t="shared" si="301"/>
        <v>0.90096184718494987</v>
      </c>
      <c r="X268" s="451"/>
      <c r="Y268" s="451">
        <f t="shared" si="313"/>
        <v>5329017</v>
      </c>
      <c r="Z268" s="451">
        <f t="shared" si="313"/>
        <v>3902152</v>
      </c>
      <c r="AA268" s="451">
        <f t="shared" si="313"/>
        <v>3764048.99</v>
      </c>
      <c r="AB268" s="452">
        <f t="shared" si="302"/>
        <v>0.70633082799323033</v>
      </c>
      <c r="AC268" s="452">
        <f t="shared" si="303"/>
        <v>0.90096184718494987</v>
      </c>
      <c r="AD268" s="451"/>
    </row>
    <row r="269" spans="1:32">
      <c r="A269" s="441"/>
      <c r="B269" s="312" t="s">
        <v>1173</v>
      </c>
      <c r="C269" s="312"/>
      <c r="D269" s="312"/>
      <c r="E269" s="312"/>
      <c r="F269" s="312"/>
      <c r="G269" s="312"/>
      <c r="H269" s="312"/>
      <c r="I269" s="312"/>
      <c r="J269" s="442">
        <f>J241</f>
        <v>13549702.83</v>
      </c>
      <c r="K269" s="442">
        <f t="shared" ref="K269:AA269" si="314">K241</f>
        <v>8719161</v>
      </c>
      <c r="L269" s="442">
        <f t="shared" si="314"/>
        <v>19516612</v>
      </c>
      <c r="M269" s="442">
        <f t="shared" si="314"/>
        <v>0</v>
      </c>
      <c r="N269" s="442">
        <f t="shared" si="314"/>
        <v>0</v>
      </c>
      <c r="O269" s="442">
        <f t="shared" si="314"/>
        <v>3455977</v>
      </c>
      <c r="P269" s="442">
        <f t="shared" si="314"/>
        <v>15893088</v>
      </c>
      <c r="Q269" s="442">
        <f t="shared" si="314"/>
        <v>15561558</v>
      </c>
      <c r="R269" s="442">
        <f t="shared" si="314"/>
        <v>76696098.829999998</v>
      </c>
      <c r="S269" s="442"/>
      <c r="T269" s="442">
        <f t="shared" si="314"/>
        <v>0.68999999761581421</v>
      </c>
      <c r="U269" s="451">
        <f t="shared" si="314"/>
        <v>11648674</v>
      </c>
      <c r="V269" s="451">
        <f t="shared" si="314"/>
        <v>2929513</v>
      </c>
      <c r="W269" s="452">
        <f t="shared" si="301"/>
        <v>0.74851103224281146</v>
      </c>
      <c r="X269" s="451"/>
      <c r="Y269" s="451">
        <f t="shared" si="314"/>
        <v>10148674</v>
      </c>
      <c r="Z269" s="451">
        <f t="shared" si="314"/>
        <v>8146744</v>
      </c>
      <c r="AA269" s="451">
        <f t="shared" si="314"/>
        <v>6596716.96</v>
      </c>
      <c r="AB269" s="452">
        <f t="shared" si="302"/>
        <v>0.65000777047326574</v>
      </c>
      <c r="AC269" s="452">
        <f t="shared" si="303"/>
        <v>0.85914287915840037</v>
      </c>
      <c r="AD269" s="451"/>
    </row>
    <row r="270" spans="1:32">
      <c r="A270" s="441"/>
      <c r="B270" s="312" t="s">
        <v>635</v>
      </c>
      <c r="C270" s="312"/>
      <c r="D270" s="312"/>
      <c r="E270" s="312"/>
      <c r="F270" s="312"/>
      <c r="G270" s="312"/>
      <c r="H270" s="312"/>
      <c r="I270" s="312"/>
      <c r="J270" s="442">
        <f>J115+J127+J137+J219+J229</f>
        <v>250692970.32999998</v>
      </c>
      <c r="K270" s="442">
        <f t="shared" ref="K270:AA270" si="315">K115+K127+K137+K219+K229</f>
        <v>34829029</v>
      </c>
      <c r="L270" s="442">
        <f t="shared" si="315"/>
        <v>48572611</v>
      </c>
      <c r="M270" s="442">
        <f>M115+M127+M137+M219+M229</f>
        <v>10827911</v>
      </c>
      <c r="N270" s="442">
        <f>N115+N127+N137+N219+N229</f>
        <v>2837877</v>
      </c>
      <c r="O270" s="442">
        <f t="shared" si="315"/>
        <v>6264249</v>
      </c>
      <c r="P270" s="442">
        <f t="shared" si="315"/>
        <v>61797645</v>
      </c>
      <c r="Q270" s="442">
        <f t="shared" si="315"/>
        <v>62695352</v>
      </c>
      <c r="R270" s="442">
        <f t="shared" si="315"/>
        <v>478517644.32999998</v>
      </c>
      <c r="S270" s="442"/>
      <c r="T270" s="442">
        <f t="shared" si="315"/>
        <v>1988727.2300000004</v>
      </c>
      <c r="U270" s="451">
        <f t="shared" si="315"/>
        <v>50555115</v>
      </c>
      <c r="V270" s="451">
        <f t="shared" si="315"/>
        <v>15726086</v>
      </c>
      <c r="W270" s="452">
        <f t="shared" si="301"/>
        <v>0.68893185190064343</v>
      </c>
      <c r="X270" s="451"/>
      <c r="Y270" s="451">
        <f t="shared" si="315"/>
        <v>39237344</v>
      </c>
      <c r="Z270" s="451">
        <f t="shared" si="315"/>
        <v>29089726</v>
      </c>
      <c r="AA270" s="451">
        <f t="shared" si="315"/>
        <v>27223451.600000001</v>
      </c>
      <c r="AB270" s="452">
        <f t="shared" si="302"/>
        <v>0.69381484128997117</v>
      </c>
      <c r="AC270" s="452">
        <f t="shared" si="303"/>
        <v>0.88765001525077747</v>
      </c>
      <c r="AD270" s="451"/>
    </row>
    <row r="271" spans="1:32" s="328" customFormat="1">
      <c r="A271" s="446" t="s">
        <v>1357</v>
      </c>
      <c r="B271" s="447"/>
      <c r="C271" s="447"/>
      <c r="D271" s="447"/>
      <c r="E271" s="447"/>
      <c r="F271" s="447"/>
      <c r="G271" s="447"/>
      <c r="H271" s="447"/>
      <c r="I271" s="447"/>
      <c r="J271" s="448">
        <f>J272+J273</f>
        <v>84595466.909999996</v>
      </c>
      <c r="K271" s="448">
        <f t="shared" ref="K271:AA271" si="316">K272+K273</f>
        <v>28730099</v>
      </c>
      <c r="L271" s="448">
        <f t="shared" si="316"/>
        <v>28244301</v>
      </c>
      <c r="M271" s="448">
        <f t="shared" si="316"/>
        <v>15343701</v>
      </c>
      <c r="N271" s="448">
        <f t="shared" si="316"/>
        <v>0</v>
      </c>
      <c r="O271" s="448">
        <f t="shared" si="316"/>
        <v>4383192</v>
      </c>
      <c r="P271" s="448">
        <f t="shared" si="316"/>
        <v>9672635</v>
      </c>
      <c r="Q271" s="448">
        <f t="shared" si="316"/>
        <v>9316709</v>
      </c>
      <c r="R271" s="448">
        <f t="shared" si="316"/>
        <v>180286103.91</v>
      </c>
      <c r="S271" s="448"/>
      <c r="T271" s="448">
        <f t="shared" si="316"/>
        <v>438011.80000001192</v>
      </c>
      <c r="U271" s="449">
        <f t="shared" si="316"/>
        <v>33956252</v>
      </c>
      <c r="V271" s="449">
        <f t="shared" si="316"/>
        <v>5226153</v>
      </c>
      <c r="W271" s="450">
        <f t="shared" si="301"/>
        <v>0.84609158278127983</v>
      </c>
      <c r="X271" s="449"/>
      <c r="Y271" s="449">
        <f t="shared" si="316"/>
        <v>29400867</v>
      </c>
      <c r="Z271" s="449">
        <f t="shared" si="316"/>
        <v>22395819</v>
      </c>
      <c r="AA271" s="449">
        <f t="shared" si="316"/>
        <v>20169669.75</v>
      </c>
      <c r="AB271" s="450">
        <f t="shared" si="302"/>
        <v>0.68602295809848057</v>
      </c>
      <c r="AC271" s="450">
        <f t="shared" si="303"/>
        <v>0.97718543470163655</v>
      </c>
      <c r="AD271" s="449"/>
      <c r="AF271" s="309"/>
    </row>
    <row r="272" spans="1:32">
      <c r="A272" s="312"/>
      <c r="B272" s="312" t="s">
        <v>467</v>
      </c>
      <c r="C272" s="312"/>
      <c r="D272" s="312"/>
      <c r="E272" s="312"/>
      <c r="F272" s="312"/>
      <c r="G272" s="312"/>
      <c r="H272" s="312"/>
      <c r="I272" s="312"/>
      <c r="J272" s="442">
        <f>J76</f>
        <v>6964468</v>
      </c>
      <c r="K272" s="442">
        <f t="shared" ref="K272:AA272" si="317">K76</f>
        <v>1900000</v>
      </c>
      <c r="L272" s="442">
        <f t="shared" si="317"/>
        <v>1336384</v>
      </c>
      <c r="M272" s="442">
        <f t="shared" si="317"/>
        <v>0</v>
      </c>
      <c r="N272" s="442">
        <f t="shared" si="317"/>
        <v>0</v>
      </c>
      <c r="O272" s="442">
        <f t="shared" si="317"/>
        <v>0</v>
      </c>
      <c r="P272" s="442">
        <f t="shared" si="317"/>
        <v>1200000</v>
      </c>
      <c r="Q272" s="442">
        <f t="shared" si="317"/>
        <v>0</v>
      </c>
      <c r="R272" s="442">
        <f t="shared" si="317"/>
        <v>11400852</v>
      </c>
      <c r="S272" s="442"/>
      <c r="T272" s="442">
        <f t="shared" si="317"/>
        <v>-102597</v>
      </c>
      <c r="U272" s="451">
        <f t="shared" si="317"/>
        <v>1900000</v>
      </c>
      <c r="V272" s="451">
        <f t="shared" si="317"/>
        <v>0</v>
      </c>
      <c r="W272" s="452">
        <f t="shared" si="301"/>
        <v>1</v>
      </c>
      <c r="X272" s="451"/>
      <c r="Y272" s="451">
        <f t="shared" si="317"/>
        <v>1900000</v>
      </c>
      <c r="Z272" s="451">
        <f t="shared" si="317"/>
        <v>1509624</v>
      </c>
      <c r="AA272" s="451">
        <f t="shared" si="317"/>
        <v>1111681.83</v>
      </c>
      <c r="AB272" s="452">
        <f t="shared" si="302"/>
        <v>0.5850957</v>
      </c>
      <c r="AC272" s="452">
        <f t="shared" si="303"/>
        <v>1</v>
      </c>
      <c r="AD272" s="451"/>
    </row>
    <row r="273" spans="1:32">
      <c r="A273" s="441"/>
      <c r="B273" s="312" t="s">
        <v>635</v>
      </c>
      <c r="C273" s="312"/>
      <c r="D273" s="312"/>
      <c r="E273" s="312"/>
      <c r="F273" s="312"/>
      <c r="G273" s="312"/>
      <c r="H273" s="312"/>
      <c r="I273" s="312"/>
      <c r="J273" s="442">
        <f>J173</f>
        <v>77630998.909999996</v>
      </c>
      <c r="K273" s="442">
        <f t="shared" ref="K273:AA273" si="318">K173</f>
        <v>26830099</v>
      </c>
      <c r="L273" s="442">
        <f t="shared" si="318"/>
        <v>26907917</v>
      </c>
      <c r="M273" s="442">
        <f t="shared" si="318"/>
        <v>15343701</v>
      </c>
      <c r="N273" s="442">
        <f t="shared" si="318"/>
        <v>0</v>
      </c>
      <c r="O273" s="442">
        <f t="shared" si="318"/>
        <v>4383192</v>
      </c>
      <c r="P273" s="442">
        <f t="shared" si="318"/>
        <v>8472635</v>
      </c>
      <c r="Q273" s="442">
        <f t="shared" si="318"/>
        <v>9316709</v>
      </c>
      <c r="R273" s="442">
        <f t="shared" si="318"/>
        <v>168885251.91</v>
      </c>
      <c r="S273" s="442"/>
      <c r="T273" s="442">
        <f t="shared" si="318"/>
        <v>540608.80000001192</v>
      </c>
      <c r="U273" s="451">
        <f t="shared" si="318"/>
        <v>32056252</v>
      </c>
      <c r="V273" s="451">
        <f t="shared" si="318"/>
        <v>5226153</v>
      </c>
      <c r="W273" s="452">
        <f t="shared" si="301"/>
        <v>0.83696930633063404</v>
      </c>
      <c r="X273" s="451"/>
      <c r="Y273" s="451">
        <f t="shared" si="318"/>
        <v>27500867</v>
      </c>
      <c r="Z273" s="451">
        <f t="shared" si="318"/>
        <v>20886195</v>
      </c>
      <c r="AA273" s="451">
        <f t="shared" si="318"/>
        <v>19057987.920000002</v>
      </c>
      <c r="AB273" s="452">
        <f t="shared" si="302"/>
        <v>0.69299589427489694</v>
      </c>
      <c r="AC273" s="452">
        <f t="shared" si="303"/>
        <v>0.97560920533887163</v>
      </c>
      <c r="AD273" s="451"/>
    </row>
    <row r="274" spans="1:32" s="328" customFormat="1">
      <c r="A274" s="446" t="s">
        <v>1098</v>
      </c>
      <c r="B274" s="447" t="s">
        <v>635</v>
      </c>
      <c r="C274" s="447"/>
      <c r="D274" s="447"/>
      <c r="E274" s="447"/>
      <c r="F274" s="447"/>
      <c r="G274" s="447"/>
      <c r="H274" s="447"/>
      <c r="I274" s="447"/>
      <c r="J274" s="448">
        <f>J225</f>
        <v>6380917.8800000008</v>
      </c>
      <c r="K274" s="448">
        <f t="shared" ref="K274:AA274" si="319">K225</f>
        <v>5752836</v>
      </c>
      <c r="L274" s="448">
        <f t="shared" si="319"/>
        <v>5594196</v>
      </c>
      <c r="M274" s="448">
        <f t="shared" si="319"/>
        <v>2514347</v>
      </c>
      <c r="N274" s="448">
        <f t="shared" si="319"/>
        <v>1305322</v>
      </c>
      <c r="O274" s="448">
        <f t="shared" si="319"/>
        <v>2064470</v>
      </c>
      <c r="P274" s="448">
        <f t="shared" si="319"/>
        <v>10341544</v>
      </c>
      <c r="Q274" s="448">
        <f t="shared" si="319"/>
        <v>3826497</v>
      </c>
      <c r="R274" s="448">
        <f t="shared" si="319"/>
        <v>37780129.880000003</v>
      </c>
      <c r="S274" s="448"/>
      <c r="T274" s="448">
        <f t="shared" si="319"/>
        <v>3320122.6499999985</v>
      </c>
      <c r="U274" s="449">
        <f t="shared" si="319"/>
        <v>5956443</v>
      </c>
      <c r="V274" s="449">
        <f t="shared" si="319"/>
        <v>203607</v>
      </c>
      <c r="W274" s="450">
        <f t="shared" si="301"/>
        <v>0.9658173510600202</v>
      </c>
      <c r="X274" s="449"/>
      <c r="Y274" s="449">
        <f t="shared" si="319"/>
        <v>5158603</v>
      </c>
      <c r="Z274" s="449">
        <f t="shared" si="319"/>
        <v>3258454</v>
      </c>
      <c r="AA274" s="449">
        <f t="shared" si="319"/>
        <v>3155408.9699999997</v>
      </c>
      <c r="AB274" s="450">
        <f t="shared" si="302"/>
        <v>0.61167897006224359</v>
      </c>
      <c r="AC274" s="450">
        <f t="shared" si="303"/>
        <v>1.1151926209479581</v>
      </c>
      <c r="AD274" s="449"/>
      <c r="AF274" s="309"/>
    </row>
    <row r="275" spans="1:32" s="328" customFormat="1">
      <c r="A275" s="446" t="s">
        <v>1004</v>
      </c>
      <c r="B275" s="447"/>
      <c r="C275" s="447"/>
      <c r="D275" s="447"/>
      <c r="E275" s="447"/>
      <c r="F275" s="447"/>
      <c r="G275" s="447"/>
      <c r="H275" s="447"/>
      <c r="I275" s="447"/>
      <c r="J275" s="448">
        <f>J276+J277</f>
        <v>149923614.25000012</v>
      </c>
      <c r="K275" s="448">
        <f t="shared" ref="K275:AA275" si="320">K276+K277</f>
        <v>32893597</v>
      </c>
      <c r="L275" s="448">
        <f t="shared" si="320"/>
        <v>31150910.890000001</v>
      </c>
      <c r="M275" s="448">
        <f t="shared" si="320"/>
        <v>11376201</v>
      </c>
      <c r="N275" s="448">
        <f t="shared" si="320"/>
        <v>3120542</v>
      </c>
      <c r="O275" s="448">
        <f t="shared" si="320"/>
        <v>3291755</v>
      </c>
      <c r="P275" s="448">
        <f t="shared" si="320"/>
        <v>1595100</v>
      </c>
      <c r="Q275" s="448">
        <f t="shared" si="320"/>
        <v>9963</v>
      </c>
      <c r="R275" s="448">
        <f t="shared" si="320"/>
        <v>233361683.1400001</v>
      </c>
      <c r="S275" s="448"/>
      <c r="T275" s="448">
        <f t="shared" si="320"/>
        <v>-2295510.1600001198</v>
      </c>
      <c r="U275" s="449">
        <f t="shared" si="320"/>
        <v>19852972</v>
      </c>
      <c r="V275" s="449">
        <f t="shared" si="320"/>
        <v>-13040625</v>
      </c>
      <c r="W275" s="450">
        <f t="shared" si="301"/>
        <v>1.6568600912749991</v>
      </c>
      <c r="X275" s="449"/>
      <c r="Y275" s="449">
        <f t="shared" si="320"/>
        <v>34811965</v>
      </c>
      <c r="Z275" s="449">
        <f t="shared" si="320"/>
        <v>25624139</v>
      </c>
      <c r="AA275" s="449">
        <f t="shared" si="320"/>
        <v>25583157.329999998</v>
      </c>
      <c r="AB275" s="450">
        <f t="shared" si="302"/>
        <v>0.73489552600664743</v>
      </c>
      <c r="AC275" s="450">
        <f t="shared" si="303"/>
        <v>0.94489342960100065</v>
      </c>
      <c r="AD275" s="449"/>
      <c r="AF275" s="309"/>
    </row>
    <row r="276" spans="1:32">
      <c r="A276" s="312"/>
      <c r="B276" s="312" t="s">
        <v>467</v>
      </c>
      <c r="C276" s="312"/>
      <c r="D276" s="312"/>
      <c r="E276" s="312"/>
      <c r="F276" s="312"/>
      <c r="G276" s="312"/>
      <c r="H276" s="312"/>
      <c r="I276" s="312"/>
      <c r="J276" s="442">
        <f>J62+J64+J67+J70+J71+J72+J73+J74+J80+J46</f>
        <v>140364649.15000013</v>
      </c>
      <c r="K276" s="442">
        <f t="shared" ref="K276:AA276" si="321">K62+K64+K67+K70+K71+K72+K73+K74+K80+K46</f>
        <v>31281900</v>
      </c>
      <c r="L276" s="442">
        <f t="shared" si="321"/>
        <v>30674252.890000001</v>
      </c>
      <c r="M276" s="442">
        <f t="shared" si="321"/>
        <v>11376201</v>
      </c>
      <c r="N276" s="442">
        <f t="shared" si="321"/>
        <v>3120542</v>
      </c>
      <c r="O276" s="442">
        <f t="shared" si="321"/>
        <v>2688897</v>
      </c>
      <c r="P276" s="442">
        <f t="shared" si="321"/>
        <v>1595100</v>
      </c>
      <c r="Q276" s="442">
        <f t="shared" si="321"/>
        <v>9963</v>
      </c>
      <c r="R276" s="442">
        <f t="shared" si="321"/>
        <v>221111505.04000011</v>
      </c>
      <c r="S276" s="442"/>
      <c r="T276" s="442">
        <f t="shared" si="321"/>
        <v>-2066545.6900001206</v>
      </c>
      <c r="U276" s="451">
        <f t="shared" si="321"/>
        <v>17149999</v>
      </c>
      <c r="V276" s="451">
        <f t="shared" si="321"/>
        <v>-14131901</v>
      </c>
      <c r="W276" s="452">
        <f t="shared" si="301"/>
        <v>1.8240175990680816</v>
      </c>
      <c r="X276" s="451"/>
      <c r="Y276" s="451">
        <f t="shared" si="321"/>
        <v>32055645</v>
      </c>
      <c r="Z276" s="451">
        <f t="shared" si="321"/>
        <v>23977193</v>
      </c>
      <c r="AA276" s="451">
        <f t="shared" si="321"/>
        <v>23937291.369999997</v>
      </c>
      <c r="AB276" s="452">
        <f t="shared" si="302"/>
        <v>0.74674184125760057</v>
      </c>
      <c r="AC276" s="452">
        <f t="shared" si="303"/>
        <v>0.97586244170098591</v>
      </c>
      <c r="AD276" s="451"/>
    </row>
    <row r="277" spans="1:32">
      <c r="A277" s="441"/>
      <c r="B277" s="312" t="s">
        <v>635</v>
      </c>
      <c r="C277" s="312"/>
      <c r="D277" s="312"/>
      <c r="E277" s="312"/>
      <c r="F277" s="312"/>
      <c r="G277" s="312"/>
      <c r="H277" s="312"/>
      <c r="I277" s="312"/>
      <c r="J277" s="442">
        <f>J164+J170</f>
        <v>9558965.0999999996</v>
      </c>
      <c r="K277" s="442">
        <f t="shared" ref="K277:AA277" si="322">K164+K170</f>
        <v>1611697</v>
      </c>
      <c r="L277" s="442">
        <f t="shared" si="322"/>
        <v>476658</v>
      </c>
      <c r="M277" s="442">
        <f t="shared" si="322"/>
        <v>0</v>
      </c>
      <c r="N277" s="442">
        <f t="shared" si="322"/>
        <v>0</v>
      </c>
      <c r="O277" s="442">
        <f t="shared" si="322"/>
        <v>602858</v>
      </c>
      <c r="P277" s="442">
        <f t="shared" si="322"/>
        <v>0</v>
      </c>
      <c r="Q277" s="442">
        <f t="shared" si="322"/>
        <v>0</v>
      </c>
      <c r="R277" s="442">
        <f t="shared" si="322"/>
        <v>12250178.1</v>
      </c>
      <c r="S277" s="442"/>
      <c r="T277" s="442">
        <f t="shared" si="322"/>
        <v>-228964.46999999927</v>
      </c>
      <c r="U277" s="451">
        <f t="shared" si="322"/>
        <v>2702973</v>
      </c>
      <c r="V277" s="451">
        <f t="shared" si="322"/>
        <v>1091276</v>
      </c>
      <c r="W277" s="452">
        <f t="shared" si="301"/>
        <v>0.59626825721159626</v>
      </c>
      <c r="X277" s="451"/>
      <c r="Y277" s="451">
        <f t="shared" si="322"/>
        <v>2756320</v>
      </c>
      <c r="Z277" s="451">
        <f t="shared" si="322"/>
        <v>1646946</v>
      </c>
      <c r="AA277" s="451">
        <f t="shared" si="322"/>
        <v>1645865.96</v>
      </c>
      <c r="AB277" s="452">
        <f t="shared" si="302"/>
        <v>0.59712441225982471</v>
      </c>
      <c r="AC277" s="452">
        <f t="shared" si="303"/>
        <v>0.5847278255064724</v>
      </c>
      <c r="AD277" s="451"/>
    </row>
    <row r="278" spans="1:32" s="328" customFormat="1">
      <c r="A278" s="446" t="s">
        <v>1079</v>
      </c>
      <c r="B278" s="447"/>
      <c r="C278" s="447"/>
      <c r="D278" s="447"/>
      <c r="E278" s="447"/>
      <c r="F278" s="447"/>
      <c r="G278" s="447"/>
      <c r="H278" s="447"/>
      <c r="I278" s="447"/>
      <c r="J278" s="448">
        <f>J279+J280</f>
        <v>32975684.429999996</v>
      </c>
      <c r="K278" s="448">
        <f t="shared" ref="K278:AA278" si="323">K279+K280</f>
        <v>11324522</v>
      </c>
      <c r="L278" s="448">
        <f t="shared" si="323"/>
        <v>13834265</v>
      </c>
      <c r="M278" s="448">
        <f t="shared" si="323"/>
        <v>8479655</v>
      </c>
      <c r="N278" s="448">
        <f t="shared" si="323"/>
        <v>3688910</v>
      </c>
      <c r="O278" s="448">
        <f t="shared" si="323"/>
        <v>1696885</v>
      </c>
      <c r="P278" s="448">
        <f t="shared" si="323"/>
        <v>3583847</v>
      </c>
      <c r="Q278" s="448">
        <f t="shared" si="323"/>
        <v>5262234</v>
      </c>
      <c r="R278" s="448">
        <f t="shared" si="323"/>
        <v>80846002.429999992</v>
      </c>
      <c r="S278" s="448"/>
      <c r="T278" s="448">
        <f t="shared" si="323"/>
        <v>0.61000000219792128</v>
      </c>
      <c r="U278" s="449">
        <f t="shared" si="323"/>
        <v>13318880</v>
      </c>
      <c r="V278" s="449">
        <f t="shared" si="323"/>
        <v>1994358</v>
      </c>
      <c r="W278" s="450">
        <f t="shared" si="301"/>
        <v>0.85026083274269304</v>
      </c>
      <c r="X278" s="449"/>
      <c r="Y278" s="449">
        <f t="shared" si="323"/>
        <v>13763901</v>
      </c>
      <c r="Z278" s="449">
        <f t="shared" si="323"/>
        <v>9470631</v>
      </c>
      <c r="AA278" s="449">
        <f t="shared" si="323"/>
        <v>8495785.1000000015</v>
      </c>
      <c r="AB278" s="450">
        <f t="shared" si="302"/>
        <v>0.61725125020878902</v>
      </c>
      <c r="AC278" s="450">
        <f t="shared" si="303"/>
        <v>0.82276979469701217</v>
      </c>
      <c r="AD278" s="449"/>
      <c r="AF278" s="309"/>
    </row>
    <row r="279" spans="1:32">
      <c r="A279" s="312"/>
      <c r="B279" s="312" t="s">
        <v>467</v>
      </c>
      <c r="C279" s="312"/>
      <c r="D279" s="312"/>
      <c r="E279" s="312"/>
      <c r="F279" s="312"/>
      <c r="G279" s="312"/>
      <c r="H279" s="312"/>
      <c r="I279" s="312"/>
      <c r="J279" s="442">
        <f>J92</f>
        <v>865995.74</v>
      </c>
      <c r="K279" s="442">
        <f t="shared" ref="K279:AA279" si="324">K92</f>
        <v>644609</v>
      </c>
      <c r="L279" s="442">
        <f t="shared" si="324"/>
        <v>754087</v>
      </c>
      <c r="M279" s="442">
        <f t="shared" si="324"/>
        <v>0</v>
      </c>
      <c r="N279" s="442">
        <f t="shared" si="324"/>
        <v>0</v>
      </c>
      <c r="O279" s="442">
        <f t="shared" si="324"/>
        <v>516782</v>
      </c>
      <c r="P279" s="442">
        <f t="shared" si="324"/>
        <v>0</v>
      </c>
      <c r="Q279" s="442">
        <f t="shared" si="324"/>
        <v>0</v>
      </c>
      <c r="R279" s="442">
        <f t="shared" si="324"/>
        <v>2781473.74</v>
      </c>
      <c r="S279" s="442"/>
      <c r="T279" s="442">
        <f t="shared" si="324"/>
        <v>0.29999999981373549</v>
      </c>
      <c r="U279" s="451">
        <f t="shared" si="324"/>
        <v>802185</v>
      </c>
      <c r="V279" s="451">
        <f t="shared" si="324"/>
        <v>157576</v>
      </c>
      <c r="W279" s="452">
        <f t="shared" si="301"/>
        <v>0.80356650897236925</v>
      </c>
      <c r="X279" s="451"/>
      <c r="Y279" s="451">
        <f t="shared" si="324"/>
        <v>1122369</v>
      </c>
      <c r="Z279" s="451">
        <f t="shared" si="324"/>
        <v>727868</v>
      </c>
      <c r="AA279" s="451">
        <f t="shared" si="324"/>
        <v>535376.42000000004</v>
      </c>
      <c r="AB279" s="452">
        <f t="shared" si="302"/>
        <v>0.4770057084612993</v>
      </c>
      <c r="AC279" s="452">
        <f t="shared" si="303"/>
        <v>0.57432894172950255</v>
      </c>
      <c r="AD279" s="451"/>
    </row>
    <row r="280" spans="1:32">
      <c r="A280" s="441"/>
      <c r="B280" s="312" t="s">
        <v>1358</v>
      </c>
      <c r="C280" s="312"/>
      <c r="D280" s="312"/>
      <c r="E280" s="312"/>
      <c r="F280" s="312"/>
      <c r="G280" s="312"/>
      <c r="H280" s="312"/>
      <c r="I280" s="312"/>
      <c r="J280" s="442">
        <f>J254</f>
        <v>32109688.689999998</v>
      </c>
      <c r="K280" s="442">
        <f t="shared" ref="K280:AA280" si="325">K254</f>
        <v>10679913</v>
      </c>
      <c r="L280" s="442">
        <f t="shared" si="325"/>
        <v>13080178</v>
      </c>
      <c r="M280" s="442">
        <f t="shared" si="325"/>
        <v>8479655</v>
      </c>
      <c r="N280" s="442">
        <f t="shared" si="325"/>
        <v>3688910</v>
      </c>
      <c r="O280" s="442">
        <f t="shared" si="325"/>
        <v>1180103</v>
      </c>
      <c r="P280" s="442">
        <f t="shared" si="325"/>
        <v>3583847</v>
      </c>
      <c r="Q280" s="442">
        <f t="shared" si="325"/>
        <v>5262234</v>
      </c>
      <c r="R280" s="442">
        <f t="shared" si="325"/>
        <v>78064528.689999998</v>
      </c>
      <c r="S280" s="442"/>
      <c r="T280" s="442">
        <f t="shared" si="325"/>
        <v>0.31000000238418579</v>
      </c>
      <c r="U280" s="451">
        <f t="shared" si="325"/>
        <v>12516695</v>
      </c>
      <c r="V280" s="451">
        <f t="shared" si="325"/>
        <v>1836782</v>
      </c>
      <c r="W280" s="452">
        <f t="shared" si="301"/>
        <v>0.85325343471259785</v>
      </c>
      <c r="X280" s="451"/>
      <c r="Y280" s="451">
        <f t="shared" si="325"/>
        <v>12641532</v>
      </c>
      <c r="Z280" s="451">
        <f t="shared" si="325"/>
        <v>8742763</v>
      </c>
      <c r="AA280" s="451">
        <f t="shared" si="325"/>
        <v>7960408.6800000006</v>
      </c>
      <c r="AB280" s="452">
        <f t="shared" si="302"/>
        <v>0.62970284614238214</v>
      </c>
      <c r="AC280" s="452">
        <f t="shared" si="303"/>
        <v>0.84482743072595945</v>
      </c>
      <c r="AD280" s="451"/>
    </row>
    <row r="281" spans="1:32" s="328" customFormat="1">
      <c r="A281" s="446" t="s">
        <v>1359</v>
      </c>
      <c r="B281" s="447" t="s">
        <v>467</v>
      </c>
      <c r="C281" s="447"/>
      <c r="D281" s="447"/>
      <c r="E281" s="447"/>
      <c r="F281" s="447"/>
      <c r="G281" s="447"/>
      <c r="H281" s="447"/>
      <c r="I281" s="447"/>
      <c r="J281" s="448">
        <f>J98+J93+J94+J95</f>
        <v>3883898.9400000004</v>
      </c>
      <c r="K281" s="448">
        <f t="shared" ref="K281:AA281" si="326">K98+K93+K94+K95</f>
        <v>2199579</v>
      </c>
      <c r="L281" s="448">
        <f t="shared" si="326"/>
        <v>1387157</v>
      </c>
      <c r="M281" s="448">
        <f t="shared" si="326"/>
        <v>403737</v>
      </c>
      <c r="N281" s="448">
        <f t="shared" si="326"/>
        <v>0</v>
      </c>
      <c r="O281" s="448">
        <f t="shared" si="326"/>
        <v>720101</v>
      </c>
      <c r="P281" s="448">
        <f t="shared" si="326"/>
        <v>282724</v>
      </c>
      <c r="Q281" s="448">
        <f t="shared" si="326"/>
        <v>33059</v>
      </c>
      <c r="R281" s="448">
        <f t="shared" si="326"/>
        <v>8910255.9399999995</v>
      </c>
      <c r="S281" s="448"/>
      <c r="T281" s="448">
        <f>T98+T93+T94+T95</f>
        <v>167187.93999999878</v>
      </c>
      <c r="U281" s="449">
        <f t="shared" si="326"/>
        <v>2307591</v>
      </c>
      <c r="V281" s="449">
        <f t="shared" si="326"/>
        <v>108012</v>
      </c>
      <c r="W281" s="450">
        <f t="shared" si="301"/>
        <v>0.95319274516151264</v>
      </c>
      <c r="X281" s="449"/>
      <c r="Y281" s="449">
        <f t="shared" si="326"/>
        <v>3056270</v>
      </c>
      <c r="Z281" s="449">
        <f t="shared" si="326"/>
        <v>2366408</v>
      </c>
      <c r="AA281" s="449">
        <f t="shared" si="326"/>
        <v>1849637.2000000002</v>
      </c>
      <c r="AB281" s="450">
        <f t="shared" si="302"/>
        <v>0.60519430547693764</v>
      </c>
      <c r="AC281" s="450">
        <f t="shared" si="303"/>
        <v>0.71969394065314907</v>
      </c>
      <c r="AD281" s="449"/>
      <c r="AF281" s="309"/>
    </row>
    <row r="282" spans="1:32">
      <c r="A282" s="441"/>
      <c r="B282" s="312"/>
      <c r="C282" s="312"/>
      <c r="D282" s="312"/>
      <c r="E282" s="312"/>
      <c r="F282" s="312"/>
      <c r="G282" s="312"/>
      <c r="H282" s="312"/>
      <c r="I282" s="312"/>
      <c r="J282" s="444"/>
      <c r="K282" s="444"/>
      <c r="L282" s="444"/>
      <c r="M282" s="444"/>
      <c r="N282" s="444"/>
      <c r="O282" s="444"/>
      <c r="P282" s="444"/>
      <c r="Q282" s="444"/>
      <c r="R282" s="312"/>
      <c r="S282" s="344"/>
      <c r="T282" s="312"/>
      <c r="W282" s="450"/>
      <c r="AB282" s="450"/>
      <c r="AC282" s="450"/>
    </row>
    <row r="283" spans="1:32">
      <c r="A283" s="454" t="s">
        <v>153</v>
      </c>
      <c r="B283" s="312"/>
      <c r="C283" s="312"/>
      <c r="D283" s="312"/>
      <c r="E283" s="312"/>
      <c r="F283" s="312"/>
      <c r="G283" s="312"/>
      <c r="H283" s="312"/>
      <c r="I283" s="312"/>
      <c r="J283" s="442">
        <f>J284+J285+J286+J287</f>
        <v>1610686804.3600001</v>
      </c>
      <c r="K283" s="442">
        <f t="shared" ref="K283:AA283" si="327">K284+K285+K286+K287</f>
        <v>425567085.51999998</v>
      </c>
      <c r="L283" s="442">
        <f t="shared" si="327"/>
        <v>482841118.49000001</v>
      </c>
      <c r="M283" s="442">
        <f t="shared" si="327"/>
        <v>217698923</v>
      </c>
      <c r="N283" s="442">
        <f t="shared" si="327"/>
        <v>64302439</v>
      </c>
      <c r="O283" s="442">
        <f t="shared" si="327"/>
        <v>118510674.40000001</v>
      </c>
      <c r="P283" s="442">
        <f t="shared" si="327"/>
        <v>395779939.44999999</v>
      </c>
      <c r="Q283" s="442">
        <f t="shared" si="327"/>
        <v>386416133.47000003</v>
      </c>
      <c r="R283" s="442">
        <f t="shared" si="327"/>
        <v>3701803117.6900001</v>
      </c>
      <c r="S283" s="442"/>
      <c r="T283" s="442">
        <f>T284+T285+T286+T287</f>
        <v>32420957.433695994</v>
      </c>
      <c r="U283" s="451">
        <f t="shared" si="327"/>
        <v>536611907</v>
      </c>
      <c r="V283" s="451">
        <f t="shared" si="327"/>
        <v>111044821.48</v>
      </c>
      <c r="W283" s="452">
        <f>K283/U283</f>
        <v>0.79306306842721619</v>
      </c>
      <c r="X283" s="451"/>
      <c r="Y283" s="451">
        <f t="shared" si="327"/>
        <v>501075333</v>
      </c>
      <c r="Z283" s="451">
        <f t="shared" si="327"/>
        <v>351830142</v>
      </c>
      <c r="AA283" s="451">
        <f t="shared" si="327"/>
        <v>330113770.97999996</v>
      </c>
      <c r="AB283" s="452">
        <f>AA283/Y283</f>
        <v>0.65881066027251423</v>
      </c>
      <c r="AC283" s="452">
        <f>K283/Y283</f>
        <v>0.84930759407388345</v>
      </c>
      <c r="AD283" s="451"/>
    </row>
    <row r="284" spans="1:32">
      <c r="A284" s="441"/>
      <c r="B284" s="312" t="s">
        <v>467</v>
      </c>
      <c r="C284" s="312"/>
      <c r="D284" s="312"/>
      <c r="E284" s="312"/>
      <c r="F284" s="312"/>
      <c r="G284" s="312"/>
      <c r="H284" s="312"/>
      <c r="I284" s="312"/>
      <c r="J284" s="442">
        <f>J258+J265+J268+J272+J276+J279+J281</f>
        <v>287508469.81000012</v>
      </c>
      <c r="K284" s="442">
        <f t="shared" ref="K284:AA284" si="328">K258+K265+K268+K272+K276+K279+K281</f>
        <v>72639231</v>
      </c>
      <c r="L284" s="442">
        <f t="shared" si="328"/>
        <v>57938986.890000001</v>
      </c>
      <c r="M284" s="442">
        <f t="shared" si="328"/>
        <v>16529617</v>
      </c>
      <c r="N284" s="442">
        <f t="shared" si="328"/>
        <v>4956850</v>
      </c>
      <c r="O284" s="442">
        <f t="shared" si="328"/>
        <v>8834926</v>
      </c>
      <c r="P284" s="442">
        <f t="shared" si="328"/>
        <v>11596998</v>
      </c>
      <c r="Q284" s="442">
        <f t="shared" si="328"/>
        <v>9347293</v>
      </c>
      <c r="R284" s="442">
        <f t="shared" si="328"/>
        <v>469352371.70000011</v>
      </c>
      <c r="S284" s="442"/>
      <c r="T284" s="442">
        <f>T258+T265+T268+T272+T276+T279+T281</f>
        <v>1115155.4071358868</v>
      </c>
      <c r="U284" s="451">
        <f t="shared" si="328"/>
        <v>58145014</v>
      </c>
      <c r="V284" s="451">
        <f t="shared" si="328"/>
        <v>-14494217</v>
      </c>
      <c r="W284" s="452">
        <f t="shared" si="301"/>
        <v>1.2492770403322975</v>
      </c>
      <c r="X284" s="451"/>
      <c r="Y284" s="451">
        <f t="shared" si="328"/>
        <v>77816769</v>
      </c>
      <c r="Z284" s="451">
        <f t="shared" si="328"/>
        <v>61468248</v>
      </c>
      <c r="AA284" s="451">
        <f t="shared" si="328"/>
        <v>57399116.289999999</v>
      </c>
      <c r="AB284" s="452">
        <f t="shared" si="302"/>
        <v>0.73761885808957195</v>
      </c>
      <c r="AC284" s="452">
        <f t="shared" si="303"/>
        <v>0.93346500932209098</v>
      </c>
      <c r="AD284" s="451"/>
    </row>
    <row r="285" spans="1:32">
      <c r="A285" s="441"/>
      <c r="B285" s="312" t="s">
        <v>1173</v>
      </c>
      <c r="C285" s="312"/>
      <c r="D285" s="312"/>
      <c r="E285" s="312"/>
      <c r="F285" s="312"/>
      <c r="G285" s="312"/>
      <c r="H285" s="312"/>
      <c r="I285" s="312"/>
      <c r="J285" s="442">
        <f>J259+J263+J269</f>
        <v>488806262.81999999</v>
      </c>
      <c r="K285" s="442">
        <f t="shared" ref="K285:AA285" si="329">K259+K263+K269</f>
        <v>109951214</v>
      </c>
      <c r="L285" s="442">
        <f t="shared" si="329"/>
        <v>179578888</v>
      </c>
      <c r="M285" s="442">
        <f t="shared" si="329"/>
        <v>113089454</v>
      </c>
      <c r="N285" s="442">
        <f t="shared" si="329"/>
        <v>34996472</v>
      </c>
      <c r="O285" s="442">
        <f t="shared" si="329"/>
        <v>12764231</v>
      </c>
      <c r="P285" s="442">
        <f t="shared" si="329"/>
        <v>118107045.45</v>
      </c>
      <c r="Q285" s="442">
        <f t="shared" si="329"/>
        <v>126548645.47</v>
      </c>
      <c r="R285" s="442">
        <f t="shared" si="329"/>
        <v>1183842212.7399998</v>
      </c>
      <c r="S285" s="442"/>
      <c r="T285" s="442">
        <f t="shared" si="329"/>
        <v>3.750000037252903</v>
      </c>
      <c r="U285" s="451">
        <f t="shared" si="329"/>
        <v>175808640</v>
      </c>
      <c r="V285" s="451">
        <f t="shared" si="329"/>
        <v>65857426</v>
      </c>
      <c r="W285" s="452">
        <f t="shared" si="301"/>
        <v>0.62540279021554346</v>
      </c>
      <c r="X285" s="451"/>
      <c r="Y285" s="451">
        <f t="shared" si="329"/>
        <v>142450898</v>
      </c>
      <c r="Z285" s="451">
        <f t="shared" si="329"/>
        <v>98247602</v>
      </c>
      <c r="AA285" s="451">
        <f t="shared" si="329"/>
        <v>96646379.559999987</v>
      </c>
      <c r="AB285" s="452">
        <f t="shared" si="302"/>
        <v>0.67845398601839624</v>
      </c>
      <c r="AC285" s="452">
        <f t="shared" si="303"/>
        <v>0.77185342840028992</v>
      </c>
      <c r="AD285" s="451"/>
    </row>
    <row r="286" spans="1:32">
      <c r="A286" s="441"/>
      <c r="B286" s="312" t="s">
        <v>635</v>
      </c>
      <c r="C286" s="312"/>
      <c r="D286" s="312"/>
      <c r="E286" s="312"/>
      <c r="F286" s="312"/>
      <c r="G286" s="312"/>
      <c r="H286" s="312"/>
      <c r="I286" s="312"/>
      <c r="J286" s="442">
        <f>J260+J262+J266+J270+J273+J274+J277</f>
        <v>802262383.03999996</v>
      </c>
      <c r="K286" s="442">
        <f t="shared" ref="K286:AA286" si="330">K260+K262+K266+K270+K273+K274+K277</f>
        <v>232296727.51999998</v>
      </c>
      <c r="L286" s="442">
        <f t="shared" si="330"/>
        <v>232243065.59999999</v>
      </c>
      <c r="M286" s="442">
        <f>M260+M262+M266+M270+M273+M274+M277</f>
        <v>79600197</v>
      </c>
      <c r="N286" s="442">
        <f t="shared" si="330"/>
        <v>20660207</v>
      </c>
      <c r="O286" s="442">
        <f t="shared" si="330"/>
        <v>95731414.400000006</v>
      </c>
      <c r="P286" s="442">
        <f t="shared" si="330"/>
        <v>262492049</v>
      </c>
      <c r="Q286" s="442">
        <f t="shared" si="330"/>
        <v>245257961</v>
      </c>
      <c r="R286" s="442">
        <f t="shared" si="330"/>
        <v>1970544004.5599999</v>
      </c>
      <c r="S286" s="442"/>
      <c r="T286" s="442">
        <f t="shared" si="330"/>
        <v>31305797.966560069</v>
      </c>
      <c r="U286" s="451">
        <f t="shared" si="330"/>
        <v>290141558</v>
      </c>
      <c r="V286" s="451">
        <f t="shared" si="330"/>
        <v>57844830.480000004</v>
      </c>
      <c r="W286" s="452">
        <f t="shared" si="301"/>
        <v>0.80063238483057975</v>
      </c>
      <c r="X286" s="451"/>
      <c r="Y286" s="451">
        <f t="shared" si="330"/>
        <v>268166134</v>
      </c>
      <c r="Z286" s="451">
        <f t="shared" si="330"/>
        <v>183371529</v>
      </c>
      <c r="AA286" s="451">
        <f t="shared" si="330"/>
        <v>168107866.44999999</v>
      </c>
      <c r="AB286" s="452">
        <f t="shared" si="302"/>
        <v>0.62687955388878447</v>
      </c>
      <c r="AC286" s="452">
        <f t="shared" si="303"/>
        <v>0.86624184812240301</v>
      </c>
      <c r="AD286" s="451"/>
    </row>
    <row r="287" spans="1:32">
      <c r="A287" s="441"/>
      <c r="B287" s="312" t="s">
        <v>1358</v>
      </c>
      <c r="C287" s="312"/>
      <c r="D287" s="312"/>
      <c r="E287" s="312"/>
      <c r="F287" s="312"/>
      <c r="G287" s="312"/>
      <c r="H287" s="312"/>
      <c r="I287" s="312"/>
      <c r="J287" s="442">
        <f>J280</f>
        <v>32109688.689999998</v>
      </c>
      <c r="K287" s="442">
        <f t="shared" ref="K287:AA287" si="331">K280</f>
        <v>10679913</v>
      </c>
      <c r="L287" s="442">
        <f t="shared" si="331"/>
        <v>13080178</v>
      </c>
      <c r="M287" s="442">
        <f t="shared" si="331"/>
        <v>8479655</v>
      </c>
      <c r="N287" s="442">
        <f t="shared" si="331"/>
        <v>3688910</v>
      </c>
      <c r="O287" s="442">
        <f t="shared" si="331"/>
        <v>1180103</v>
      </c>
      <c r="P287" s="442">
        <f t="shared" si="331"/>
        <v>3583847</v>
      </c>
      <c r="Q287" s="442">
        <f t="shared" si="331"/>
        <v>5262234</v>
      </c>
      <c r="R287" s="442">
        <f t="shared" si="331"/>
        <v>78064528.689999998</v>
      </c>
      <c r="S287" s="442"/>
      <c r="T287" s="442">
        <f t="shared" si="331"/>
        <v>0.31000000238418579</v>
      </c>
      <c r="U287" s="451">
        <f t="shared" si="331"/>
        <v>12516695</v>
      </c>
      <c r="V287" s="451">
        <f t="shared" si="331"/>
        <v>1836782</v>
      </c>
      <c r="W287" s="452">
        <f t="shared" si="301"/>
        <v>0.85325343471259785</v>
      </c>
      <c r="X287" s="451"/>
      <c r="Y287" s="451">
        <f t="shared" si="331"/>
        <v>12641532</v>
      </c>
      <c r="Z287" s="451">
        <f t="shared" si="331"/>
        <v>8742763</v>
      </c>
      <c r="AA287" s="451">
        <f t="shared" si="331"/>
        <v>7960408.6800000006</v>
      </c>
      <c r="AB287" s="452">
        <f t="shared" si="302"/>
        <v>0.62970284614238214</v>
      </c>
      <c r="AC287" s="452">
        <f t="shared" si="303"/>
        <v>0.84482743072595945</v>
      </c>
      <c r="AD287" s="451"/>
    </row>
  </sheetData>
  <mergeCells count="25">
    <mergeCell ref="AF3:AF5"/>
    <mergeCell ref="AG3:AG5"/>
    <mergeCell ref="AI3:AI5"/>
    <mergeCell ref="Y3:Y4"/>
    <mergeCell ref="Z3:Z4"/>
    <mergeCell ref="AA3:AA4"/>
    <mergeCell ref="AB3:AB4"/>
    <mergeCell ref="AC3:AC4"/>
    <mergeCell ref="AD3:AD4"/>
    <mergeCell ref="X3:X4"/>
    <mergeCell ref="Y2:AB2"/>
    <mergeCell ref="A3:A4"/>
    <mergeCell ref="B3:B4"/>
    <mergeCell ref="G3:G4"/>
    <mergeCell ref="H3:H4"/>
    <mergeCell ref="I3:I4"/>
    <mergeCell ref="J3:J4"/>
    <mergeCell ref="L3:N3"/>
    <mergeCell ref="O3:Q3"/>
    <mergeCell ref="R3:R4"/>
    <mergeCell ref="S3:S4"/>
    <mergeCell ref="T3:T4"/>
    <mergeCell ref="U3:U4"/>
    <mergeCell ref="V3:V4"/>
    <mergeCell ref="W3:W4"/>
  </mergeCells>
  <pageMargins left="0.23622047244094491" right="0.23622047244094491" top="0" bottom="0" header="0.31496062992125984" footer="0.31496062992125984"/>
  <pageSetup paperSize="9" scale="6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Tabula Nr.1.</vt:lpstr>
      <vt:lpstr>Tabula Nr.2</vt:lpstr>
      <vt:lpstr>Tabula Nr.3.</vt:lpstr>
      <vt:lpstr>Sheet1</vt:lpstr>
      <vt:lpstr>Sheet1 (2)</vt:lpstr>
      <vt:lpstr>'Sheet1 (2)'!Print_Area</vt:lpstr>
      <vt:lpstr>'Tabula Nr.1.'!Print_Area</vt:lpstr>
      <vt:lpstr>'Tabula Nr.2'!Print_Area</vt:lpstr>
      <vt:lpstr>'Sheet1 (2)'!Print_Titles</vt:lpstr>
      <vt:lpstr>'Tabula Nr.1.'!Print_Titles</vt:lpstr>
      <vt:lpstr>'Tabula Nr.2'!Print_Titles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Informatīvā ziņojuma 3.pielikums</dc:title>
  <dc:subject>Mērķi maksājumiem finansējuma saņēmējiem</dc:subject>
  <dc:creator>Sintija Laugale- Volbaka</dc:creator>
  <dc:description>Sintija Laugale- Volbaka
Finanšu ministrijas
Eiropas Savienības fondu uzraudzības departamenta
Uzņēmējdarbības un inovāciju uzraudzības
nodaļas eksperte
Tālr. 67083964, fakss 67095697</dc:description>
  <cp:lastModifiedBy>Sintija Laugale - Volbaka</cp:lastModifiedBy>
  <cp:lastPrinted>2013-02-28T09:24:18Z</cp:lastPrinted>
  <dcterms:created xsi:type="dcterms:W3CDTF">2009-08-28T08:44:59Z</dcterms:created>
  <dcterms:modified xsi:type="dcterms:W3CDTF">2013-03-05T07:23:07Z</dcterms:modified>
</cp:coreProperties>
</file>