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5720" windowHeight="12525"/>
  </bookViews>
  <sheets>
    <sheet name="Mērķi maksājumiem 2013. - 2015." sheetId="4" r:id="rId1"/>
  </sheets>
  <definedNames>
    <definedName name="_xlnm._FilterDatabase" localSheetId="0" hidden="1">'Mērķi maksājumiem 2013. - 2015.'!$A$10:$EX$197</definedName>
    <definedName name="_xlnm.Print_Area" localSheetId="0">'Mērķi maksājumiem 2013. - 2015.'!$A$3:$AM$202</definedName>
    <definedName name="_xlnm.Print_Titles" localSheetId="0">'Mērķi maksājumiem 2013. - 2015.'!$A:$X,'Mērķi maksājumiem 2013. - 2015.'!$7:$10</definedName>
  </definedNames>
  <calcPr calcId="145621"/>
</workbook>
</file>

<file path=xl/calcChain.xml><?xml version="1.0" encoding="utf-8"?>
<calcChain xmlns="http://schemas.openxmlformats.org/spreadsheetml/2006/main">
  <c r="J191" i="4" l="1"/>
  <c r="K191" i="4"/>
  <c r="AA191" i="4"/>
  <c r="AB191" i="4"/>
  <c r="N127" i="4" l="1"/>
  <c r="O127" i="4" s="1"/>
  <c r="P127" i="4" s="1"/>
  <c r="Q127" i="4" s="1"/>
  <c r="R127" i="4" s="1"/>
  <c r="S127" i="4" s="1"/>
  <c r="T127" i="4" s="1"/>
  <c r="U127" i="4" s="1"/>
  <c r="V127" i="4" s="1"/>
  <c r="W127" i="4" s="1"/>
  <c r="M125" i="4"/>
  <c r="N125" i="4" s="1"/>
  <c r="O125" i="4" s="1"/>
  <c r="P125" i="4" s="1"/>
  <c r="Q125" i="4" s="1"/>
  <c r="R125" i="4" s="1"/>
  <c r="S125" i="4" s="1"/>
  <c r="T125" i="4" s="1"/>
  <c r="U125" i="4" s="1"/>
  <c r="V125" i="4" s="1"/>
  <c r="W125" i="4" s="1"/>
  <c r="N123" i="4"/>
  <c r="O123" i="4" s="1"/>
  <c r="P123" i="4" s="1"/>
  <c r="Q123" i="4" s="1"/>
  <c r="R123" i="4" s="1"/>
  <c r="S123" i="4" s="1"/>
  <c r="T123" i="4" s="1"/>
  <c r="U123" i="4" s="1"/>
  <c r="V123" i="4" s="1"/>
  <c r="W123" i="4" s="1"/>
  <c r="N122" i="4"/>
  <c r="O122" i="4" s="1"/>
  <c r="P122" i="4" s="1"/>
  <c r="Q122" i="4" s="1"/>
  <c r="R122" i="4" s="1"/>
  <c r="S122" i="4" s="1"/>
  <c r="T122" i="4" s="1"/>
  <c r="U122" i="4" s="1"/>
  <c r="V122" i="4" s="1"/>
  <c r="W122" i="4" s="1"/>
  <c r="M120" i="4"/>
  <c r="N120" i="4" s="1"/>
  <c r="O120" i="4" s="1"/>
  <c r="P120" i="4" s="1"/>
  <c r="Q120" i="4" s="1"/>
  <c r="R120" i="4" s="1"/>
  <c r="S120" i="4" s="1"/>
  <c r="T120" i="4" s="1"/>
  <c r="U120" i="4" s="1"/>
  <c r="V120" i="4" s="1"/>
  <c r="W120" i="4" s="1"/>
  <c r="I182" i="4" l="1"/>
  <c r="H182" i="4"/>
  <c r="I117" i="4"/>
  <c r="H117" i="4"/>
  <c r="I115" i="4"/>
  <c r="H115" i="4"/>
  <c r="I30" i="4"/>
  <c r="H30" i="4"/>
  <c r="F155" i="4" l="1"/>
  <c r="K23" i="4"/>
  <c r="J24" i="4"/>
  <c r="K24" i="4"/>
  <c r="J25" i="4"/>
  <c r="K25" i="4"/>
  <c r="J26" i="4"/>
  <c r="K26" i="4"/>
  <c r="J27" i="4"/>
  <c r="K27" i="4"/>
  <c r="J30" i="4"/>
  <c r="K30" i="4"/>
  <c r="J32" i="4"/>
  <c r="K32" i="4"/>
  <c r="K33" i="4"/>
  <c r="J34" i="4"/>
  <c r="K34" i="4"/>
  <c r="J35" i="4"/>
  <c r="J38" i="4"/>
  <c r="K38" i="4"/>
  <c r="J39" i="4"/>
  <c r="K39" i="4"/>
  <c r="J40" i="4"/>
  <c r="K40" i="4"/>
  <c r="J43" i="4"/>
  <c r="K43" i="4"/>
  <c r="J44" i="4"/>
  <c r="K44" i="4"/>
  <c r="J46" i="4"/>
  <c r="K46" i="4"/>
  <c r="J47" i="4"/>
  <c r="K47" i="4"/>
  <c r="J49" i="4"/>
  <c r="K49" i="4"/>
  <c r="J50" i="4"/>
  <c r="K50" i="4"/>
  <c r="J51" i="4"/>
  <c r="K51" i="4"/>
  <c r="J52" i="4"/>
  <c r="K52" i="4"/>
  <c r="K53" i="4"/>
  <c r="J54" i="4"/>
  <c r="K54" i="4"/>
  <c r="J56" i="4"/>
  <c r="K56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J68" i="4"/>
  <c r="K68" i="4"/>
  <c r="J69" i="4"/>
  <c r="K69" i="4"/>
  <c r="J70" i="4"/>
  <c r="K70" i="4"/>
  <c r="J72" i="4"/>
  <c r="K72" i="4"/>
  <c r="J73" i="4"/>
  <c r="K73" i="4"/>
  <c r="J75" i="4"/>
  <c r="K75" i="4"/>
  <c r="J76" i="4"/>
  <c r="K76" i="4"/>
  <c r="J77" i="4"/>
  <c r="J79" i="4"/>
  <c r="K79" i="4"/>
  <c r="K80" i="4"/>
  <c r="J81" i="4"/>
  <c r="K81" i="4"/>
  <c r="J82" i="4"/>
  <c r="K82" i="4"/>
  <c r="J83" i="4"/>
  <c r="K83" i="4"/>
  <c r="K84" i="4"/>
  <c r="K85" i="4"/>
  <c r="K86" i="4"/>
  <c r="K90" i="4"/>
  <c r="K91" i="4"/>
  <c r="J92" i="4"/>
  <c r="K92" i="4"/>
  <c r="K93" i="4"/>
  <c r="K94" i="4"/>
  <c r="J95" i="4"/>
  <c r="K95" i="4"/>
  <c r="J96" i="4"/>
  <c r="K96" i="4"/>
  <c r="J97" i="4"/>
  <c r="K97" i="4"/>
  <c r="K98" i="4"/>
  <c r="K99" i="4"/>
  <c r="K100" i="4"/>
  <c r="K101" i="4"/>
  <c r="K102" i="4"/>
  <c r="K103" i="4"/>
  <c r="J104" i="4"/>
  <c r="K104" i="4"/>
  <c r="K105" i="4"/>
  <c r="K107" i="4"/>
  <c r="K108" i="4"/>
  <c r="J109" i="4"/>
  <c r="K109" i="4"/>
  <c r="J110" i="4"/>
  <c r="K110" i="4"/>
  <c r="K111" i="4"/>
  <c r="K112" i="4"/>
  <c r="J115" i="4"/>
  <c r="K115" i="4"/>
  <c r="J117" i="4"/>
  <c r="K117" i="4"/>
  <c r="J120" i="4"/>
  <c r="K120" i="4"/>
  <c r="J121" i="4"/>
  <c r="J122" i="4"/>
  <c r="J123" i="4"/>
  <c r="K123" i="4"/>
  <c r="J125" i="4"/>
  <c r="K125" i="4"/>
  <c r="J126" i="4"/>
  <c r="K126" i="4"/>
  <c r="J127" i="4"/>
  <c r="K127" i="4"/>
  <c r="J128" i="4"/>
  <c r="K128" i="4"/>
  <c r="J129" i="4"/>
  <c r="K129" i="4"/>
  <c r="J130" i="4"/>
  <c r="K130" i="4"/>
  <c r="J131" i="4"/>
  <c r="K131" i="4"/>
  <c r="J132" i="4"/>
  <c r="J133" i="4"/>
  <c r="K133" i="4"/>
  <c r="J135" i="4"/>
  <c r="K135" i="4"/>
  <c r="J136" i="4"/>
  <c r="K136" i="4"/>
  <c r="J137" i="4"/>
  <c r="K137" i="4"/>
  <c r="J139" i="4"/>
  <c r="K139" i="4"/>
  <c r="J140" i="4"/>
  <c r="K140" i="4"/>
  <c r="J141" i="4"/>
  <c r="K141" i="4"/>
  <c r="J142" i="4"/>
  <c r="K142" i="4"/>
  <c r="J143" i="4"/>
  <c r="K143" i="4"/>
  <c r="J144" i="4"/>
  <c r="K144" i="4"/>
  <c r="J146" i="4"/>
  <c r="J147" i="4"/>
  <c r="J150" i="4"/>
  <c r="K150" i="4"/>
  <c r="J151" i="4"/>
  <c r="J152" i="4"/>
  <c r="K152" i="4"/>
  <c r="J153" i="4"/>
  <c r="K153" i="4"/>
  <c r="J154" i="4"/>
  <c r="K154" i="4"/>
  <c r="J157" i="4"/>
  <c r="K157" i="4"/>
  <c r="J160" i="4"/>
  <c r="K160" i="4"/>
  <c r="J161" i="4"/>
  <c r="K161" i="4"/>
  <c r="J162" i="4"/>
  <c r="K162" i="4"/>
  <c r="J163" i="4"/>
  <c r="K163" i="4"/>
  <c r="J166" i="4"/>
  <c r="K166" i="4"/>
  <c r="J169" i="4"/>
  <c r="K169" i="4"/>
  <c r="J170" i="4"/>
  <c r="K170" i="4"/>
  <c r="J171" i="4"/>
  <c r="K171" i="4"/>
  <c r="J172" i="4"/>
  <c r="K172" i="4"/>
  <c r="J173" i="4"/>
  <c r="K173" i="4"/>
  <c r="K176" i="4"/>
  <c r="J177" i="4"/>
  <c r="K177" i="4"/>
  <c r="J178" i="4"/>
  <c r="K178" i="4"/>
  <c r="J179" i="4"/>
  <c r="K179" i="4"/>
  <c r="J180" i="4"/>
  <c r="K180" i="4"/>
  <c r="J182" i="4"/>
  <c r="K182" i="4"/>
  <c r="J184" i="4"/>
  <c r="K184" i="4"/>
  <c r="J185" i="4"/>
  <c r="K185" i="4"/>
  <c r="J186" i="4"/>
  <c r="K186" i="4"/>
  <c r="J187" i="4"/>
  <c r="K187" i="4"/>
  <c r="J188" i="4"/>
  <c r="K188" i="4"/>
  <c r="J189" i="4"/>
  <c r="K189" i="4"/>
  <c r="J193" i="4"/>
  <c r="K193" i="4"/>
  <c r="J194" i="4"/>
  <c r="K194" i="4"/>
  <c r="J195" i="4"/>
  <c r="K195" i="4"/>
  <c r="J196" i="4"/>
  <c r="K196" i="4"/>
  <c r="J197" i="4"/>
  <c r="K197" i="4"/>
  <c r="AA14" i="4"/>
  <c r="AB14" i="4"/>
  <c r="AA18" i="4"/>
  <c r="AB18" i="4"/>
  <c r="AA20" i="4"/>
  <c r="AB20" i="4"/>
  <c r="Y22" i="4"/>
  <c r="Z22" i="4"/>
  <c r="AB23" i="4"/>
  <c r="AB24" i="4"/>
  <c r="AB25" i="4"/>
  <c r="AB26" i="4"/>
  <c r="AB27" i="4"/>
  <c r="Y28" i="4"/>
  <c r="Z28" i="4"/>
  <c r="AA30" i="4"/>
  <c r="AB30" i="4"/>
  <c r="Y31" i="4"/>
  <c r="AA32" i="4"/>
  <c r="AB32" i="4"/>
  <c r="Z33" i="4"/>
  <c r="AB34" i="4"/>
  <c r="AB36" i="4"/>
  <c r="AB37" i="4"/>
  <c r="AB38" i="4"/>
  <c r="AB39" i="4"/>
  <c r="AB40" i="4"/>
  <c r="AB43" i="4"/>
  <c r="AB44" i="4"/>
  <c r="Z45" i="4"/>
  <c r="AB46" i="4"/>
  <c r="AB47" i="4"/>
  <c r="AB48" i="4"/>
  <c r="AB49" i="4"/>
  <c r="AB50" i="4"/>
  <c r="AB51" i="4"/>
  <c r="AB52" i="4"/>
  <c r="Y55" i="4"/>
  <c r="Z55" i="4"/>
  <c r="AA58" i="4"/>
  <c r="AB58" i="4"/>
  <c r="AA59" i="4"/>
  <c r="AB59" i="4"/>
  <c r="AB60" i="4"/>
  <c r="AA63" i="4"/>
  <c r="AB63" i="4"/>
  <c r="AA64" i="4"/>
  <c r="AB64" i="4"/>
  <c r="AA65" i="4"/>
  <c r="AB65" i="4"/>
  <c r="AA69" i="4"/>
  <c r="AB69" i="4"/>
  <c r="AA70" i="4"/>
  <c r="Y71" i="4"/>
  <c r="Z71" i="4"/>
  <c r="AB72" i="4"/>
  <c r="AB73" i="4"/>
  <c r="Y74" i="4"/>
  <c r="Z74" i="4"/>
  <c r="AA75" i="4"/>
  <c r="AB75" i="4"/>
  <c r="AA76" i="4"/>
  <c r="AB76" i="4"/>
  <c r="AA77" i="4"/>
  <c r="AB77" i="4"/>
  <c r="Y78" i="4"/>
  <c r="Z78" i="4"/>
  <c r="AA79" i="4"/>
  <c r="AB79" i="4"/>
  <c r="AB80" i="4"/>
  <c r="AA81" i="4"/>
  <c r="AB81" i="4"/>
  <c r="AB82" i="4"/>
  <c r="AA83" i="4"/>
  <c r="AB83" i="4"/>
  <c r="AB84" i="4"/>
  <c r="AB85" i="4"/>
  <c r="AA86" i="4"/>
  <c r="AB86" i="4"/>
  <c r="Y89" i="4"/>
  <c r="Z89" i="4"/>
  <c r="AB90" i="4"/>
  <c r="AB91" i="4"/>
  <c r="AA92" i="4"/>
  <c r="AB92" i="4"/>
  <c r="AB93" i="4"/>
  <c r="AB94" i="4"/>
  <c r="AB95" i="4"/>
  <c r="AB96" i="4"/>
  <c r="AA97" i="4"/>
  <c r="AB97" i="4"/>
  <c r="AB98" i="4"/>
  <c r="AB99" i="4"/>
  <c r="AA100" i="4"/>
  <c r="AB100" i="4"/>
  <c r="AA101" i="4"/>
  <c r="AB101" i="4"/>
  <c r="AA102" i="4"/>
  <c r="AB102" i="4"/>
  <c r="AB103" i="4"/>
  <c r="AB104" i="4"/>
  <c r="AB105" i="4"/>
  <c r="Y106" i="4"/>
  <c r="Z106" i="4"/>
  <c r="AB107" i="4"/>
  <c r="AB108" i="4"/>
  <c r="AA109" i="4"/>
  <c r="AB109" i="4"/>
  <c r="AA110" i="4"/>
  <c r="AB110" i="4"/>
  <c r="AB111" i="4"/>
  <c r="AB112" i="4"/>
  <c r="Y114" i="4"/>
  <c r="Z114" i="4"/>
  <c r="AA115" i="4"/>
  <c r="AB115" i="4"/>
  <c r="Y116" i="4"/>
  <c r="Z116" i="4"/>
  <c r="AA117" i="4"/>
  <c r="AB117" i="4"/>
  <c r="Y119" i="4"/>
  <c r="Z119" i="4"/>
  <c r="AB120" i="4"/>
  <c r="AB123" i="4"/>
  <c r="Y124" i="4"/>
  <c r="Z124" i="4"/>
  <c r="AB125" i="4"/>
  <c r="AA126" i="4"/>
  <c r="AB126" i="4"/>
  <c r="AB127" i="4"/>
  <c r="AA128" i="4"/>
  <c r="AB128" i="4"/>
  <c r="AA129" i="4"/>
  <c r="AB129" i="4"/>
  <c r="AA130" i="4"/>
  <c r="AB130" i="4"/>
  <c r="AA131" i="4"/>
  <c r="AB131" i="4"/>
  <c r="AA132" i="4"/>
  <c r="AB132" i="4"/>
  <c r="AA133" i="4"/>
  <c r="AB133" i="4"/>
  <c r="Y134" i="4"/>
  <c r="Z134" i="4"/>
  <c r="AA135" i="4"/>
  <c r="AB135" i="4"/>
  <c r="AA136" i="4"/>
  <c r="AB136" i="4"/>
  <c r="AA137" i="4"/>
  <c r="AB137" i="4"/>
  <c r="Y138" i="4"/>
  <c r="Z138" i="4"/>
  <c r="AA139" i="4"/>
  <c r="AB139" i="4"/>
  <c r="AA140" i="4"/>
  <c r="AB140" i="4"/>
  <c r="AA141" i="4"/>
  <c r="AB141" i="4"/>
  <c r="AA142" i="4"/>
  <c r="AB142" i="4"/>
  <c r="AB143" i="4"/>
  <c r="AA144" i="4"/>
  <c r="AB144" i="4"/>
  <c r="Y145" i="4"/>
  <c r="Z145" i="4"/>
  <c r="AB146" i="4"/>
  <c r="AB147" i="4"/>
  <c r="AA150" i="4"/>
  <c r="AB150" i="4"/>
  <c r="AB151" i="4"/>
  <c r="AB152" i="4"/>
  <c r="AA153" i="4"/>
  <c r="AB153" i="4"/>
  <c r="AA154" i="4"/>
  <c r="AB154" i="4"/>
  <c r="Y155" i="4"/>
  <c r="Z155" i="4"/>
  <c r="AA157" i="4"/>
  <c r="AB157" i="4"/>
  <c r="AA160" i="4"/>
  <c r="AB160" i="4"/>
  <c r="AB161" i="4"/>
  <c r="AA162" i="4"/>
  <c r="AB162" i="4"/>
  <c r="AA163" i="4"/>
  <c r="AB163" i="4"/>
  <c r="AB166" i="4"/>
  <c r="Y168" i="4"/>
  <c r="Z168" i="4"/>
  <c r="AA169" i="4"/>
  <c r="AB169" i="4"/>
  <c r="AA170" i="4"/>
  <c r="AB170" i="4"/>
  <c r="AA171" i="4"/>
  <c r="AB171" i="4"/>
  <c r="AA172" i="4"/>
  <c r="AB172" i="4"/>
  <c r="AA173" i="4"/>
  <c r="AB173" i="4"/>
  <c r="Y175" i="4"/>
  <c r="Z175" i="4"/>
  <c r="AB176" i="4"/>
  <c r="AB177" i="4"/>
  <c r="AB178" i="4"/>
  <c r="AA179" i="4"/>
  <c r="AB179" i="4"/>
  <c r="AA180" i="4"/>
  <c r="AB180" i="4"/>
  <c r="Y181" i="4"/>
  <c r="Z181" i="4"/>
  <c r="AA182" i="4"/>
  <c r="AB182" i="4"/>
  <c r="Y183" i="4"/>
  <c r="Z183" i="4"/>
  <c r="AB184" i="4"/>
  <c r="AB185" i="4"/>
  <c r="AB186" i="4"/>
  <c r="AB187" i="4"/>
  <c r="AB188" i="4"/>
  <c r="AB189" i="4"/>
  <c r="Y190" i="4"/>
  <c r="Z190" i="4"/>
  <c r="AA193" i="4"/>
  <c r="AB193" i="4"/>
  <c r="AA194" i="4"/>
  <c r="AB194" i="4"/>
  <c r="AB195" i="4"/>
  <c r="AB196" i="4"/>
  <c r="AB197" i="4"/>
  <c r="AJ14" i="4"/>
  <c r="AK14" i="4"/>
  <c r="AJ18" i="4"/>
  <c r="AK18" i="4"/>
  <c r="AJ20" i="4"/>
  <c r="AK20" i="4"/>
  <c r="AH22" i="4"/>
  <c r="AI22" i="4"/>
  <c r="AK23" i="4"/>
  <c r="AJ24" i="4"/>
  <c r="AK24" i="4"/>
  <c r="AK25" i="4"/>
  <c r="AJ26" i="4"/>
  <c r="AK26" i="4"/>
  <c r="AJ27" i="4"/>
  <c r="AK27" i="4"/>
  <c r="AH28" i="4"/>
  <c r="AI28" i="4"/>
  <c r="AJ30" i="4"/>
  <c r="AK30" i="4"/>
  <c r="AH31" i="4"/>
  <c r="AI31" i="4"/>
  <c r="AJ32" i="4"/>
  <c r="AK32" i="4"/>
  <c r="AJ34" i="4"/>
  <c r="AK34" i="4"/>
  <c r="AK37" i="4"/>
  <c r="AK38" i="4"/>
  <c r="AK39" i="4"/>
  <c r="AK40" i="4"/>
  <c r="AK43" i="4"/>
  <c r="AK44" i="4"/>
  <c r="AK45" i="4"/>
  <c r="AK46" i="4"/>
  <c r="AK47" i="4"/>
  <c r="AK48" i="4"/>
  <c r="AK49" i="4"/>
  <c r="AK50" i="4"/>
  <c r="AK51" i="4"/>
  <c r="AK53" i="4"/>
  <c r="AK54" i="4"/>
  <c r="AH55" i="4"/>
  <c r="AI55" i="4"/>
  <c r="AK56" i="4"/>
  <c r="AJ58" i="4"/>
  <c r="AK58" i="4"/>
  <c r="AJ59" i="4"/>
  <c r="AK59" i="4"/>
  <c r="AJ60" i="4"/>
  <c r="AK60" i="4"/>
  <c r="AK61" i="4"/>
  <c r="AK62" i="4"/>
  <c r="AJ63" i="4"/>
  <c r="AK63" i="4"/>
  <c r="AJ64" i="4"/>
  <c r="AK64" i="4"/>
  <c r="AJ65" i="4"/>
  <c r="AK65" i="4"/>
  <c r="AK66" i="4"/>
  <c r="AK67" i="4"/>
  <c r="AK68" i="4"/>
  <c r="AJ69" i="4"/>
  <c r="AK69" i="4"/>
  <c r="AK70" i="4"/>
  <c r="AH71" i="4"/>
  <c r="AI71" i="4"/>
  <c r="AH74" i="4"/>
  <c r="AI74" i="4"/>
  <c r="AJ75" i="4"/>
  <c r="AK75" i="4"/>
  <c r="AJ76" i="4"/>
  <c r="AK76" i="4"/>
  <c r="AJ77" i="4"/>
  <c r="AK77" i="4"/>
  <c r="AH78" i="4"/>
  <c r="AI78" i="4"/>
  <c r="AJ79" i="4"/>
  <c r="AK79" i="4"/>
  <c r="AK80" i="4"/>
  <c r="AJ81" i="4"/>
  <c r="AK81" i="4"/>
  <c r="AJ82" i="4"/>
  <c r="AK82" i="4"/>
  <c r="AJ83" i="4"/>
  <c r="AK83" i="4"/>
  <c r="AK84" i="4"/>
  <c r="AJ85" i="4"/>
  <c r="AK85" i="4"/>
  <c r="AJ86" i="4"/>
  <c r="AK86" i="4"/>
  <c r="AH89" i="4"/>
  <c r="AI89" i="4"/>
  <c r="AK90" i="4"/>
  <c r="AJ91" i="4"/>
  <c r="AK91" i="4"/>
  <c r="AJ92" i="4"/>
  <c r="AK92" i="4"/>
  <c r="AJ93" i="4"/>
  <c r="AK93" i="4"/>
  <c r="AK94" i="4"/>
  <c r="AJ95" i="4"/>
  <c r="AK95" i="4"/>
  <c r="AK96" i="4"/>
  <c r="AJ97" i="4"/>
  <c r="AK97" i="4"/>
  <c r="AK98" i="4"/>
  <c r="AK99" i="4"/>
  <c r="AJ100" i="4"/>
  <c r="AK100" i="4"/>
  <c r="AJ101" i="4"/>
  <c r="AK101" i="4"/>
  <c r="AJ102" i="4"/>
  <c r="AK102" i="4"/>
  <c r="AJ103" i="4"/>
  <c r="AK103" i="4"/>
  <c r="AJ104" i="4"/>
  <c r="AK104" i="4"/>
  <c r="AK105" i="4"/>
  <c r="AH106" i="4"/>
  <c r="AI106" i="4"/>
  <c r="AJ107" i="4"/>
  <c r="AK107" i="4"/>
  <c r="AJ108" i="4"/>
  <c r="AK108" i="4"/>
  <c r="AJ109" i="4"/>
  <c r="AK109" i="4"/>
  <c r="AJ110" i="4"/>
  <c r="AK110" i="4"/>
  <c r="AK111" i="4"/>
  <c r="AJ112" i="4"/>
  <c r="AK112" i="4"/>
  <c r="AH114" i="4"/>
  <c r="AI114" i="4"/>
  <c r="AJ115" i="4"/>
  <c r="AK115" i="4"/>
  <c r="AH116" i="4"/>
  <c r="AI116" i="4"/>
  <c r="AJ117" i="4"/>
  <c r="AK117" i="4"/>
  <c r="AH119" i="4"/>
  <c r="AI119" i="4"/>
  <c r="AK121" i="4"/>
  <c r="AK123" i="4"/>
  <c r="AH124" i="4"/>
  <c r="AI124" i="4"/>
  <c r="AK125" i="4"/>
  <c r="AJ126" i="4"/>
  <c r="AK126" i="4"/>
  <c r="AK127" i="4"/>
  <c r="AJ128" i="4"/>
  <c r="AK128" i="4"/>
  <c r="AJ129" i="4"/>
  <c r="AK129" i="4"/>
  <c r="AJ130" i="4"/>
  <c r="AK130" i="4"/>
  <c r="AJ131" i="4"/>
  <c r="AK131" i="4"/>
  <c r="AJ132" i="4"/>
  <c r="AK132" i="4"/>
  <c r="AJ133" i="4"/>
  <c r="AK133" i="4"/>
  <c r="AH134" i="4"/>
  <c r="AI134" i="4"/>
  <c r="AJ135" i="4"/>
  <c r="AK135" i="4"/>
  <c r="AJ136" i="4"/>
  <c r="AK136" i="4"/>
  <c r="AJ137" i="4"/>
  <c r="AK137" i="4"/>
  <c r="AH138" i="4"/>
  <c r="AI138" i="4"/>
  <c r="AJ139" i="4"/>
  <c r="AK139" i="4"/>
  <c r="AJ140" i="4"/>
  <c r="AK140" i="4"/>
  <c r="AJ141" i="4"/>
  <c r="AK141" i="4"/>
  <c r="AJ142" i="4"/>
  <c r="AK142" i="4"/>
  <c r="AJ144" i="4"/>
  <c r="AK144" i="4"/>
  <c r="AH145" i="4"/>
  <c r="AI145" i="4"/>
  <c r="AK146" i="4"/>
  <c r="AJ147" i="4"/>
  <c r="AK147" i="4"/>
  <c r="AJ150" i="4"/>
  <c r="AK150" i="4"/>
  <c r="AJ151" i="4"/>
  <c r="AK151" i="4"/>
  <c r="AK152" i="4"/>
  <c r="AJ153" i="4"/>
  <c r="AK153" i="4"/>
  <c r="AJ154" i="4"/>
  <c r="AK154" i="4"/>
  <c r="AH155" i="4"/>
  <c r="AI155" i="4"/>
  <c r="AJ157" i="4"/>
  <c r="AK157" i="4"/>
  <c r="AJ160" i="4"/>
  <c r="AK160" i="4"/>
  <c r="AJ161" i="4"/>
  <c r="AK161" i="4"/>
  <c r="AK162" i="4"/>
  <c r="AJ163" i="4"/>
  <c r="AK163" i="4"/>
  <c r="AK166" i="4"/>
  <c r="AH168" i="4"/>
  <c r="AI168" i="4"/>
  <c r="AK169" i="4"/>
  <c r="AJ170" i="4"/>
  <c r="AK170" i="4"/>
  <c r="AK171" i="4"/>
  <c r="AK172" i="4"/>
  <c r="AJ173" i="4"/>
  <c r="AK173" i="4"/>
  <c r="AH175" i="4"/>
  <c r="AI175" i="4"/>
  <c r="AK176" i="4"/>
  <c r="AJ177" i="4"/>
  <c r="AK177" i="4"/>
  <c r="AJ178" i="4"/>
  <c r="AK178" i="4"/>
  <c r="AJ179" i="4"/>
  <c r="AK179" i="4"/>
  <c r="AJ180" i="4"/>
  <c r="AK180" i="4"/>
  <c r="AH181" i="4"/>
  <c r="AI181" i="4"/>
  <c r="AJ182" i="4"/>
  <c r="AK182" i="4"/>
  <c r="AH183" i="4"/>
  <c r="AI183" i="4"/>
  <c r="AK184" i="4"/>
  <c r="AK186" i="4"/>
  <c r="AK187" i="4"/>
  <c r="AK188" i="4"/>
  <c r="AK189" i="4"/>
  <c r="AH190" i="4"/>
  <c r="AI190" i="4"/>
  <c r="AJ191" i="4"/>
  <c r="AK191" i="4"/>
  <c r="AJ193" i="4"/>
  <c r="AK193" i="4"/>
  <c r="AJ194" i="4"/>
  <c r="AK194" i="4"/>
  <c r="AK195" i="4"/>
  <c r="AK196" i="4"/>
  <c r="AK197" i="4"/>
  <c r="I22" i="4"/>
  <c r="K22" i="4" s="1"/>
  <c r="I28" i="4"/>
  <c r="K28" i="4" s="1"/>
  <c r="I35" i="4"/>
  <c r="K35" i="4" s="1"/>
  <c r="I36" i="4"/>
  <c r="K36" i="4" s="1"/>
  <c r="I37" i="4"/>
  <c r="K37" i="4" s="1"/>
  <c r="I41" i="4"/>
  <c r="K41" i="4" s="1"/>
  <c r="I42" i="4"/>
  <c r="K42" i="4" s="1"/>
  <c r="I45" i="4"/>
  <c r="K45" i="4" s="1"/>
  <c r="I48" i="4"/>
  <c r="K48" i="4" s="1"/>
  <c r="I55" i="4"/>
  <c r="K55" i="4" s="1"/>
  <c r="I71" i="4"/>
  <c r="K71" i="4" s="1"/>
  <c r="I77" i="4"/>
  <c r="K77" i="4" s="1"/>
  <c r="I78" i="4"/>
  <c r="K78" i="4" s="1"/>
  <c r="I89" i="4"/>
  <c r="K89" i="4" s="1"/>
  <c r="I106" i="4"/>
  <c r="I114" i="4"/>
  <c r="K114" i="4" s="1"/>
  <c r="I116" i="4"/>
  <c r="K116" i="4" s="1"/>
  <c r="I121" i="4"/>
  <c r="K121" i="4" s="1"/>
  <c r="I122" i="4"/>
  <c r="K122" i="4" s="1"/>
  <c r="I132" i="4"/>
  <c r="I124" i="4" s="1"/>
  <c r="K124" i="4" s="1"/>
  <c r="I134" i="4"/>
  <c r="K134" i="4" s="1"/>
  <c r="I138" i="4"/>
  <c r="K138" i="4" s="1"/>
  <c r="I146" i="4"/>
  <c r="I147" i="4"/>
  <c r="K147" i="4" s="1"/>
  <c r="I151" i="4"/>
  <c r="K151" i="4" s="1"/>
  <c r="I155" i="4"/>
  <c r="K155" i="4" s="1"/>
  <c r="I168" i="4"/>
  <c r="K168" i="4" s="1"/>
  <c r="I175" i="4"/>
  <c r="K175" i="4" s="1"/>
  <c r="I181" i="4"/>
  <c r="K181" i="4" s="1"/>
  <c r="I183" i="4"/>
  <c r="K183" i="4" s="1"/>
  <c r="I190" i="4"/>
  <c r="I74" i="4" l="1"/>
  <c r="K74" i="4" s="1"/>
  <c r="I88" i="4"/>
  <c r="K88" i="4" s="1"/>
  <c r="Y174" i="4"/>
  <c r="Y13" i="4" s="1"/>
  <c r="I174" i="4"/>
  <c r="I13" i="4" s="1"/>
  <c r="K13" i="4" s="1"/>
  <c r="Z174" i="4"/>
  <c r="Z13" i="4" s="1"/>
  <c r="AI174" i="4"/>
  <c r="AI17" i="4" s="1"/>
  <c r="AH174" i="4"/>
  <c r="AH13" i="4" s="1"/>
  <c r="Z31" i="4"/>
  <c r="Z21" i="4" s="1"/>
  <c r="K132" i="4"/>
  <c r="Z113" i="4"/>
  <c r="Y16" i="4"/>
  <c r="Y113" i="4"/>
  <c r="Z88" i="4"/>
  <c r="Y21" i="4"/>
  <c r="Y11" i="4" s="1"/>
  <c r="I145" i="4"/>
  <c r="K145" i="4" s="1"/>
  <c r="AH118" i="4"/>
  <c r="AH113" i="4"/>
  <c r="AI16" i="4"/>
  <c r="AI21" i="4"/>
  <c r="AI11" i="4" s="1"/>
  <c r="Y88" i="4"/>
  <c r="Z16" i="4"/>
  <c r="K190" i="4"/>
  <c r="K106" i="4"/>
  <c r="AI118" i="4"/>
  <c r="AI113" i="4"/>
  <c r="AH16" i="4"/>
  <c r="AH21" i="4"/>
  <c r="AH11" i="4" s="1"/>
  <c r="K146" i="4"/>
  <c r="Z17" i="4"/>
  <c r="AI88" i="4"/>
  <c r="Z118" i="4"/>
  <c r="AH88" i="4"/>
  <c r="Y118" i="4"/>
  <c r="I31" i="4"/>
  <c r="I119" i="4"/>
  <c r="I16" i="4" s="1"/>
  <c r="K16" i="4" s="1"/>
  <c r="I113" i="4"/>
  <c r="K113" i="4" s="1"/>
  <c r="E136" i="4"/>
  <c r="Y17" i="4" l="1"/>
  <c r="Y87" i="4"/>
  <c r="Y12" i="4" s="1"/>
  <c r="AH87" i="4"/>
  <c r="AH12" i="4" s="1"/>
  <c r="AH19" i="4" s="1"/>
  <c r="AI13" i="4"/>
  <c r="AI87" i="4"/>
  <c r="AI12" i="4" s="1"/>
  <c r="Z11" i="4"/>
  <c r="Z15" i="4"/>
  <c r="AH15" i="4"/>
  <c r="AI15" i="4"/>
  <c r="K174" i="4"/>
  <c r="I17" i="4"/>
  <c r="K17" i="4" s="1"/>
  <c r="AH17" i="4"/>
  <c r="Y15" i="4"/>
  <c r="I21" i="4"/>
  <c r="I15" i="4" s="1"/>
  <c r="K15" i="4" s="1"/>
  <c r="K31" i="4"/>
  <c r="I118" i="4"/>
  <c r="K118" i="4" s="1"/>
  <c r="K119" i="4"/>
  <c r="Z87" i="4"/>
  <c r="AA122" i="4"/>
  <c r="N121" i="4"/>
  <c r="O121" i="4" s="1"/>
  <c r="Q121" i="4" s="1"/>
  <c r="R121" i="4" s="1"/>
  <c r="S121" i="4" s="1"/>
  <c r="T121" i="4" s="1"/>
  <c r="U121" i="4" s="1"/>
  <c r="V121" i="4" s="1"/>
  <c r="W121" i="4" s="1"/>
  <c r="AA121" i="4" s="1"/>
  <c r="AI19" i="4" l="1"/>
  <c r="I87" i="4"/>
  <c r="I12" i="4" s="1"/>
  <c r="I11" i="4"/>
  <c r="K11" i="4" s="1"/>
  <c r="K21" i="4"/>
  <c r="Z12" i="4"/>
  <c r="Y19" i="4"/>
  <c r="P121" i="4"/>
  <c r="P129" i="4"/>
  <c r="Q129" i="4" s="1"/>
  <c r="R129" i="4" s="1"/>
  <c r="S129" i="4" s="1"/>
  <c r="T129" i="4" s="1"/>
  <c r="U129" i="4" s="1"/>
  <c r="V129" i="4" s="1"/>
  <c r="AA127" i="4"/>
  <c r="AA125" i="4"/>
  <c r="K87" i="4" l="1"/>
  <c r="I19" i="4"/>
  <c r="K19" i="4" s="1"/>
  <c r="K12" i="4"/>
  <c r="Z19" i="4"/>
  <c r="AM178" i="4"/>
  <c r="P178" i="4"/>
  <c r="Q178" i="4" s="1"/>
  <c r="R178" i="4" s="1"/>
  <c r="S178" i="4" s="1"/>
  <c r="T178" i="4" s="1"/>
  <c r="U178" i="4" s="1"/>
  <c r="V178" i="4" s="1"/>
  <c r="W178" i="4" s="1"/>
  <c r="AA178" i="4" s="1"/>
  <c r="M178" i="4"/>
  <c r="N178" i="4" s="1"/>
  <c r="AM177" i="4"/>
  <c r="M177" i="4"/>
  <c r="N177" i="4" s="1"/>
  <c r="O177" i="4" s="1"/>
  <c r="P177" i="4" s="1"/>
  <c r="Q177" i="4" s="1"/>
  <c r="R177" i="4" s="1"/>
  <c r="S177" i="4" s="1"/>
  <c r="T177" i="4" s="1"/>
  <c r="U177" i="4" s="1"/>
  <c r="V177" i="4" s="1"/>
  <c r="W177" i="4" s="1"/>
  <c r="AA177" i="4" s="1"/>
  <c r="AM176" i="4"/>
  <c r="AD176" i="4"/>
  <c r="AE176" i="4" s="1"/>
  <c r="AF176" i="4" s="1"/>
  <c r="AJ176" i="4" s="1"/>
  <c r="M176" i="4"/>
  <c r="N176" i="4" s="1"/>
  <c r="O176" i="4" s="1"/>
  <c r="P176" i="4" s="1"/>
  <c r="Q176" i="4" s="1"/>
  <c r="R176" i="4" s="1"/>
  <c r="S176" i="4" s="1"/>
  <c r="T176" i="4" s="1"/>
  <c r="U176" i="4" s="1"/>
  <c r="V176" i="4" s="1"/>
  <c r="W176" i="4" s="1"/>
  <c r="AA176" i="4" s="1"/>
  <c r="H176" i="4"/>
  <c r="J176" i="4" s="1"/>
  <c r="AM112" i="4"/>
  <c r="M112" i="4"/>
  <c r="N112" i="4" s="1"/>
  <c r="O112" i="4" s="1"/>
  <c r="P112" i="4" s="1"/>
  <c r="Q112" i="4" s="1"/>
  <c r="R112" i="4" s="1"/>
  <c r="S112" i="4" s="1"/>
  <c r="T112" i="4" s="1"/>
  <c r="U112" i="4" s="1"/>
  <c r="V112" i="4" s="1"/>
  <c r="W112" i="4" s="1"/>
  <c r="AA112" i="4" s="1"/>
  <c r="H112" i="4"/>
  <c r="J112" i="4" s="1"/>
  <c r="AM111" i="4"/>
  <c r="AD111" i="4"/>
  <c r="AE111" i="4" s="1"/>
  <c r="AF111" i="4" s="1"/>
  <c r="AJ111" i="4" s="1"/>
  <c r="M111" i="4"/>
  <c r="N111" i="4" s="1"/>
  <c r="O111" i="4" s="1"/>
  <c r="P111" i="4" s="1"/>
  <c r="Q111" i="4" s="1"/>
  <c r="R111" i="4" s="1"/>
  <c r="S111" i="4" s="1"/>
  <c r="T111" i="4" s="1"/>
  <c r="U111" i="4" s="1"/>
  <c r="V111" i="4" s="1"/>
  <c r="W111" i="4" s="1"/>
  <c r="AA111" i="4" s="1"/>
  <c r="H111" i="4"/>
  <c r="J111" i="4" s="1"/>
  <c r="AM110" i="4"/>
  <c r="AL110" i="4"/>
  <c r="AM109" i="4"/>
  <c r="AL109" i="4"/>
  <c r="AM108" i="4"/>
  <c r="N108" i="4"/>
  <c r="O108" i="4" s="1"/>
  <c r="P108" i="4" s="1"/>
  <c r="Q108" i="4" s="1"/>
  <c r="R108" i="4" s="1"/>
  <c r="S108" i="4" s="1"/>
  <c r="T108" i="4" s="1"/>
  <c r="U108" i="4" s="1"/>
  <c r="V108" i="4" s="1"/>
  <c r="W108" i="4" s="1"/>
  <c r="AA108" i="4" s="1"/>
  <c r="H108" i="4"/>
  <c r="J108" i="4" s="1"/>
  <c r="AM107" i="4"/>
  <c r="N107" i="4"/>
  <c r="O107" i="4" s="1"/>
  <c r="P107" i="4" s="1"/>
  <c r="Q107" i="4" s="1"/>
  <c r="R107" i="4" s="1"/>
  <c r="S107" i="4" s="1"/>
  <c r="T107" i="4" s="1"/>
  <c r="U107" i="4" s="1"/>
  <c r="V107" i="4" s="1"/>
  <c r="W107" i="4" s="1"/>
  <c r="AA107" i="4" s="1"/>
  <c r="H107" i="4"/>
  <c r="J107" i="4" s="1"/>
  <c r="AM105" i="4"/>
  <c r="AC105" i="4"/>
  <c r="AD105" i="4" s="1"/>
  <c r="AE105" i="4" s="1"/>
  <c r="AF105" i="4" s="1"/>
  <c r="AJ105" i="4" s="1"/>
  <c r="M105" i="4"/>
  <c r="N105" i="4" s="1"/>
  <c r="O105" i="4" s="1"/>
  <c r="P105" i="4" s="1"/>
  <c r="Q105" i="4" s="1"/>
  <c r="R105" i="4" s="1"/>
  <c r="S105" i="4" s="1"/>
  <c r="T105" i="4" s="1"/>
  <c r="U105" i="4" s="1"/>
  <c r="V105" i="4" s="1"/>
  <c r="W105" i="4" s="1"/>
  <c r="AA105" i="4" s="1"/>
  <c r="H105" i="4"/>
  <c r="J105" i="4" s="1"/>
  <c r="AM104" i="4"/>
  <c r="M104" i="4"/>
  <c r="N104" i="4" s="1"/>
  <c r="O104" i="4" s="1"/>
  <c r="P104" i="4" s="1"/>
  <c r="Q104" i="4" s="1"/>
  <c r="R104" i="4" s="1"/>
  <c r="S104" i="4" s="1"/>
  <c r="T104" i="4" s="1"/>
  <c r="U104" i="4" s="1"/>
  <c r="V104" i="4" s="1"/>
  <c r="W104" i="4" s="1"/>
  <c r="AA104" i="4" s="1"/>
  <c r="AM103" i="4"/>
  <c r="O103" i="4"/>
  <c r="P103" i="4" s="1"/>
  <c r="Q103" i="4" s="1"/>
  <c r="R103" i="4" s="1"/>
  <c r="S103" i="4" s="1"/>
  <c r="T103" i="4" s="1"/>
  <c r="U103" i="4" s="1"/>
  <c r="V103" i="4" s="1"/>
  <c r="W103" i="4" s="1"/>
  <c r="AA103" i="4" s="1"/>
  <c r="M103" i="4"/>
  <c r="H103" i="4"/>
  <c r="J103" i="4" s="1"/>
  <c r="AM102" i="4"/>
  <c r="H102" i="4"/>
  <c r="J102" i="4" s="1"/>
  <c r="AM101" i="4"/>
  <c r="H101" i="4"/>
  <c r="AM100" i="4"/>
  <c r="H100" i="4"/>
  <c r="AM99" i="4"/>
  <c r="AD99" i="4"/>
  <c r="AE99" i="4" s="1"/>
  <c r="AF99" i="4" s="1"/>
  <c r="AJ99" i="4" s="1"/>
  <c r="M99" i="4"/>
  <c r="N99" i="4" s="1"/>
  <c r="O99" i="4" s="1"/>
  <c r="P99" i="4" s="1"/>
  <c r="Q99" i="4" s="1"/>
  <c r="R99" i="4" s="1"/>
  <c r="S99" i="4" s="1"/>
  <c r="T99" i="4" s="1"/>
  <c r="U99" i="4" s="1"/>
  <c r="V99" i="4" s="1"/>
  <c r="W99" i="4" s="1"/>
  <c r="AA99" i="4" s="1"/>
  <c r="H99" i="4"/>
  <c r="J99" i="4" s="1"/>
  <c r="AM98" i="4"/>
  <c r="AC98" i="4"/>
  <c r="AD98" i="4" s="1"/>
  <c r="AE98" i="4" s="1"/>
  <c r="AF98" i="4" s="1"/>
  <c r="AJ98" i="4" s="1"/>
  <c r="L98" i="4"/>
  <c r="M98" i="4" s="1"/>
  <c r="N98" i="4" s="1"/>
  <c r="O98" i="4" s="1"/>
  <c r="P98" i="4" s="1"/>
  <c r="Q98" i="4" s="1"/>
  <c r="R98" i="4" s="1"/>
  <c r="S98" i="4" s="1"/>
  <c r="T98" i="4" s="1"/>
  <c r="U98" i="4" s="1"/>
  <c r="V98" i="4" s="1"/>
  <c r="W98" i="4" s="1"/>
  <c r="AA98" i="4" s="1"/>
  <c r="H98" i="4"/>
  <c r="J98" i="4" s="1"/>
  <c r="AM97" i="4"/>
  <c r="AL97" i="4"/>
  <c r="AM96" i="4"/>
  <c r="AD96" i="4"/>
  <c r="AE96" i="4" s="1"/>
  <c r="AF96" i="4" s="1"/>
  <c r="AJ96" i="4" s="1"/>
  <c r="O96" i="4"/>
  <c r="P96" i="4" s="1"/>
  <c r="Q96" i="4" s="1"/>
  <c r="R96" i="4" s="1"/>
  <c r="S96" i="4" s="1"/>
  <c r="T96" i="4" s="1"/>
  <c r="U96" i="4" s="1"/>
  <c r="V96" i="4" s="1"/>
  <c r="W96" i="4" s="1"/>
  <c r="AA96" i="4" s="1"/>
  <c r="M96" i="4"/>
  <c r="AM95" i="4"/>
  <c r="O95" i="4"/>
  <c r="P95" i="4" s="1"/>
  <c r="Q95" i="4" s="1"/>
  <c r="R95" i="4" s="1"/>
  <c r="S95" i="4" s="1"/>
  <c r="T95" i="4" s="1"/>
  <c r="U95" i="4" s="1"/>
  <c r="V95" i="4" s="1"/>
  <c r="W95" i="4" s="1"/>
  <c r="AA95" i="4" s="1"/>
  <c r="M95" i="4"/>
  <c r="AM94" i="4"/>
  <c r="AE94" i="4"/>
  <c r="AF94" i="4" s="1"/>
  <c r="AJ94" i="4" s="1"/>
  <c r="L94" i="4"/>
  <c r="M94" i="4" s="1"/>
  <c r="N94" i="4" s="1"/>
  <c r="O94" i="4" s="1"/>
  <c r="P94" i="4" s="1"/>
  <c r="Q94" i="4" s="1"/>
  <c r="R94" i="4" s="1"/>
  <c r="S94" i="4" s="1"/>
  <c r="T94" i="4" s="1"/>
  <c r="U94" i="4" s="1"/>
  <c r="V94" i="4" s="1"/>
  <c r="W94" i="4" s="1"/>
  <c r="AA94" i="4" s="1"/>
  <c r="H94" i="4"/>
  <c r="J94" i="4" s="1"/>
  <c r="AM93" i="4"/>
  <c r="N93" i="4"/>
  <c r="O93" i="4" s="1"/>
  <c r="P93" i="4" s="1"/>
  <c r="Q93" i="4" s="1"/>
  <c r="R93" i="4" s="1"/>
  <c r="S93" i="4" s="1"/>
  <c r="T93" i="4" s="1"/>
  <c r="U93" i="4" s="1"/>
  <c r="V93" i="4" s="1"/>
  <c r="W93" i="4" s="1"/>
  <c r="AA93" i="4" s="1"/>
  <c r="H93" i="4"/>
  <c r="J93" i="4" s="1"/>
  <c r="AM92" i="4"/>
  <c r="AL92" i="4"/>
  <c r="AM91" i="4"/>
  <c r="M91" i="4"/>
  <c r="N91" i="4" s="1"/>
  <c r="O91" i="4" s="1"/>
  <c r="P91" i="4" s="1"/>
  <c r="Q91" i="4" s="1"/>
  <c r="R91" i="4" s="1"/>
  <c r="S91" i="4" s="1"/>
  <c r="T91" i="4" s="1"/>
  <c r="U91" i="4" s="1"/>
  <c r="V91" i="4" s="1"/>
  <c r="W91" i="4" s="1"/>
  <c r="AA91" i="4" s="1"/>
  <c r="H91" i="4"/>
  <c r="J91" i="4" s="1"/>
  <c r="AM90" i="4"/>
  <c r="AD90" i="4"/>
  <c r="AE90" i="4" s="1"/>
  <c r="AF90" i="4" s="1"/>
  <c r="AJ90" i="4" s="1"/>
  <c r="O90" i="4"/>
  <c r="P90" i="4" s="1"/>
  <c r="Q90" i="4" s="1"/>
  <c r="R90" i="4" s="1"/>
  <c r="S90" i="4" s="1"/>
  <c r="T90" i="4" s="1"/>
  <c r="U90" i="4" s="1"/>
  <c r="V90" i="4" s="1"/>
  <c r="W90" i="4" s="1"/>
  <c r="AA90" i="4" s="1"/>
  <c r="M90" i="4"/>
  <c r="H90" i="4"/>
  <c r="J90" i="4" s="1"/>
  <c r="AM27" i="4"/>
  <c r="M27" i="4"/>
  <c r="N27" i="4" s="1"/>
  <c r="O27" i="4" s="1"/>
  <c r="P27" i="4" s="1"/>
  <c r="Q27" i="4" s="1"/>
  <c r="R27" i="4" s="1"/>
  <c r="S27" i="4" s="1"/>
  <c r="T27" i="4" s="1"/>
  <c r="U27" i="4" s="1"/>
  <c r="V27" i="4" s="1"/>
  <c r="W27" i="4" s="1"/>
  <c r="AA27" i="4" s="1"/>
  <c r="AM26" i="4"/>
  <c r="M26" i="4"/>
  <c r="N26" i="4" s="1"/>
  <c r="O26" i="4" s="1"/>
  <c r="P26" i="4" s="1"/>
  <c r="Q26" i="4" s="1"/>
  <c r="R26" i="4" s="1"/>
  <c r="S26" i="4" s="1"/>
  <c r="T26" i="4" s="1"/>
  <c r="U26" i="4" s="1"/>
  <c r="V26" i="4" s="1"/>
  <c r="W26" i="4" s="1"/>
  <c r="AA26" i="4" s="1"/>
  <c r="AM25" i="4"/>
  <c r="AC25" i="4"/>
  <c r="AD25" i="4" s="1"/>
  <c r="AE25" i="4" s="1"/>
  <c r="AF25" i="4" s="1"/>
  <c r="AJ25" i="4" s="1"/>
  <c r="M25" i="4"/>
  <c r="N25" i="4" s="1"/>
  <c r="O25" i="4" s="1"/>
  <c r="P25" i="4" s="1"/>
  <c r="Q25" i="4" s="1"/>
  <c r="R25" i="4" s="1"/>
  <c r="S25" i="4" s="1"/>
  <c r="T25" i="4" s="1"/>
  <c r="U25" i="4" s="1"/>
  <c r="V25" i="4" s="1"/>
  <c r="W25" i="4" s="1"/>
  <c r="AA25" i="4" s="1"/>
  <c r="AM24" i="4"/>
  <c r="M24" i="4"/>
  <c r="N24" i="4" s="1"/>
  <c r="O24" i="4" s="1"/>
  <c r="P24" i="4" s="1"/>
  <c r="Q24" i="4" s="1"/>
  <c r="R24" i="4" s="1"/>
  <c r="S24" i="4" s="1"/>
  <c r="T24" i="4" s="1"/>
  <c r="U24" i="4" s="1"/>
  <c r="V24" i="4" s="1"/>
  <c r="W24" i="4" s="1"/>
  <c r="AA24" i="4" s="1"/>
  <c r="AM23" i="4"/>
  <c r="AC23" i="4"/>
  <c r="AD23" i="4" s="1"/>
  <c r="AE23" i="4" s="1"/>
  <c r="AF23" i="4" s="1"/>
  <c r="AJ23" i="4" s="1"/>
  <c r="M23" i="4"/>
  <c r="N23" i="4" s="1"/>
  <c r="O23" i="4" s="1"/>
  <c r="P23" i="4" s="1"/>
  <c r="Q23" i="4" s="1"/>
  <c r="R23" i="4" s="1"/>
  <c r="S23" i="4" s="1"/>
  <c r="T23" i="4" s="1"/>
  <c r="U23" i="4" s="1"/>
  <c r="V23" i="4" s="1"/>
  <c r="W23" i="4" s="1"/>
  <c r="AA23" i="4" s="1"/>
  <c r="H23" i="4"/>
  <c r="J23" i="4" s="1"/>
  <c r="AL100" i="4" l="1"/>
  <c r="J100" i="4"/>
  <c r="AL101" i="4"/>
  <c r="J101" i="4"/>
  <c r="AL90" i="4"/>
  <c r="AL93" i="4"/>
  <c r="AL102" i="4"/>
  <c r="AL111" i="4"/>
  <c r="AL98" i="4"/>
  <c r="AL105" i="4"/>
  <c r="AL112" i="4"/>
  <c r="AL176" i="4"/>
  <c r="AL178" i="4"/>
  <c r="AL177" i="4"/>
  <c r="AL107" i="4"/>
  <c r="AL108" i="4"/>
  <c r="AL95" i="4"/>
  <c r="AL103" i="4"/>
  <c r="AL91" i="4"/>
  <c r="AL94" i="4"/>
  <c r="AL99" i="4"/>
  <c r="AL96" i="4"/>
  <c r="AL104" i="4"/>
  <c r="AL25" i="4"/>
  <c r="AL24" i="4"/>
  <c r="AL23" i="4"/>
  <c r="AL26" i="4"/>
  <c r="AL27" i="4"/>
  <c r="AM86" i="4" l="1"/>
  <c r="H86" i="4"/>
  <c r="AM85" i="4"/>
  <c r="M85" i="4"/>
  <c r="N85" i="4" s="1"/>
  <c r="O85" i="4" s="1"/>
  <c r="P85" i="4" s="1"/>
  <c r="Q85" i="4" s="1"/>
  <c r="R85" i="4" s="1"/>
  <c r="S85" i="4" s="1"/>
  <c r="T85" i="4" s="1"/>
  <c r="U85" i="4" s="1"/>
  <c r="V85" i="4" s="1"/>
  <c r="W85" i="4" s="1"/>
  <c r="AA85" i="4" s="1"/>
  <c r="H85" i="4"/>
  <c r="J85" i="4" s="1"/>
  <c r="AM84" i="4"/>
  <c r="AD84" i="4"/>
  <c r="AE84" i="4" s="1"/>
  <c r="AF84" i="4" s="1"/>
  <c r="AJ84" i="4" s="1"/>
  <c r="M84" i="4"/>
  <c r="N84" i="4" s="1"/>
  <c r="O84" i="4" s="1"/>
  <c r="P84" i="4" s="1"/>
  <c r="Q84" i="4" s="1"/>
  <c r="R84" i="4" s="1"/>
  <c r="S84" i="4" s="1"/>
  <c r="T84" i="4" s="1"/>
  <c r="U84" i="4" s="1"/>
  <c r="V84" i="4" s="1"/>
  <c r="W84" i="4" s="1"/>
  <c r="AA84" i="4" s="1"/>
  <c r="H84" i="4"/>
  <c r="J84" i="4" s="1"/>
  <c r="AM83" i="4"/>
  <c r="AL83" i="4"/>
  <c r="AM82" i="4"/>
  <c r="N82" i="4"/>
  <c r="O82" i="4" s="1"/>
  <c r="P82" i="4" s="1"/>
  <c r="Q82" i="4" s="1"/>
  <c r="R82" i="4" s="1"/>
  <c r="S82" i="4" s="1"/>
  <c r="T82" i="4" s="1"/>
  <c r="U82" i="4" s="1"/>
  <c r="V82" i="4" s="1"/>
  <c r="W82" i="4" s="1"/>
  <c r="AA82" i="4" s="1"/>
  <c r="AM81" i="4"/>
  <c r="AL81" i="4"/>
  <c r="AM80" i="4"/>
  <c r="AF80" i="4"/>
  <c r="AJ80" i="4" s="1"/>
  <c r="AE80" i="4"/>
  <c r="AD80" i="4"/>
  <c r="AC80" i="4"/>
  <c r="M80" i="4"/>
  <c r="N80" i="4" s="1"/>
  <c r="O80" i="4" s="1"/>
  <c r="P80" i="4" s="1"/>
  <c r="Q80" i="4" s="1"/>
  <c r="R80" i="4" s="1"/>
  <c r="S80" i="4" s="1"/>
  <c r="T80" i="4" s="1"/>
  <c r="U80" i="4" s="1"/>
  <c r="V80" i="4" s="1"/>
  <c r="W80" i="4" s="1"/>
  <c r="AA80" i="4" s="1"/>
  <c r="H80" i="4"/>
  <c r="J80" i="4" s="1"/>
  <c r="AM79" i="4"/>
  <c r="AL79" i="4"/>
  <c r="AL86" i="4" l="1"/>
  <c r="J86" i="4"/>
  <c r="AL80" i="4"/>
  <c r="AL82" i="4"/>
  <c r="AL85" i="4"/>
  <c r="AL84" i="4"/>
  <c r="AL32" i="4" l="1"/>
  <c r="AM32" i="4"/>
  <c r="H33" i="4"/>
  <c r="J33" i="4" s="1"/>
  <c r="L33" i="4"/>
  <c r="M33" i="4" s="1"/>
  <c r="N33" i="4" s="1"/>
  <c r="O33" i="4" s="1"/>
  <c r="P33" i="4" s="1"/>
  <c r="Q33" i="4" s="1"/>
  <c r="R33" i="4" s="1"/>
  <c r="S33" i="4" s="1"/>
  <c r="T33" i="4" s="1"/>
  <c r="U33" i="4" s="1"/>
  <c r="V33" i="4" s="1"/>
  <c r="W33" i="4" s="1"/>
  <c r="AA33" i="4" s="1"/>
  <c r="X33" i="4"/>
  <c r="AB33" i="4" s="1"/>
  <c r="AC33" i="4"/>
  <c r="AD33" i="4" s="1"/>
  <c r="AE33" i="4" s="1"/>
  <c r="AF33" i="4" s="1"/>
  <c r="AJ33" i="4" s="1"/>
  <c r="AG33" i="4"/>
  <c r="AK33" i="4" s="1"/>
  <c r="M34" i="4"/>
  <c r="N34" i="4" s="1"/>
  <c r="O34" i="4" s="1"/>
  <c r="P34" i="4" s="1"/>
  <c r="Q34" i="4" s="1"/>
  <c r="R34" i="4" s="1"/>
  <c r="S34" i="4" s="1"/>
  <c r="T34" i="4" s="1"/>
  <c r="U34" i="4" s="1"/>
  <c r="V34" i="4" s="1"/>
  <c r="W34" i="4" s="1"/>
  <c r="AA34" i="4" s="1"/>
  <c r="AM34" i="4"/>
  <c r="L35" i="4"/>
  <c r="M35" i="4" s="1"/>
  <c r="N35" i="4" s="1"/>
  <c r="O35" i="4" s="1"/>
  <c r="P35" i="4" s="1"/>
  <c r="Q35" i="4" s="1"/>
  <c r="R35" i="4" s="1"/>
  <c r="S35" i="4" s="1"/>
  <c r="T35" i="4" s="1"/>
  <c r="U35" i="4" s="1"/>
  <c r="V35" i="4" s="1"/>
  <c r="W35" i="4" s="1"/>
  <c r="AA35" i="4" s="1"/>
  <c r="X35" i="4"/>
  <c r="AB35" i="4" s="1"/>
  <c r="AC35" i="4"/>
  <c r="AD35" i="4" s="1"/>
  <c r="AE35" i="4" s="1"/>
  <c r="AF35" i="4" s="1"/>
  <c r="AJ35" i="4" s="1"/>
  <c r="AG35" i="4"/>
  <c r="AK35" i="4" s="1"/>
  <c r="H36" i="4"/>
  <c r="J36" i="4" s="1"/>
  <c r="L36" i="4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W36" i="4" s="1"/>
  <c r="AA36" i="4" s="1"/>
  <c r="AC36" i="4"/>
  <c r="AD36" i="4" s="1"/>
  <c r="AE36" i="4" s="1"/>
  <c r="AF36" i="4" s="1"/>
  <c r="AJ36" i="4" s="1"/>
  <c r="AG36" i="4"/>
  <c r="AK36" i="4" s="1"/>
  <c r="H37" i="4"/>
  <c r="J37" i="4" s="1"/>
  <c r="M37" i="4"/>
  <c r="N37" i="4" s="1"/>
  <c r="O37" i="4" s="1"/>
  <c r="P37" i="4" s="1"/>
  <c r="Q37" i="4" s="1"/>
  <c r="R37" i="4" s="1"/>
  <c r="S37" i="4" s="1"/>
  <c r="T37" i="4" s="1"/>
  <c r="U37" i="4" s="1"/>
  <c r="V37" i="4" s="1"/>
  <c r="W37" i="4" s="1"/>
  <c r="AA37" i="4" s="1"/>
  <c r="AD37" i="4"/>
  <c r="AE37" i="4" s="1"/>
  <c r="AF37" i="4" s="1"/>
  <c r="AJ37" i="4" s="1"/>
  <c r="M38" i="4"/>
  <c r="N38" i="4" s="1"/>
  <c r="O38" i="4" s="1"/>
  <c r="P38" i="4" s="1"/>
  <c r="Q38" i="4" s="1"/>
  <c r="R38" i="4" s="1"/>
  <c r="S38" i="4" s="1"/>
  <c r="T38" i="4" s="1"/>
  <c r="U38" i="4" s="1"/>
  <c r="V38" i="4" s="1"/>
  <c r="W38" i="4" s="1"/>
  <c r="AA38" i="4" s="1"/>
  <c r="AD38" i="4"/>
  <c r="AE38" i="4" s="1"/>
  <c r="AF38" i="4" s="1"/>
  <c r="AJ38" i="4" s="1"/>
  <c r="AM38" i="4"/>
  <c r="M39" i="4"/>
  <c r="N39" i="4" s="1"/>
  <c r="O39" i="4" s="1"/>
  <c r="P39" i="4" s="1"/>
  <c r="Q39" i="4" s="1"/>
  <c r="R39" i="4" s="1"/>
  <c r="S39" i="4" s="1"/>
  <c r="T39" i="4" s="1"/>
  <c r="U39" i="4" s="1"/>
  <c r="V39" i="4" s="1"/>
  <c r="W39" i="4" s="1"/>
  <c r="AA39" i="4" s="1"/>
  <c r="AC39" i="4"/>
  <c r="AD39" i="4" s="1"/>
  <c r="AE39" i="4" s="1"/>
  <c r="AF39" i="4" s="1"/>
  <c r="AJ39" i="4" s="1"/>
  <c r="AM39" i="4"/>
  <c r="M40" i="4"/>
  <c r="N40" i="4" s="1"/>
  <c r="O40" i="4" s="1"/>
  <c r="P40" i="4" s="1"/>
  <c r="Q40" i="4" s="1"/>
  <c r="R40" i="4" s="1"/>
  <c r="S40" i="4" s="1"/>
  <c r="T40" i="4" s="1"/>
  <c r="U40" i="4" s="1"/>
  <c r="V40" i="4" s="1"/>
  <c r="W40" i="4" s="1"/>
  <c r="AA40" i="4" s="1"/>
  <c r="AD40" i="4"/>
  <c r="AE40" i="4" s="1"/>
  <c r="AF40" i="4" s="1"/>
  <c r="AJ40" i="4" s="1"/>
  <c r="AM40" i="4"/>
  <c r="H41" i="4"/>
  <c r="J41" i="4" s="1"/>
  <c r="M41" i="4"/>
  <c r="N41" i="4" s="1"/>
  <c r="O41" i="4" s="1"/>
  <c r="P41" i="4" s="1"/>
  <c r="Q41" i="4" s="1"/>
  <c r="R41" i="4" s="1"/>
  <c r="S41" i="4" s="1"/>
  <c r="T41" i="4" s="1"/>
  <c r="U41" i="4" s="1"/>
  <c r="V41" i="4" s="1"/>
  <c r="W41" i="4" s="1"/>
  <c r="AA41" i="4" s="1"/>
  <c r="X41" i="4"/>
  <c r="AB41" i="4" s="1"/>
  <c r="AC41" i="4"/>
  <c r="AD41" i="4" s="1"/>
  <c r="AE41" i="4" s="1"/>
  <c r="AF41" i="4" s="1"/>
  <c r="AJ41" i="4" s="1"/>
  <c r="AG41" i="4"/>
  <c r="AK41" i="4" s="1"/>
  <c r="H42" i="4"/>
  <c r="J42" i="4" s="1"/>
  <c r="M42" i="4"/>
  <c r="N42" i="4" s="1"/>
  <c r="O42" i="4" s="1"/>
  <c r="P42" i="4" s="1"/>
  <c r="Q42" i="4" s="1"/>
  <c r="R42" i="4" s="1"/>
  <c r="S42" i="4" s="1"/>
  <c r="T42" i="4" s="1"/>
  <c r="U42" i="4" s="1"/>
  <c r="V42" i="4" s="1"/>
  <c r="W42" i="4" s="1"/>
  <c r="AA42" i="4" s="1"/>
  <c r="X42" i="4"/>
  <c r="AB42" i="4" s="1"/>
  <c r="AC42" i="4"/>
  <c r="AD42" i="4" s="1"/>
  <c r="AE42" i="4" s="1"/>
  <c r="AF42" i="4" s="1"/>
  <c r="AJ42" i="4" s="1"/>
  <c r="AG42" i="4"/>
  <c r="AK42" i="4" s="1"/>
  <c r="M43" i="4"/>
  <c r="N43" i="4" s="1"/>
  <c r="O43" i="4" s="1"/>
  <c r="P43" i="4" s="1"/>
  <c r="Q43" i="4" s="1"/>
  <c r="R43" i="4" s="1"/>
  <c r="S43" i="4" s="1"/>
  <c r="T43" i="4" s="1"/>
  <c r="U43" i="4" s="1"/>
  <c r="V43" i="4" s="1"/>
  <c r="W43" i="4" s="1"/>
  <c r="AA43" i="4" s="1"/>
  <c r="AD43" i="4"/>
  <c r="AE43" i="4" s="1"/>
  <c r="AF43" i="4" s="1"/>
  <c r="AJ43" i="4" s="1"/>
  <c r="AM43" i="4"/>
  <c r="M44" i="4"/>
  <c r="N44" i="4" s="1"/>
  <c r="O44" i="4" s="1"/>
  <c r="P44" i="4" s="1"/>
  <c r="Q44" i="4" s="1"/>
  <c r="R44" i="4" s="1"/>
  <c r="S44" i="4" s="1"/>
  <c r="T44" i="4" s="1"/>
  <c r="U44" i="4" s="1"/>
  <c r="V44" i="4" s="1"/>
  <c r="W44" i="4" s="1"/>
  <c r="AA44" i="4" s="1"/>
  <c r="AD44" i="4"/>
  <c r="AE44" i="4" s="1"/>
  <c r="AF44" i="4" s="1"/>
  <c r="AJ44" i="4" s="1"/>
  <c r="AM44" i="4"/>
  <c r="H45" i="4"/>
  <c r="J45" i="4" s="1"/>
  <c r="M45" i="4"/>
  <c r="N45" i="4"/>
  <c r="O45" i="4" s="1"/>
  <c r="P45" i="4" s="1"/>
  <c r="Q45" i="4" s="1"/>
  <c r="R45" i="4" s="1"/>
  <c r="S45" i="4" s="1"/>
  <c r="T45" i="4" s="1"/>
  <c r="U45" i="4" s="1"/>
  <c r="V45" i="4" s="1"/>
  <c r="W45" i="4" s="1"/>
  <c r="AA45" i="4" s="1"/>
  <c r="X45" i="4"/>
  <c r="AB45" i="4" s="1"/>
  <c r="AD45" i="4"/>
  <c r="AE45" i="4" s="1"/>
  <c r="AF45" i="4" s="1"/>
  <c r="AJ45" i="4" s="1"/>
  <c r="M46" i="4"/>
  <c r="N46" i="4" s="1"/>
  <c r="O46" i="4" s="1"/>
  <c r="P46" i="4" s="1"/>
  <c r="Q46" i="4" s="1"/>
  <c r="R46" i="4" s="1"/>
  <c r="S46" i="4" s="1"/>
  <c r="T46" i="4" s="1"/>
  <c r="U46" i="4" s="1"/>
  <c r="V46" i="4" s="1"/>
  <c r="W46" i="4" s="1"/>
  <c r="AA46" i="4" s="1"/>
  <c r="AD46" i="4"/>
  <c r="AE46" i="4" s="1"/>
  <c r="AF46" i="4" s="1"/>
  <c r="AJ46" i="4" s="1"/>
  <c r="AM46" i="4"/>
  <c r="M47" i="4"/>
  <c r="N47" i="4" s="1"/>
  <c r="O47" i="4" s="1"/>
  <c r="P47" i="4" s="1"/>
  <c r="Q47" i="4" s="1"/>
  <c r="R47" i="4" s="1"/>
  <c r="S47" i="4" s="1"/>
  <c r="T47" i="4" s="1"/>
  <c r="U47" i="4" s="1"/>
  <c r="V47" i="4" s="1"/>
  <c r="W47" i="4" s="1"/>
  <c r="AA47" i="4" s="1"/>
  <c r="AD47" i="4"/>
  <c r="AE47" i="4" s="1"/>
  <c r="AF47" i="4" s="1"/>
  <c r="AJ47" i="4" s="1"/>
  <c r="AM47" i="4"/>
  <c r="C28" i="4"/>
  <c r="D28" i="4"/>
  <c r="E28" i="4"/>
  <c r="H28" i="4"/>
  <c r="J28" i="4" s="1"/>
  <c r="L28" i="4"/>
  <c r="M28" i="4"/>
  <c r="N28" i="4"/>
  <c r="O28" i="4"/>
  <c r="P28" i="4"/>
  <c r="Q28" i="4"/>
  <c r="R28" i="4"/>
  <c r="S28" i="4"/>
  <c r="T28" i="4"/>
  <c r="U28" i="4"/>
  <c r="V28" i="4"/>
  <c r="W28" i="4"/>
  <c r="AA28" i="4" s="1"/>
  <c r="X28" i="4"/>
  <c r="AB28" i="4" s="1"/>
  <c r="AC28" i="4"/>
  <c r="AD28" i="4"/>
  <c r="AE28" i="4"/>
  <c r="AF28" i="4"/>
  <c r="AJ28" i="4" s="1"/>
  <c r="AG28" i="4"/>
  <c r="AK28" i="4" s="1"/>
  <c r="AM45" i="4" l="1"/>
  <c r="AM42" i="4"/>
  <c r="AL47" i="4"/>
  <c r="AL46" i="4"/>
  <c r="AL43" i="4"/>
  <c r="AL40" i="4"/>
  <c r="AL36" i="4"/>
  <c r="AL33" i="4"/>
  <c r="AL39" i="4"/>
  <c r="AL37" i="4"/>
  <c r="AL38" i="4"/>
  <c r="AL35" i="4"/>
  <c r="AL44" i="4"/>
  <c r="AL45" i="4"/>
  <c r="AL42" i="4"/>
  <c r="AM36" i="4"/>
  <c r="AM41" i="4"/>
  <c r="AM33" i="4"/>
  <c r="AL34" i="4"/>
  <c r="AL41" i="4"/>
  <c r="AM35" i="4"/>
  <c r="AM37" i="4"/>
  <c r="AM28" i="4"/>
  <c r="AL28" i="4"/>
  <c r="AM189" i="4" l="1"/>
  <c r="AC189" i="4"/>
  <c r="AD189" i="4" s="1"/>
  <c r="AE189" i="4" s="1"/>
  <c r="AF189" i="4" s="1"/>
  <c r="AJ189" i="4" s="1"/>
  <c r="M189" i="4"/>
  <c r="N189" i="4" s="1"/>
  <c r="O189" i="4" s="1"/>
  <c r="P189" i="4" s="1"/>
  <c r="Q189" i="4" s="1"/>
  <c r="R189" i="4" s="1"/>
  <c r="S189" i="4" s="1"/>
  <c r="T189" i="4" s="1"/>
  <c r="U189" i="4" s="1"/>
  <c r="V189" i="4" s="1"/>
  <c r="W189" i="4" s="1"/>
  <c r="AA189" i="4" s="1"/>
  <c r="AM188" i="4"/>
  <c r="AD188" i="4"/>
  <c r="AE188" i="4" s="1"/>
  <c r="AF188" i="4" s="1"/>
  <c r="AJ188" i="4" s="1"/>
  <c r="M188" i="4"/>
  <c r="N188" i="4" s="1"/>
  <c r="O188" i="4" s="1"/>
  <c r="P188" i="4" s="1"/>
  <c r="Q188" i="4" s="1"/>
  <c r="R188" i="4" s="1"/>
  <c r="S188" i="4" s="1"/>
  <c r="T188" i="4" s="1"/>
  <c r="U188" i="4" s="1"/>
  <c r="V188" i="4" s="1"/>
  <c r="W188" i="4" s="1"/>
  <c r="AA188" i="4" s="1"/>
  <c r="AM187" i="4"/>
  <c r="AD187" i="4"/>
  <c r="AE187" i="4" s="1"/>
  <c r="AF187" i="4" s="1"/>
  <c r="AJ187" i="4" s="1"/>
  <c r="M187" i="4"/>
  <c r="N187" i="4" s="1"/>
  <c r="O187" i="4" s="1"/>
  <c r="P187" i="4" s="1"/>
  <c r="Q187" i="4" s="1"/>
  <c r="R187" i="4" s="1"/>
  <c r="S187" i="4" s="1"/>
  <c r="T187" i="4" s="1"/>
  <c r="U187" i="4" s="1"/>
  <c r="V187" i="4" s="1"/>
  <c r="W187" i="4" s="1"/>
  <c r="AA187" i="4" s="1"/>
  <c r="AM186" i="4"/>
  <c r="AD186" i="4"/>
  <c r="AE186" i="4" s="1"/>
  <c r="AF186" i="4" s="1"/>
  <c r="AJ186" i="4" s="1"/>
  <c r="M186" i="4"/>
  <c r="N186" i="4" s="1"/>
  <c r="O186" i="4" s="1"/>
  <c r="P186" i="4" s="1"/>
  <c r="Q186" i="4" s="1"/>
  <c r="R186" i="4" s="1"/>
  <c r="S186" i="4" s="1"/>
  <c r="T186" i="4" s="1"/>
  <c r="U186" i="4" s="1"/>
  <c r="V186" i="4" s="1"/>
  <c r="W186" i="4" s="1"/>
  <c r="AA186" i="4" s="1"/>
  <c r="AM185" i="4"/>
  <c r="M185" i="4"/>
  <c r="N185" i="4" s="1"/>
  <c r="O185" i="4" s="1"/>
  <c r="P185" i="4" s="1"/>
  <c r="Q185" i="4" s="1"/>
  <c r="R185" i="4" s="1"/>
  <c r="S185" i="4" s="1"/>
  <c r="T185" i="4" s="1"/>
  <c r="U185" i="4" s="1"/>
  <c r="V185" i="4" s="1"/>
  <c r="W185" i="4" s="1"/>
  <c r="AA185" i="4" s="1"/>
  <c r="AM184" i="4"/>
  <c r="AD184" i="4"/>
  <c r="AE184" i="4" s="1"/>
  <c r="AF184" i="4" s="1"/>
  <c r="AJ184" i="4" s="1"/>
  <c r="M184" i="4"/>
  <c r="N184" i="4" s="1"/>
  <c r="O184" i="4" s="1"/>
  <c r="P184" i="4" s="1"/>
  <c r="Q184" i="4" s="1"/>
  <c r="R184" i="4" s="1"/>
  <c r="S184" i="4" s="1"/>
  <c r="T184" i="4" s="1"/>
  <c r="U184" i="4" s="1"/>
  <c r="V184" i="4" s="1"/>
  <c r="W184" i="4" s="1"/>
  <c r="AA184" i="4" s="1"/>
  <c r="AM154" i="4"/>
  <c r="AL154" i="4"/>
  <c r="AM153" i="4"/>
  <c r="AL153" i="4"/>
  <c r="AM152" i="4"/>
  <c r="AD152" i="4"/>
  <c r="AE152" i="4" s="1"/>
  <c r="AF152" i="4" s="1"/>
  <c r="AJ152" i="4" s="1"/>
  <c r="Q152" i="4"/>
  <c r="R152" i="4" s="1"/>
  <c r="S152" i="4" s="1"/>
  <c r="T152" i="4" s="1"/>
  <c r="U152" i="4" s="1"/>
  <c r="V152" i="4" s="1"/>
  <c r="W152" i="4" s="1"/>
  <c r="AA152" i="4" s="1"/>
  <c r="O152" i="4"/>
  <c r="P152" i="4" s="1"/>
  <c r="W151" i="4"/>
  <c r="N151" i="4"/>
  <c r="O151" i="4" s="1"/>
  <c r="P151" i="4" s="1"/>
  <c r="Q151" i="4" s="1"/>
  <c r="R151" i="4" s="1"/>
  <c r="S151" i="4" s="1"/>
  <c r="AM151" i="4"/>
  <c r="AM150" i="4"/>
  <c r="AL150" i="4"/>
  <c r="N147" i="4"/>
  <c r="O147" i="4" s="1"/>
  <c r="P147" i="4" s="1"/>
  <c r="Q147" i="4" s="1"/>
  <c r="R147" i="4" s="1"/>
  <c r="S147" i="4" s="1"/>
  <c r="T147" i="4" s="1"/>
  <c r="U147" i="4" s="1"/>
  <c r="V147" i="4" s="1"/>
  <c r="W147" i="4" s="1"/>
  <c r="AA147" i="4" s="1"/>
  <c r="AM147" i="4"/>
  <c r="AE146" i="4"/>
  <c r="AF146" i="4" s="1"/>
  <c r="AJ146" i="4" s="1"/>
  <c r="N146" i="4"/>
  <c r="O146" i="4" s="1"/>
  <c r="P146" i="4" s="1"/>
  <c r="Q146" i="4" s="1"/>
  <c r="R146" i="4" s="1"/>
  <c r="S146" i="4" s="1"/>
  <c r="T146" i="4" s="1"/>
  <c r="U146" i="4" s="1"/>
  <c r="V146" i="4" s="1"/>
  <c r="W146" i="4" s="1"/>
  <c r="AA146" i="4" s="1"/>
  <c r="AM146" i="4"/>
  <c r="AL151" i="4" l="1"/>
  <c r="AA151" i="4"/>
  <c r="AL184" i="4"/>
  <c r="AL186" i="4"/>
  <c r="AL187" i="4"/>
  <c r="AL185" i="4"/>
  <c r="AL188" i="4"/>
  <c r="AL189" i="4"/>
  <c r="AL147" i="4"/>
  <c r="AL146" i="4"/>
  <c r="AL152" i="4"/>
  <c r="AJ143" i="4" l="1"/>
  <c r="AA143" i="4"/>
  <c r="AM139" i="4"/>
  <c r="AL139" i="4"/>
  <c r="AL140" i="4"/>
  <c r="AM140" i="4"/>
  <c r="AL141" i="4"/>
  <c r="AM141" i="4"/>
  <c r="AL142" i="4"/>
  <c r="AM142" i="4"/>
  <c r="AL143" i="4" l="1"/>
  <c r="AK143" i="4"/>
  <c r="AM143" i="4" l="1"/>
  <c r="AD70" i="4" l="1"/>
  <c r="AE70" i="4" s="1"/>
  <c r="AF70" i="4" s="1"/>
  <c r="AJ70" i="4" s="1"/>
  <c r="X70" i="4"/>
  <c r="AM69" i="4"/>
  <c r="AL69" i="4"/>
  <c r="AC68" i="4"/>
  <c r="AD68" i="4" s="1"/>
  <c r="AE68" i="4" s="1"/>
  <c r="AF68" i="4" s="1"/>
  <c r="AJ68" i="4" s="1"/>
  <c r="W68" i="4"/>
  <c r="AA68" i="4" s="1"/>
  <c r="V68" i="4"/>
  <c r="U68" i="4"/>
  <c r="T68" i="4"/>
  <c r="S68" i="4"/>
  <c r="R68" i="4"/>
  <c r="Q68" i="4"/>
  <c r="P68" i="4"/>
  <c r="O68" i="4"/>
  <c r="N68" i="4"/>
  <c r="M68" i="4"/>
  <c r="L68" i="4"/>
  <c r="AC67" i="4"/>
  <c r="AD67" i="4" s="1"/>
  <c r="AE67" i="4" s="1"/>
  <c r="AF67" i="4" s="1"/>
  <c r="AJ67" i="4" s="1"/>
  <c r="W67" i="4"/>
  <c r="V67" i="4"/>
  <c r="U67" i="4"/>
  <c r="T67" i="4"/>
  <c r="S67" i="4"/>
  <c r="R67" i="4"/>
  <c r="N67" i="4"/>
  <c r="M67" i="4"/>
  <c r="L67" i="4"/>
  <c r="AC66" i="4"/>
  <c r="AD66" i="4" s="1"/>
  <c r="AE66" i="4" s="1"/>
  <c r="AF66" i="4" s="1"/>
  <c r="AJ66" i="4" s="1"/>
  <c r="W66" i="4"/>
  <c r="AA66" i="4" s="1"/>
  <c r="V66" i="4"/>
  <c r="U66" i="4"/>
  <c r="T66" i="4"/>
  <c r="S66" i="4"/>
  <c r="R66" i="4"/>
  <c r="Q66" i="4"/>
  <c r="P66" i="4"/>
  <c r="O66" i="4"/>
  <c r="N66" i="4"/>
  <c r="M66" i="4"/>
  <c r="L66" i="4"/>
  <c r="AM65" i="4"/>
  <c r="AL65" i="4"/>
  <c r="AM64" i="4"/>
  <c r="AL64" i="4"/>
  <c r="AM63" i="4"/>
  <c r="AL63" i="4"/>
  <c r="AC62" i="4"/>
  <c r="AD62" i="4" s="1"/>
  <c r="AE62" i="4" s="1"/>
  <c r="AF62" i="4" s="1"/>
  <c r="AJ62" i="4" s="1"/>
  <c r="M62" i="4"/>
  <c r="N62" i="4" s="1"/>
  <c r="O62" i="4" s="1"/>
  <c r="P62" i="4" s="1"/>
  <c r="Q62" i="4" s="1"/>
  <c r="R62" i="4" s="1"/>
  <c r="S62" i="4" s="1"/>
  <c r="T62" i="4" s="1"/>
  <c r="U62" i="4" s="1"/>
  <c r="V62" i="4" s="1"/>
  <c r="W62" i="4" s="1"/>
  <c r="AA62" i="4" s="1"/>
  <c r="L62" i="4"/>
  <c r="AC61" i="4"/>
  <c r="AD61" i="4" s="1"/>
  <c r="AE61" i="4" s="1"/>
  <c r="AF61" i="4" s="1"/>
  <c r="AJ61" i="4" s="1"/>
  <c r="W61" i="4"/>
  <c r="AA61" i="4" s="1"/>
  <c r="V61" i="4"/>
  <c r="U61" i="4"/>
  <c r="T61" i="4"/>
  <c r="S61" i="4"/>
  <c r="R61" i="4"/>
  <c r="Q61" i="4"/>
  <c r="P61" i="4"/>
  <c r="O61" i="4"/>
  <c r="N61" i="4"/>
  <c r="M61" i="4"/>
  <c r="L61" i="4"/>
  <c r="AM60" i="4"/>
  <c r="L60" i="4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W60" i="4" s="1"/>
  <c r="AA60" i="4" s="1"/>
  <c r="AM59" i="4"/>
  <c r="AL59" i="4"/>
  <c r="AM58" i="4"/>
  <c r="AL58" i="4"/>
  <c r="AE57" i="4"/>
  <c r="AF57" i="4" s="1"/>
  <c r="AJ57" i="4" s="1"/>
  <c r="W57" i="4"/>
  <c r="AA57" i="4" s="1"/>
  <c r="V57" i="4"/>
  <c r="U57" i="4"/>
  <c r="T57" i="4"/>
  <c r="S57" i="4"/>
  <c r="R57" i="4"/>
  <c r="Q57" i="4"/>
  <c r="P57" i="4"/>
  <c r="O57" i="4"/>
  <c r="N57" i="4"/>
  <c r="M57" i="4"/>
  <c r="L57" i="4"/>
  <c r="H57" i="4"/>
  <c r="J57" i="4" s="1"/>
  <c r="AD56" i="4"/>
  <c r="AE56" i="4" s="1"/>
  <c r="AF56" i="4" s="1"/>
  <c r="AJ56" i="4" s="1"/>
  <c r="T56" i="4"/>
  <c r="U56" i="4" s="1"/>
  <c r="V56" i="4" s="1"/>
  <c r="W56" i="4" s="1"/>
  <c r="AA56" i="4" s="1"/>
  <c r="S56" i="4"/>
  <c r="R56" i="4"/>
  <c r="Q56" i="4"/>
  <c r="P56" i="4"/>
  <c r="O56" i="4"/>
  <c r="N56" i="4"/>
  <c r="L56" i="4"/>
  <c r="X67" i="4" l="1"/>
  <c r="AA67" i="4"/>
  <c r="AM70" i="4"/>
  <c r="AB70" i="4"/>
  <c r="X57" i="4"/>
  <c r="AB57" i="4" s="1"/>
  <c r="X61" i="4"/>
  <c r="AL60" i="4"/>
  <c r="AL67" i="4"/>
  <c r="AL56" i="4"/>
  <c r="X56" i="4"/>
  <c r="AB56" i="4" s="1"/>
  <c r="AL61" i="4"/>
  <c r="AL62" i="4"/>
  <c r="X62" i="4"/>
  <c r="AB62" i="4" s="1"/>
  <c r="AL66" i="4"/>
  <c r="AL68" i="4"/>
  <c r="AL70" i="4"/>
  <c r="AL57" i="4"/>
  <c r="AG57" i="4"/>
  <c r="AK57" i="4" s="1"/>
  <c r="X68" i="4"/>
  <c r="AB68" i="4" s="1"/>
  <c r="X66" i="4"/>
  <c r="AB66" i="4" s="1"/>
  <c r="AM197" i="4"/>
  <c r="AD197" i="4"/>
  <c r="AE197" i="4" s="1"/>
  <c r="AF197" i="4" s="1"/>
  <c r="AJ197" i="4" s="1"/>
  <c r="Q197" i="4"/>
  <c r="T197" i="4" s="1"/>
  <c r="U197" i="4" s="1"/>
  <c r="V197" i="4" s="1"/>
  <c r="W197" i="4" s="1"/>
  <c r="AA197" i="4" s="1"/>
  <c r="AM196" i="4"/>
  <c r="AD196" i="4"/>
  <c r="AE196" i="4" s="1"/>
  <c r="AF196" i="4" s="1"/>
  <c r="AJ196" i="4" s="1"/>
  <c r="R196" i="4"/>
  <c r="S196" i="4" s="1"/>
  <c r="U196" i="4" s="1"/>
  <c r="V196" i="4" s="1"/>
  <c r="W196" i="4" s="1"/>
  <c r="AA196" i="4" s="1"/>
  <c r="AM195" i="4"/>
  <c r="AD195" i="4"/>
  <c r="AE195" i="4" s="1"/>
  <c r="AF195" i="4" s="1"/>
  <c r="AJ195" i="4" s="1"/>
  <c r="O195" i="4"/>
  <c r="P195" i="4" s="1"/>
  <c r="Q195" i="4" s="1"/>
  <c r="R195" i="4" s="1"/>
  <c r="S195" i="4" s="1"/>
  <c r="T195" i="4" s="1"/>
  <c r="U195" i="4" s="1"/>
  <c r="V195" i="4" s="1"/>
  <c r="W195" i="4" s="1"/>
  <c r="AA195" i="4" s="1"/>
  <c r="AM194" i="4"/>
  <c r="AL194" i="4"/>
  <c r="AM193" i="4"/>
  <c r="AL193" i="4"/>
  <c r="AM191" i="4"/>
  <c r="AM166" i="4"/>
  <c r="AD166" i="4"/>
  <c r="AE166" i="4" s="1"/>
  <c r="AF166" i="4" s="1"/>
  <c r="AJ166" i="4" s="1"/>
  <c r="O166" i="4"/>
  <c r="P166" i="4" s="1"/>
  <c r="Q166" i="4" s="1"/>
  <c r="R166" i="4" s="1"/>
  <c r="S166" i="4" s="1"/>
  <c r="T166" i="4" s="1"/>
  <c r="U166" i="4" s="1"/>
  <c r="V166" i="4" s="1"/>
  <c r="W166" i="4" s="1"/>
  <c r="AA166" i="4" s="1"/>
  <c r="AM163" i="4"/>
  <c r="AL163" i="4"/>
  <c r="AM162" i="4"/>
  <c r="AD162" i="4"/>
  <c r="AE162" i="4" s="1"/>
  <c r="AF162" i="4" s="1"/>
  <c r="AJ162" i="4" s="1"/>
  <c r="AM161" i="4"/>
  <c r="W161" i="4"/>
  <c r="V161" i="4"/>
  <c r="U161" i="4"/>
  <c r="AM160" i="4"/>
  <c r="AL160" i="4"/>
  <c r="AM157" i="4"/>
  <c r="AL157" i="4"/>
  <c r="AA73" i="4"/>
  <c r="AA72" i="4"/>
  <c r="AL161" i="4" l="1"/>
  <c r="AA161" i="4"/>
  <c r="AM61" i="4"/>
  <c r="AB61" i="4"/>
  <c r="AM67" i="4"/>
  <c r="AB67" i="4"/>
  <c r="AM66" i="4"/>
  <c r="AM56" i="4"/>
  <c r="AM68" i="4"/>
  <c r="AM62" i="4"/>
  <c r="AM57" i="4"/>
  <c r="AL195" i="4"/>
  <c r="AL196" i="4"/>
  <c r="AL197" i="4"/>
  <c r="AL166" i="4"/>
  <c r="AL162" i="4"/>
  <c r="AM137" i="4" l="1"/>
  <c r="AL137" i="4"/>
  <c r="AM136" i="4"/>
  <c r="AL136" i="4"/>
  <c r="AM135" i="4"/>
  <c r="AL135" i="4"/>
  <c r="AM133" i="4" l="1"/>
  <c r="AL133" i="4"/>
  <c r="AL132" i="4"/>
  <c r="AM132" i="4"/>
  <c r="AM131" i="4"/>
  <c r="AL131" i="4"/>
  <c r="AM130" i="4"/>
  <c r="AL130" i="4"/>
  <c r="AM129" i="4"/>
  <c r="AL129" i="4"/>
  <c r="AM128" i="4"/>
  <c r="AL128" i="4"/>
  <c r="AM127" i="4"/>
  <c r="AF127" i="4"/>
  <c r="AJ127" i="4" s="1"/>
  <c r="AM126" i="4"/>
  <c r="AL126" i="4"/>
  <c r="AM125" i="4"/>
  <c r="AE125" i="4"/>
  <c r="AD125" i="4"/>
  <c r="AD124" i="4" s="1"/>
  <c r="AC125" i="4"/>
  <c r="AC124" i="4" s="1"/>
  <c r="U124" i="4"/>
  <c r="T124" i="4"/>
  <c r="AE124" i="4"/>
  <c r="AM123" i="4"/>
  <c r="AD123" i="4"/>
  <c r="AF123" i="4" s="1"/>
  <c r="AJ123" i="4" s="1"/>
  <c r="AA123" i="4"/>
  <c r="AG122" i="4"/>
  <c r="AK122" i="4" s="1"/>
  <c r="AE122" i="4"/>
  <c r="AF122" i="4" s="1"/>
  <c r="AJ122" i="4" s="1"/>
  <c r="X122" i="4"/>
  <c r="AB122" i="4" s="1"/>
  <c r="AF121" i="4"/>
  <c r="AJ121" i="4" s="1"/>
  <c r="X121" i="4"/>
  <c r="AB121" i="4" s="1"/>
  <c r="AG120" i="4"/>
  <c r="AE120" i="4"/>
  <c r="AF120" i="4" s="1"/>
  <c r="AJ120" i="4" s="1"/>
  <c r="AA120" i="4"/>
  <c r="AD54" i="4"/>
  <c r="AE54" i="4" s="1"/>
  <c r="AF54" i="4" s="1"/>
  <c r="AJ54" i="4" s="1"/>
  <c r="X54" i="4"/>
  <c r="AB54" i="4" s="1"/>
  <c r="M54" i="4"/>
  <c r="N54" i="4" s="1"/>
  <c r="O54" i="4" s="1"/>
  <c r="P54" i="4" s="1"/>
  <c r="Q54" i="4" s="1"/>
  <c r="R54" i="4" s="1"/>
  <c r="S54" i="4" s="1"/>
  <c r="T54" i="4" s="1"/>
  <c r="U54" i="4" s="1"/>
  <c r="V54" i="4" s="1"/>
  <c r="W54" i="4" s="1"/>
  <c r="AA54" i="4" s="1"/>
  <c r="AD53" i="4"/>
  <c r="AE53" i="4" s="1"/>
  <c r="AF53" i="4" s="1"/>
  <c r="AJ53" i="4" s="1"/>
  <c r="X53" i="4"/>
  <c r="AB53" i="4" s="1"/>
  <c r="M53" i="4"/>
  <c r="N53" i="4" s="1"/>
  <c r="O53" i="4" s="1"/>
  <c r="P53" i="4" s="1"/>
  <c r="Q53" i="4" s="1"/>
  <c r="R53" i="4" s="1"/>
  <c r="S53" i="4" s="1"/>
  <c r="T53" i="4" s="1"/>
  <c r="U53" i="4" s="1"/>
  <c r="V53" i="4" s="1"/>
  <c r="W53" i="4" s="1"/>
  <c r="AA53" i="4" s="1"/>
  <c r="H53" i="4"/>
  <c r="J53" i="4" s="1"/>
  <c r="AG52" i="4"/>
  <c r="AK52" i="4" s="1"/>
  <c r="AD52" i="4"/>
  <c r="AE52" i="4" s="1"/>
  <c r="AF52" i="4" s="1"/>
  <c r="AJ52" i="4" s="1"/>
  <c r="M52" i="4"/>
  <c r="N52" i="4" s="1"/>
  <c r="O52" i="4" s="1"/>
  <c r="P52" i="4" s="1"/>
  <c r="Q52" i="4" s="1"/>
  <c r="R52" i="4" s="1"/>
  <c r="S52" i="4" s="1"/>
  <c r="T52" i="4" s="1"/>
  <c r="U52" i="4" s="1"/>
  <c r="V52" i="4" s="1"/>
  <c r="W52" i="4" s="1"/>
  <c r="AA52" i="4" s="1"/>
  <c r="AM51" i="4"/>
  <c r="AD51" i="4"/>
  <c r="AE51" i="4" s="1"/>
  <c r="AF51" i="4" s="1"/>
  <c r="AJ51" i="4" s="1"/>
  <c r="M51" i="4"/>
  <c r="N51" i="4" s="1"/>
  <c r="O51" i="4" s="1"/>
  <c r="P51" i="4" s="1"/>
  <c r="Q51" i="4" s="1"/>
  <c r="R51" i="4" s="1"/>
  <c r="S51" i="4" s="1"/>
  <c r="T51" i="4" s="1"/>
  <c r="U51" i="4" s="1"/>
  <c r="V51" i="4" s="1"/>
  <c r="W51" i="4" s="1"/>
  <c r="AA51" i="4" s="1"/>
  <c r="AM50" i="4"/>
  <c r="AD50" i="4"/>
  <c r="AE50" i="4" s="1"/>
  <c r="AF50" i="4" s="1"/>
  <c r="AJ50" i="4" s="1"/>
  <c r="M50" i="4"/>
  <c r="N50" i="4" s="1"/>
  <c r="O50" i="4" s="1"/>
  <c r="P50" i="4" s="1"/>
  <c r="Q50" i="4" s="1"/>
  <c r="R50" i="4" s="1"/>
  <c r="S50" i="4" s="1"/>
  <c r="T50" i="4" s="1"/>
  <c r="U50" i="4" s="1"/>
  <c r="V50" i="4" s="1"/>
  <c r="W50" i="4" s="1"/>
  <c r="AA50" i="4" s="1"/>
  <c r="AM49" i="4"/>
  <c r="AD49" i="4"/>
  <c r="AE49" i="4" s="1"/>
  <c r="AF49" i="4" s="1"/>
  <c r="AJ49" i="4" s="1"/>
  <c r="M49" i="4"/>
  <c r="N49" i="4" s="1"/>
  <c r="O49" i="4" s="1"/>
  <c r="P49" i="4" s="1"/>
  <c r="Q49" i="4" s="1"/>
  <c r="R49" i="4" s="1"/>
  <c r="S49" i="4" s="1"/>
  <c r="T49" i="4" s="1"/>
  <c r="U49" i="4" s="1"/>
  <c r="V49" i="4" s="1"/>
  <c r="W49" i="4" s="1"/>
  <c r="AA49" i="4" s="1"/>
  <c r="AD48" i="4"/>
  <c r="AE48" i="4" s="1"/>
  <c r="AF48" i="4" s="1"/>
  <c r="AJ48" i="4" s="1"/>
  <c r="M48" i="4"/>
  <c r="N48" i="4" s="1"/>
  <c r="O48" i="4" s="1"/>
  <c r="P48" i="4" s="1"/>
  <c r="Q48" i="4" s="1"/>
  <c r="R48" i="4" s="1"/>
  <c r="S48" i="4" s="1"/>
  <c r="T48" i="4" s="1"/>
  <c r="U48" i="4" s="1"/>
  <c r="V48" i="4" s="1"/>
  <c r="W48" i="4" s="1"/>
  <c r="AA48" i="4" s="1"/>
  <c r="H48" i="4"/>
  <c r="J48" i="4" s="1"/>
  <c r="C55" i="4"/>
  <c r="D55" i="4"/>
  <c r="E55" i="4"/>
  <c r="H55" i="4"/>
  <c r="J55" i="4" s="1"/>
  <c r="L55" i="4"/>
  <c r="M55" i="4"/>
  <c r="N55" i="4"/>
  <c r="O55" i="4"/>
  <c r="P55" i="4"/>
  <c r="Q55" i="4"/>
  <c r="R55" i="4"/>
  <c r="S55" i="4"/>
  <c r="T55" i="4"/>
  <c r="U55" i="4"/>
  <c r="V55" i="4"/>
  <c r="W55" i="4"/>
  <c r="AA55" i="4" s="1"/>
  <c r="X55" i="4"/>
  <c r="AB55" i="4" s="1"/>
  <c r="AC55" i="4"/>
  <c r="AD55" i="4"/>
  <c r="AE55" i="4"/>
  <c r="AF55" i="4"/>
  <c r="AJ55" i="4" s="1"/>
  <c r="AG55" i="4"/>
  <c r="AK55" i="4" s="1"/>
  <c r="C71" i="4"/>
  <c r="D71" i="4"/>
  <c r="E71" i="4"/>
  <c r="H71" i="4"/>
  <c r="J71" i="4" s="1"/>
  <c r="L71" i="4"/>
  <c r="M71" i="4"/>
  <c r="N71" i="4"/>
  <c r="O71" i="4"/>
  <c r="P71" i="4"/>
  <c r="Q71" i="4"/>
  <c r="R71" i="4"/>
  <c r="S71" i="4"/>
  <c r="T71" i="4"/>
  <c r="U71" i="4"/>
  <c r="V71" i="4"/>
  <c r="W71" i="4"/>
  <c r="AA71" i="4" s="1"/>
  <c r="X71" i="4"/>
  <c r="AB71" i="4" s="1"/>
  <c r="AC71" i="4"/>
  <c r="AD71" i="4"/>
  <c r="AE71" i="4"/>
  <c r="AF71" i="4"/>
  <c r="AJ71" i="4" s="1"/>
  <c r="AG71" i="4"/>
  <c r="AK71" i="4" s="1"/>
  <c r="C74" i="4"/>
  <c r="E74" i="4"/>
  <c r="H74" i="4"/>
  <c r="J74" i="4" s="1"/>
  <c r="L74" i="4"/>
  <c r="M74" i="4"/>
  <c r="N74" i="4"/>
  <c r="O74" i="4"/>
  <c r="P74" i="4"/>
  <c r="Q74" i="4"/>
  <c r="R74" i="4"/>
  <c r="S74" i="4"/>
  <c r="T74" i="4"/>
  <c r="U74" i="4"/>
  <c r="V74" i="4"/>
  <c r="W74" i="4"/>
  <c r="AA74" i="4" s="1"/>
  <c r="X74" i="4"/>
  <c r="AB74" i="4" s="1"/>
  <c r="AC74" i="4"/>
  <c r="AD74" i="4"/>
  <c r="AE74" i="4"/>
  <c r="AF74" i="4"/>
  <c r="AJ74" i="4" s="1"/>
  <c r="AG74" i="4"/>
  <c r="AK74" i="4" s="1"/>
  <c r="AL75" i="4"/>
  <c r="AM75" i="4"/>
  <c r="AL76" i="4"/>
  <c r="AM76" i="4"/>
  <c r="D77" i="4"/>
  <c r="D74" i="4" s="1"/>
  <c r="AL77" i="4"/>
  <c r="AM77" i="4"/>
  <c r="C78" i="4"/>
  <c r="D78" i="4"/>
  <c r="E78" i="4"/>
  <c r="H78" i="4"/>
  <c r="J78" i="4" s="1"/>
  <c r="L78" i="4"/>
  <c r="M78" i="4"/>
  <c r="N78" i="4"/>
  <c r="O78" i="4"/>
  <c r="P78" i="4"/>
  <c r="Q78" i="4"/>
  <c r="R78" i="4"/>
  <c r="S78" i="4"/>
  <c r="T78" i="4"/>
  <c r="U78" i="4"/>
  <c r="V78" i="4"/>
  <c r="W78" i="4"/>
  <c r="AA78" i="4" s="1"/>
  <c r="X78" i="4"/>
  <c r="AB78" i="4" s="1"/>
  <c r="AC78" i="4"/>
  <c r="AD78" i="4"/>
  <c r="AE78" i="4"/>
  <c r="AF78" i="4"/>
  <c r="AJ78" i="4" s="1"/>
  <c r="AG78" i="4"/>
  <c r="AK78" i="4" s="1"/>
  <c r="C89" i="4"/>
  <c r="D89" i="4"/>
  <c r="E89" i="4"/>
  <c r="H89" i="4"/>
  <c r="J89" i="4" s="1"/>
  <c r="L89" i="4"/>
  <c r="M89" i="4"/>
  <c r="N89" i="4"/>
  <c r="O89" i="4"/>
  <c r="P89" i="4"/>
  <c r="Q89" i="4"/>
  <c r="R89" i="4"/>
  <c r="S89" i="4"/>
  <c r="T89" i="4"/>
  <c r="U89" i="4"/>
  <c r="V89" i="4"/>
  <c r="W89" i="4"/>
  <c r="AA89" i="4" s="1"/>
  <c r="X89" i="4"/>
  <c r="AB89" i="4" s="1"/>
  <c r="AC89" i="4"/>
  <c r="AD89" i="4"/>
  <c r="AE89" i="4"/>
  <c r="AF89" i="4"/>
  <c r="AJ89" i="4" s="1"/>
  <c r="AG89" i="4"/>
  <c r="AK89" i="4" s="1"/>
  <c r="C106" i="4"/>
  <c r="D106" i="4"/>
  <c r="E106" i="4"/>
  <c r="H106" i="4"/>
  <c r="J106" i="4" s="1"/>
  <c r="L106" i="4"/>
  <c r="M106" i="4"/>
  <c r="N106" i="4"/>
  <c r="O106" i="4"/>
  <c r="P106" i="4"/>
  <c r="Q106" i="4"/>
  <c r="R106" i="4"/>
  <c r="S106" i="4"/>
  <c r="T106" i="4"/>
  <c r="U106" i="4"/>
  <c r="V106" i="4"/>
  <c r="W106" i="4"/>
  <c r="AA106" i="4" s="1"/>
  <c r="X106" i="4"/>
  <c r="AB106" i="4" s="1"/>
  <c r="AC106" i="4"/>
  <c r="AD106" i="4"/>
  <c r="AE106" i="4"/>
  <c r="AF106" i="4"/>
  <c r="AJ106" i="4" s="1"/>
  <c r="AG106" i="4"/>
  <c r="AK106" i="4" s="1"/>
  <c r="C114" i="4"/>
  <c r="D114" i="4"/>
  <c r="E114" i="4"/>
  <c r="H114" i="4"/>
  <c r="J114" i="4" s="1"/>
  <c r="L114" i="4"/>
  <c r="M114" i="4"/>
  <c r="N114" i="4"/>
  <c r="O114" i="4"/>
  <c r="P114" i="4"/>
  <c r="Q114" i="4"/>
  <c r="R114" i="4"/>
  <c r="S114" i="4"/>
  <c r="T114" i="4"/>
  <c r="U114" i="4"/>
  <c r="V114" i="4"/>
  <c r="W114" i="4"/>
  <c r="AA114" i="4" s="1"/>
  <c r="X114" i="4"/>
  <c r="AB114" i="4" s="1"/>
  <c r="AC114" i="4"/>
  <c r="AD114" i="4"/>
  <c r="AE114" i="4"/>
  <c r="AF114" i="4"/>
  <c r="AJ114" i="4" s="1"/>
  <c r="AG114" i="4"/>
  <c r="AK114" i="4" s="1"/>
  <c r="AL115" i="4"/>
  <c r="AM115" i="4"/>
  <c r="C116" i="4"/>
  <c r="D116" i="4"/>
  <c r="E116" i="4"/>
  <c r="H116" i="4"/>
  <c r="J116" i="4" s="1"/>
  <c r="L116" i="4"/>
  <c r="M116" i="4"/>
  <c r="N116" i="4"/>
  <c r="O116" i="4"/>
  <c r="P116" i="4"/>
  <c r="P113" i="4" s="1"/>
  <c r="Q116" i="4"/>
  <c r="R116" i="4"/>
  <c r="S116" i="4"/>
  <c r="T116" i="4"/>
  <c r="U116" i="4"/>
  <c r="V116" i="4"/>
  <c r="W116" i="4"/>
  <c r="AA116" i="4" s="1"/>
  <c r="X116" i="4"/>
  <c r="AC116" i="4"/>
  <c r="AD116" i="4"/>
  <c r="AE116" i="4"/>
  <c r="AF116" i="4"/>
  <c r="AJ116" i="4" s="1"/>
  <c r="AG116" i="4"/>
  <c r="AK116" i="4" s="1"/>
  <c r="AL117" i="4"/>
  <c r="AM117" i="4"/>
  <c r="C119" i="4"/>
  <c r="D119" i="4"/>
  <c r="E119" i="4"/>
  <c r="H119" i="4"/>
  <c r="J119" i="4" s="1"/>
  <c r="L119" i="4"/>
  <c r="M119" i="4"/>
  <c r="AC119" i="4"/>
  <c r="C124" i="4"/>
  <c r="D124" i="4"/>
  <c r="E124" i="4"/>
  <c r="H124" i="4"/>
  <c r="J124" i="4" s="1"/>
  <c r="L124" i="4"/>
  <c r="M124" i="4"/>
  <c r="N124" i="4"/>
  <c r="O124" i="4"/>
  <c r="P124" i="4"/>
  <c r="Q124" i="4"/>
  <c r="R124" i="4"/>
  <c r="S124" i="4"/>
  <c r="V124" i="4"/>
  <c r="X124" i="4"/>
  <c r="AB124" i="4" s="1"/>
  <c r="AG124" i="4"/>
  <c r="AK124" i="4" s="1"/>
  <c r="T119" i="4" l="1"/>
  <c r="T118" i="4" s="1"/>
  <c r="Q119" i="4"/>
  <c r="Q118" i="4" s="1"/>
  <c r="P119" i="4"/>
  <c r="P118" i="4" s="1"/>
  <c r="U119" i="4"/>
  <c r="U118" i="4" s="1"/>
  <c r="O119" i="4"/>
  <c r="O118" i="4" s="1"/>
  <c r="R119" i="4"/>
  <c r="R118" i="4" s="1"/>
  <c r="S119" i="4"/>
  <c r="S118" i="4" s="1"/>
  <c r="X113" i="4"/>
  <c r="AB113" i="4" s="1"/>
  <c r="AB116" i="4"/>
  <c r="AM120" i="4"/>
  <c r="AK120" i="4"/>
  <c r="V113" i="4"/>
  <c r="R113" i="4"/>
  <c r="N113" i="4"/>
  <c r="AE113" i="4"/>
  <c r="E113" i="4"/>
  <c r="AL116" i="4"/>
  <c r="AL121" i="4"/>
  <c r="T113" i="4"/>
  <c r="L113" i="4"/>
  <c r="AL55" i="4"/>
  <c r="AM48" i="4"/>
  <c r="AF113" i="4"/>
  <c r="AJ113" i="4" s="1"/>
  <c r="W113" i="4"/>
  <c r="AA113" i="4" s="1"/>
  <c r="S113" i="4"/>
  <c r="O113" i="4"/>
  <c r="C113" i="4"/>
  <c r="AM78" i="4"/>
  <c r="AL127" i="4"/>
  <c r="AG113" i="4"/>
  <c r="AK113" i="4" s="1"/>
  <c r="AC113" i="4"/>
  <c r="D113" i="4"/>
  <c r="H113" i="4"/>
  <c r="J113" i="4" s="1"/>
  <c r="AM122" i="4"/>
  <c r="AF125" i="4"/>
  <c r="AJ125" i="4" s="1"/>
  <c r="AM71" i="4"/>
  <c r="AM54" i="4"/>
  <c r="AD113" i="4"/>
  <c r="U113" i="4"/>
  <c r="Q113" i="4"/>
  <c r="M113" i="4"/>
  <c r="T88" i="4"/>
  <c r="P88" i="4"/>
  <c r="L88" i="4"/>
  <c r="AM52" i="4"/>
  <c r="AG119" i="4"/>
  <c r="AK119" i="4" s="1"/>
  <c r="AM121" i="4"/>
  <c r="AM106" i="4"/>
  <c r="AL78" i="4"/>
  <c r="AE88" i="4"/>
  <c r="U88" i="4"/>
  <c r="Q88" i="4"/>
  <c r="M88" i="4"/>
  <c r="H88" i="4"/>
  <c r="J88" i="4" s="1"/>
  <c r="X88" i="4"/>
  <c r="AB88" i="4" s="1"/>
  <c r="AL106" i="4"/>
  <c r="AD88" i="4"/>
  <c r="E88" i="4"/>
  <c r="AC88" i="4"/>
  <c r="W88" i="4"/>
  <c r="AA88" i="4" s="1"/>
  <c r="S88" i="4"/>
  <c r="O88" i="4"/>
  <c r="D88" i="4"/>
  <c r="AF88" i="4"/>
  <c r="AJ88" i="4" s="1"/>
  <c r="V88" i="4"/>
  <c r="R88" i="4"/>
  <c r="N88" i="4"/>
  <c r="C88" i="4"/>
  <c r="AG88" i="4"/>
  <c r="AK88" i="4" s="1"/>
  <c r="AL89" i="4"/>
  <c r="AL71" i="4"/>
  <c r="H118" i="4"/>
  <c r="J118" i="4" s="1"/>
  <c r="E118" i="4"/>
  <c r="M118" i="4"/>
  <c r="D118" i="4"/>
  <c r="AC118" i="4"/>
  <c r="L118" i="4"/>
  <c r="C118" i="4"/>
  <c r="AL120" i="4"/>
  <c r="AL123" i="4"/>
  <c r="AL122" i="4"/>
  <c r="X119" i="4"/>
  <c r="AF119" i="4"/>
  <c r="AJ119" i="4" s="1"/>
  <c r="W119" i="4"/>
  <c r="AA119" i="4" s="1"/>
  <c r="AE119" i="4"/>
  <c r="AE118" i="4" s="1"/>
  <c r="V119" i="4"/>
  <c r="V118" i="4" s="1"/>
  <c r="N119" i="4"/>
  <c r="N118" i="4" s="1"/>
  <c r="AD119" i="4"/>
  <c r="AD118" i="4" s="1"/>
  <c r="AL53" i="4"/>
  <c r="AL52" i="4"/>
  <c r="AL50" i="4"/>
  <c r="AL51" i="4"/>
  <c r="AL49" i="4"/>
  <c r="AL54" i="4"/>
  <c r="AM53" i="4"/>
  <c r="AL48" i="4"/>
  <c r="AM74" i="4"/>
  <c r="AM114" i="4"/>
  <c r="AL74" i="4"/>
  <c r="AM116" i="4"/>
  <c r="AL114" i="4"/>
  <c r="AM89" i="4"/>
  <c r="AM55" i="4"/>
  <c r="AF124" i="4" l="1"/>
  <c r="AJ124" i="4" s="1"/>
  <c r="AG118" i="4"/>
  <c r="AK118" i="4" s="1"/>
  <c r="X118" i="4"/>
  <c r="AB118" i="4" s="1"/>
  <c r="AB119" i="4"/>
  <c r="AL119" i="4"/>
  <c r="AM113" i="4"/>
  <c r="AL125" i="4"/>
  <c r="W124" i="4"/>
  <c r="AA124" i="4" s="1"/>
  <c r="AL113" i="4"/>
  <c r="AL88" i="4"/>
  <c r="AM88" i="4"/>
  <c r="AM124" i="4"/>
  <c r="AM119" i="4"/>
  <c r="AF118" i="4" l="1"/>
  <c r="AJ118" i="4" s="1"/>
  <c r="W118" i="4"/>
  <c r="AL124" i="4"/>
  <c r="AM118" i="4"/>
  <c r="AL118" i="4" l="1"/>
  <c r="AA118" i="4"/>
  <c r="AM173" i="4"/>
  <c r="AL173" i="4"/>
  <c r="AM172" i="4"/>
  <c r="AE172" i="4"/>
  <c r="AF172" i="4" s="1"/>
  <c r="AM171" i="4"/>
  <c r="AD171" i="4"/>
  <c r="AE171" i="4" s="1"/>
  <c r="AF171" i="4" s="1"/>
  <c r="AJ171" i="4" s="1"/>
  <c r="AM170" i="4"/>
  <c r="AL170" i="4"/>
  <c r="AM169" i="4"/>
  <c r="AF169" i="4"/>
  <c r="AL169" i="4" l="1"/>
  <c r="AJ169" i="4"/>
  <c r="AL172" i="4"/>
  <c r="AJ172" i="4"/>
  <c r="AC169" i="4"/>
  <c r="AL171" i="4"/>
  <c r="H190" i="4" l="1"/>
  <c r="J190" i="4" s="1"/>
  <c r="H183" i="4"/>
  <c r="J183" i="4" s="1"/>
  <c r="H181" i="4"/>
  <c r="J181" i="4" s="1"/>
  <c r="H175" i="4"/>
  <c r="J175" i="4" s="1"/>
  <c r="H168" i="4"/>
  <c r="J168" i="4" s="1"/>
  <c r="H155" i="4"/>
  <c r="J155" i="4" s="1"/>
  <c r="H145" i="4"/>
  <c r="J145" i="4" s="1"/>
  <c r="H138" i="4"/>
  <c r="J138" i="4" s="1"/>
  <c r="H134" i="4"/>
  <c r="J134" i="4" s="1"/>
  <c r="H31" i="4"/>
  <c r="J31" i="4" s="1"/>
  <c r="H22" i="4"/>
  <c r="J22" i="4" s="1"/>
  <c r="H87" i="4" l="1"/>
  <c r="J87" i="4" s="1"/>
  <c r="H174" i="4"/>
  <c r="H16" i="4"/>
  <c r="J16" i="4" s="1"/>
  <c r="H21" i="4"/>
  <c r="D155" i="4"/>
  <c r="H15" i="4" l="1"/>
  <c r="J15" i="4" s="1"/>
  <c r="J21" i="4"/>
  <c r="H13" i="4"/>
  <c r="J13" i="4" s="1"/>
  <c r="J174" i="4"/>
  <c r="H11" i="4"/>
  <c r="J11" i="4" s="1"/>
  <c r="H17" i="4"/>
  <c r="J17" i="4" s="1"/>
  <c r="H12" i="4"/>
  <c r="J12" i="4" s="1"/>
  <c r="H19" i="4" l="1"/>
  <c r="J19" i="4" s="1"/>
  <c r="C155" i="4" l="1"/>
  <c r="X190" i="4" l="1"/>
  <c r="AB190" i="4" s="1"/>
  <c r="X183" i="4"/>
  <c r="AB183" i="4" s="1"/>
  <c r="X181" i="4"/>
  <c r="AB181" i="4" s="1"/>
  <c r="X175" i="4"/>
  <c r="AB175" i="4" s="1"/>
  <c r="X168" i="4"/>
  <c r="AB168" i="4" s="1"/>
  <c r="X155" i="4"/>
  <c r="AB155" i="4" s="1"/>
  <c r="X145" i="4"/>
  <c r="AB145" i="4" s="1"/>
  <c r="X138" i="4"/>
  <c r="AB138" i="4" s="1"/>
  <c r="X134" i="4"/>
  <c r="AB134" i="4" s="1"/>
  <c r="X31" i="4"/>
  <c r="AB31" i="4" s="1"/>
  <c r="X22" i="4"/>
  <c r="AB22" i="4" s="1"/>
  <c r="X87" i="4" l="1"/>
  <c r="AB87" i="4" s="1"/>
  <c r="X174" i="4"/>
  <c r="X21" i="4"/>
  <c r="X16" i="4"/>
  <c r="AB16" i="4" s="1"/>
  <c r="AG190" i="4"/>
  <c r="AF190" i="4"/>
  <c r="AJ190" i="4" s="1"/>
  <c r="AE190" i="4"/>
  <c r="AD190" i="4"/>
  <c r="AC190" i="4"/>
  <c r="W190" i="4"/>
  <c r="AA190" i="4" s="1"/>
  <c r="V190" i="4"/>
  <c r="U190" i="4"/>
  <c r="T190" i="4"/>
  <c r="S190" i="4"/>
  <c r="R190" i="4"/>
  <c r="Q190" i="4"/>
  <c r="P190" i="4"/>
  <c r="O190" i="4"/>
  <c r="N190" i="4"/>
  <c r="M190" i="4"/>
  <c r="L190" i="4"/>
  <c r="E190" i="4"/>
  <c r="D190" i="4"/>
  <c r="C190" i="4"/>
  <c r="AG183" i="4"/>
  <c r="AF183" i="4"/>
  <c r="AJ183" i="4" s="1"/>
  <c r="AE183" i="4"/>
  <c r="AD183" i="4"/>
  <c r="AC183" i="4"/>
  <c r="W183" i="4"/>
  <c r="AA183" i="4" s="1"/>
  <c r="V183" i="4"/>
  <c r="U183" i="4"/>
  <c r="T183" i="4"/>
  <c r="S183" i="4"/>
  <c r="R183" i="4"/>
  <c r="Q183" i="4"/>
  <c r="P183" i="4"/>
  <c r="O183" i="4"/>
  <c r="N183" i="4"/>
  <c r="M183" i="4"/>
  <c r="L183" i="4"/>
  <c r="E183" i="4"/>
  <c r="D183" i="4"/>
  <c r="C183" i="4"/>
  <c r="AM182" i="4"/>
  <c r="AL182" i="4"/>
  <c r="AG181" i="4"/>
  <c r="AF181" i="4"/>
  <c r="AJ181" i="4" s="1"/>
  <c r="AE181" i="4"/>
  <c r="AD181" i="4"/>
  <c r="AC181" i="4"/>
  <c r="W181" i="4"/>
  <c r="AA181" i="4" s="1"/>
  <c r="V181" i="4"/>
  <c r="U181" i="4"/>
  <c r="T181" i="4"/>
  <c r="S181" i="4"/>
  <c r="R181" i="4"/>
  <c r="Q181" i="4"/>
  <c r="P181" i="4"/>
  <c r="O181" i="4"/>
  <c r="N181" i="4"/>
  <c r="M181" i="4"/>
  <c r="L181" i="4"/>
  <c r="E181" i="4"/>
  <c r="D181" i="4"/>
  <c r="C181" i="4"/>
  <c r="AM180" i="4"/>
  <c r="AL180" i="4"/>
  <c r="AM179" i="4"/>
  <c r="AL179" i="4"/>
  <c r="AG175" i="4"/>
  <c r="AF175" i="4"/>
  <c r="AJ175" i="4" s="1"/>
  <c r="AE175" i="4"/>
  <c r="AD175" i="4"/>
  <c r="AC175" i="4"/>
  <c r="W175" i="4"/>
  <c r="AA175" i="4" s="1"/>
  <c r="V175" i="4"/>
  <c r="U175" i="4"/>
  <c r="T175" i="4"/>
  <c r="S175" i="4"/>
  <c r="R175" i="4"/>
  <c r="Q175" i="4"/>
  <c r="P175" i="4"/>
  <c r="O175" i="4"/>
  <c r="N175" i="4"/>
  <c r="M175" i="4"/>
  <c r="L175" i="4"/>
  <c r="E175" i="4"/>
  <c r="D175" i="4"/>
  <c r="C175" i="4"/>
  <c r="AG168" i="4"/>
  <c r="AF168" i="4"/>
  <c r="AJ168" i="4" s="1"/>
  <c r="AE168" i="4"/>
  <c r="AD168" i="4"/>
  <c r="AC168" i="4"/>
  <c r="W168" i="4"/>
  <c r="AA168" i="4" s="1"/>
  <c r="V168" i="4"/>
  <c r="U168" i="4"/>
  <c r="T168" i="4"/>
  <c r="S168" i="4"/>
  <c r="R168" i="4"/>
  <c r="Q168" i="4"/>
  <c r="P168" i="4"/>
  <c r="O168" i="4"/>
  <c r="N168" i="4"/>
  <c r="M168" i="4"/>
  <c r="L168" i="4"/>
  <c r="E168" i="4"/>
  <c r="D168" i="4"/>
  <c r="C168" i="4"/>
  <c r="AG155" i="4"/>
  <c r="AF155" i="4"/>
  <c r="AJ155" i="4" s="1"/>
  <c r="AE155" i="4"/>
  <c r="AD155" i="4"/>
  <c r="AC155" i="4"/>
  <c r="W155" i="4"/>
  <c r="AA155" i="4" s="1"/>
  <c r="V155" i="4"/>
  <c r="U155" i="4"/>
  <c r="T155" i="4"/>
  <c r="S155" i="4"/>
  <c r="R155" i="4"/>
  <c r="Q155" i="4"/>
  <c r="P155" i="4"/>
  <c r="O155" i="4"/>
  <c r="N155" i="4"/>
  <c r="M155" i="4"/>
  <c r="L155" i="4"/>
  <c r="E155" i="4"/>
  <c r="AG145" i="4"/>
  <c r="AF145" i="4"/>
  <c r="AJ145" i="4" s="1"/>
  <c r="AE145" i="4"/>
  <c r="AD145" i="4"/>
  <c r="AC145" i="4"/>
  <c r="W145" i="4"/>
  <c r="AA145" i="4" s="1"/>
  <c r="V145" i="4"/>
  <c r="U145" i="4"/>
  <c r="T145" i="4"/>
  <c r="S145" i="4"/>
  <c r="R145" i="4"/>
  <c r="Q145" i="4"/>
  <c r="P145" i="4"/>
  <c r="O145" i="4"/>
  <c r="N145" i="4"/>
  <c r="M145" i="4"/>
  <c r="L145" i="4"/>
  <c r="E145" i="4"/>
  <c r="D145" i="4"/>
  <c r="C145" i="4"/>
  <c r="AM144" i="4"/>
  <c r="AL144" i="4"/>
  <c r="AG138" i="4"/>
  <c r="AF138" i="4"/>
  <c r="AJ138" i="4" s="1"/>
  <c r="AE138" i="4"/>
  <c r="AD138" i="4"/>
  <c r="AC138" i="4"/>
  <c r="W138" i="4"/>
  <c r="AA138" i="4" s="1"/>
  <c r="V138" i="4"/>
  <c r="U138" i="4"/>
  <c r="T138" i="4"/>
  <c r="S138" i="4"/>
  <c r="R138" i="4"/>
  <c r="Q138" i="4"/>
  <c r="P138" i="4"/>
  <c r="O138" i="4"/>
  <c r="N138" i="4"/>
  <c r="M138" i="4"/>
  <c r="L138" i="4"/>
  <c r="E138" i="4"/>
  <c r="D138" i="4"/>
  <c r="C138" i="4"/>
  <c r="AG134" i="4"/>
  <c r="AK134" i="4" s="1"/>
  <c r="AF134" i="4"/>
  <c r="AJ134" i="4" s="1"/>
  <c r="AE134" i="4"/>
  <c r="AD134" i="4"/>
  <c r="AC134" i="4"/>
  <c r="W134" i="4"/>
  <c r="AA134" i="4" s="1"/>
  <c r="V134" i="4"/>
  <c r="U134" i="4"/>
  <c r="T134" i="4"/>
  <c r="S134" i="4"/>
  <c r="R134" i="4"/>
  <c r="Q134" i="4"/>
  <c r="P134" i="4"/>
  <c r="O134" i="4"/>
  <c r="N134" i="4"/>
  <c r="M134" i="4"/>
  <c r="L134" i="4"/>
  <c r="E134" i="4"/>
  <c r="D134" i="4"/>
  <c r="C134" i="4"/>
  <c r="AG31" i="4"/>
  <c r="AF31" i="4"/>
  <c r="AJ31" i="4" s="1"/>
  <c r="AE31" i="4"/>
  <c r="AD31" i="4"/>
  <c r="AC31" i="4"/>
  <c r="W31" i="4"/>
  <c r="AA31" i="4" s="1"/>
  <c r="V31" i="4"/>
  <c r="U31" i="4"/>
  <c r="T31" i="4"/>
  <c r="S31" i="4"/>
  <c r="R31" i="4"/>
  <c r="Q31" i="4"/>
  <c r="P31" i="4"/>
  <c r="O31" i="4"/>
  <c r="N31" i="4"/>
  <c r="M31" i="4"/>
  <c r="L31" i="4"/>
  <c r="E31" i="4"/>
  <c r="D31" i="4"/>
  <c r="C31" i="4"/>
  <c r="AM30" i="4"/>
  <c r="AL30" i="4"/>
  <c r="AG22" i="4"/>
  <c r="AF22" i="4"/>
  <c r="AJ22" i="4" s="1"/>
  <c r="AE22" i="4"/>
  <c r="AD22" i="4"/>
  <c r="AC22" i="4"/>
  <c r="W22" i="4"/>
  <c r="AA22" i="4" s="1"/>
  <c r="V22" i="4"/>
  <c r="U22" i="4"/>
  <c r="T22" i="4"/>
  <c r="S22" i="4"/>
  <c r="R22" i="4"/>
  <c r="Q22" i="4"/>
  <c r="P22" i="4"/>
  <c r="O22" i="4"/>
  <c r="N22" i="4"/>
  <c r="M22" i="4"/>
  <c r="L22" i="4"/>
  <c r="E22" i="4"/>
  <c r="D22" i="4"/>
  <c r="C22" i="4"/>
  <c r="AM20" i="4"/>
  <c r="AL20" i="4"/>
  <c r="AM18" i="4"/>
  <c r="AL18" i="4"/>
  <c r="AM14" i="4"/>
  <c r="AL14" i="4"/>
  <c r="X15" i="4" l="1"/>
  <c r="AB15" i="4" s="1"/>
  <c r="AB21" i="4"/>
  <c r="X13" i="4"/>
  <c r="AB13" i="4" s="1"/>
  <c r="AB174" i="4"/>
  <c r="AM22" i="4"/>
  <c r="AK22" i="4"/>
  <c r="AM31" i="4"/>
  <c r="AK31" i="4"/>
  <c r="AM138" i="4"/>
  <c r="AK138" i="4"/>
  <c r="AM145" i="4"/>
  <c r="AK145" i="4"/>
  <c r="AM155" i="4"/>
  <c r="AK155" i="4"/>
  <c r="AM168" i="4"/>
  <c r="AK168" i="4"/>
  <c r="AM175" i="4"/>
  <c r="AK175" i="4"/>
  <c r="AM181" i="4"/>
  <c r="AK181" i="4"/>
  <c r="AM183" i="4"/>
  <c r="AK183" i="4"/>
  <c r="AM190" i="4"/>
  <c r="AK190" i="4"/>
  <c r="E87" i="4"/>
  <c r="M87" i="4"/>
  <c r="Q87" i="4"/>
  <c r="U87" i="4"/>
  <c r="AF87" i="4"/>
  <c r="AJ87" i="4" s="1"/>
  <c r="D87" i="4"/>
  <c r="L87" i="4"/>
  <c r="P87" i="4"/>
  <c r="T87" i="4"/>
  <c r="AE87" i="4"/>
  <c r="N87" i="4"/>
  <c r="R87" i="4"/>
  <c r="V87" i="4"/>
  <c r="AC87" i="4"/>
  <c r="C87" i="4"/>
  <c r="O87" i="4"/>
  <c r="S87" i="4"/>
  <c r="W87" i="4"/>
  <c r="AA87" i="4" s="1"/>
  <c r="AD87" i="4"/>
  <c r="AM134" i="4"/>
  <c r="AG87" i="4"/>
  <c r="W16" i="4"/>
  <c r="AA16" i="4" s="1"/>
  <c r="AD174" i="4"/>
  <c r="AD13" i="4" s="1"/>
  <c r="AL22" i="4"/>
  <c r="AL31" i="4"/>
  <c r="N174" i="4"/>
  <c r="N13" i="4" s="1"/>
  <c r="AC21" i="4"/>
  <c r="AC11" i="4" s="1"/>
  <c r="V174" i="4"/>
  <c r="V13" i="4" s="1"/>
  <c r="X17" i="4"/>
  <c r="AB17" i="4" s="1"/>
  <c r="AE16" i="4"/>
  <c r="AL181" i="4"/>
  <c r="X11" i="4"/>
  <c r="AB11" i="4" s="1"/>
  <c r="X12" i="4"/>
  <c r="AB12" i="4" s="1"/>
  <c r="U21" i="4"/>
  <c r="U15" i="4" s="1"/>
  <c r="AL168" i="4"/>
  <c r="AL134" i="4"/>
  <c r="AL138" i="4"/>
  <c r="AL145" i="4"/>
  <c r="AF16" i="4"/>
  <c r="AJ16" i="4" s="1"/>
  <c r="AG21" i="4"/>
  <c r="AD21" i="4"/>
  <c r="AD11" i="4" s="1"/>
  <c r="Q21" i="4"/>
  <c r="Q15" i="4" s="1"/>
  <c r="AF21" i="4"/>
  <c r="O16" i="4"/>
  <c r="S16" i="4"/>
  <c r="Q16" i="4"/>
  <c r="AE174" i="4"/>
  <c r="AE13" i="4" s="1"/>
  <c r="R174" i="4"/>
  <c r="R13" i="4" s="1"/>
  <c r="AF174" i="4"/>
  <c r="O174" i="4"/>
  <c r="O13" i="4" s="1"/>
  <c r="S174" i="4"/>
  <c r="S13" i="4" s="1"/>
  <c r="O21" i="4"/>
  <c r="O11" i="4" s="1"/>
  <c r="AC174" i="4"/>
  <c r="AC13" i="4" s="1"/>
  <c r="AG16" i="4"/>
  <c r="S21" i="4"/>
  <c r="S11" i="4" s="1"/>
  <c r="AE21" i="4"/>
  <c r="AE15" i="4" s="1"/>
  <c r="E16" i="4"/>
  <c r="AC16" i="4"/>
  <c r="L21" i="4"/>
  <c r="L11" i="4" s="1"/>
  <c r="P21" i="4"/>
  <c r="P15" i="4" s="1"/>
  <c r="T21" i="4"/>
  <c r="T11" i="4" s="1"/>
  <c r="N21" i="4"/>
  <c r="N15" i="4" s="1"/>
  <c r="R21" i="4"/>
  <c r="R15" i="4" s="1"/>
  <c r="V21" i="4"/>
  <c r="V15" i="4" s="1"/>
  <c r="AD16" i="4"/>
  <c r="AG174" i="4"/>
  <c r="AL190" i="4"/>
  <c r="W174" i="4"/>
  <c r="E21" i="4"/>
  <c r="E15" i="4" s="1"/>
  <c r="M21" i="4"/>
  <c r="M15" i="4" s="1"/>
  <c r="AL175" i="4"/>
  <c r="D174" i="4"/>
  <c r="D13" i="4" s="1"/>
  <c r="L174" i="4"/>
  <c r="L13" i="4" s="1"/>
  <c r="P174" i="4"/>
  <c r="P17" i="4" s="1"/>
  <c r="T174" i="4"/>
  <c r="T17" i="4" s="1"/>
  <c r="W21" i="4"/>
  <c r="AA21" i="4" s="1"/>
  <c r="M16" i="4"/>
  <c r="U16" i="4"/>
  <c r="E174" i="4"/>
  <c r="E13" i="4" s="1"/>
  <c r="M174" i="4"/>
  <c r="M13" i="4" s="1"/>
  <c r="Q174" i="4"/>
  <c r="Q13" i="4" s="1"/>
  <c r="U174" i="4"/>
  <c r="U13" i="4" s="1"/>
  <c r="D21" i="4"/>
  <c r="D15" i="4" s="1"/>
  <c r="C174" i="4"/>
  <c r="C13" i="4" s="1"/>
  <c r="C16" i="4"/>
  <c r="C21" i="4"/>
  <c r="C11" i="4" s="1"/>
  <c r="N16" i="4"/>
  <c r="R16" i="4"/>
  <c r="V16" i="4"/>
  <c r="AL155" i="4"/>
  <c r="AL183" i="4"/>
  <c r="D16" i="4"/>
  <c r="L16" i="4"/>
  <c r="P16" i="4"/>
  <c r="T16" i="4"/>
  <c r="W13" i="4" l="1"/>
  <c r="AA13" i="4" s="1"/>
  <c r="AA174" i="4"/>
  <c r="AG17" i="4"/>
  <c r="AK17" i="4" s="1"/>
  <c r="AK174" i="4"/>
  <c r="AM16" i="4"/>
  <c r="AK16" i="4"/>
  <c r="AG11" i="4"/>
  <c r="AK11" i="4" s="1"/>
  <c r="AK21" i="4"/>
  <c r="AF13" i="4"/>
  <c r="AJ13" i="4" s="1"/>
  <c r="AJ174" i="4"/>
  <c r="AF15" i="4"/>
  <c r="AJ15" i="4" s="1"/>
  <c r="AJ21" i="4"/>
  <c r="AM87" i="4"/>
  <c r="AK87" i="4"/>
  <c r="V17" i="4"/>
  <c r="AL87" i="4"/>
  <c r="AF11" i="4"/>
  <c r="AJ11" i="4" s="1"/>
  <c r="AD15" i="4"/>
  <c r="AL16" i="4"/>
  <c r="M11" i="4"/>
  <c r="E11" i="4"/>
  <c r="P11" i="4"/>
  <c r="U11" i="4"/>
  <c r="N12" i="4"/>
  <c r="N17" i="4"/>
  <c r="AC12" i="4"/>
  <c r="AC19" i="4" s="1"/>
  <c r="R11" i="4"/>
  <c r="AM21" i="4"/>
  <c r="W12" i="4"/>
  <c r="AA12" i="4" s="1"/>
  <c r="AF12" i="4"/>
  <c r="AJ12" i="4" s="1"/>
  <c r="O17" i="4"/>
  <c r="AC15" i="4"/>
  <c r="Q12" i="4"/>
  <c r="C17" i="4"/>
  <c r="V11" i="4"/>
  <c r="T15" i="4"/>
  <c r="L17" i="4"/>
  <c r="S12" i="4"/>
  <c r="S19" i="4" s="1"/>
  <c r="O12" i="4"/>
  <c r="O19" i="4" s="1"/>
  <c r="AF17" i="4"/>
  <c r="AJ17" i="4" s="1"/>
  <c r="V12" i="4"/>
  <c r="AL174" i="4"/>
  <c r="U12" i="4"/>
  <c r="Q17" i="4"/>
  <c r="AD17" i="4"/>
  <c r="W17" i="4"/>
  <c r="N11" i="4"/>
  <c r="P13" i="4"/>
  <c r="Q11" i="4"/>
  <c r="X19" i="4"/>
  <c r="AB19" i="4" s="1"/>
  <c r="P12" i="4"/>
  <c r="T13" i="4"/>
  <c r="AC17" i="4"/>
  <c r="AE12" i="4"/>
  <c r="M12" i="4"/>
  <c r="E12" i="4"/>
  <c r="AD12" i="4"/>
  <c r="AD19" i="4" s="1"/>
  <c r="R17" i="4"/>
  <c r="S15" i="4"/>
  <c r="AE17" i="4"/>
  <c r="O15" i="4"/>
  <c r="S17" i="4"/>
  <c r="AG15" i="4"/>
  <c r="L15" i="4"/>
  <c r="T12" i="4"/>
  <c r="AG12" i="4"/>
  <c r="AK12" i="4" s="1"/>
  <c r="L12" i="4"/>
  <c r="L19" i="4" s="1"/>
  <c r="AE11" i="4"/>
  <c r="AM174" i="4"/>
  <c r="AG13" i="4"/>
  <c r="U17" i="4"/>
  <c r="D17" i="4"/>
  <c r="R12" i="4"/>
  <c r="M17" i="4"/>
  <c r="E17" i="4"/>
  <c r="AL21" i="4"/>
  <c r="W15" i="4"/>
  <c r="W11" i="4"/>
  <c r="D12" i="4"/>
  <c r="C12" i="4"/>
  <c r="C19" i="4" s="1"/>
  <c r="D11" i="4"/>
  <c r="C15" i="4"/>
  <c r="AA11" i="4" l="1"/>
  <c r="W19" i="4"/>
  <c r="AA19" i="4" s="1"/>
  <c r="E19" i="4"/>
  <c r="AM17" i="4"/>
  <c r="AM11" i="4"/>
  <c r="AL15" i="4"/>
  <c r="AA15" i="4"/>
  <c r="AL17" i="4"/>
  <c r="AA17" i="4"/>
  <c r="AM15" i="4"/>
  <c r="AK15" i="4"/>
  <c r="AM13" i="4"/>
  <c r="AK13" i="4"/>
  <c r="AL13" i="4"/>
  <c r="T19" i="4"/>
  <c r="AL11" i="4"/>
  <c r="AF19" i="4"/>
  <c r="AJ19" i="4" s="1"/>
  <c r="M19" i="4"/>
  <c r="U19" i="4"/>
  <c r="V19" i="4"/>
  <c r="R19" i="4"/>
  <c r="N19" i="4"/>
  <c r="Q19" i="4"/>
  <c r="P19" i="4"/>
  <c r="AE19" i="4"/>
  <c r="D19" i="4"/>
  <c r="AL12" i="4"/>
  <c r="AM12" i="4"/>
  <c r="AG19" i="4"/>
  <c r="AM19" i="4" l="1"/>
  <c r="AK19" i="4"/>
  <c r="AL19" i="4"/>
</calcChain>
</file>

<file path=xl/sharedStrings.xml><?xml version="1.0" encoding="utf-8"?>
<sst xmlns="http://schemas.openxmlformats.org/spreadsheetml/2006/main" count="411" uniqueCount="386">
  <si>
    <t xml:space="preserve"> Atbildīgo iestāžu plānotie maksājumi finansējuma saņēmējiem ES fondu ietvaros (LVL)</t>
  </si>
  <si>
    <t>Aktivitātes; Apakš-aktivitātes Nr.</t>
  </si>
  <si>
    <t>Ministrija; Aktivitāte; Apakšaktivitāte</t>
  </si>
  <si>
    <t>ES fonda finansējums atbilstoši EK apstiprinātajai DP, LVL</t>
  </si>
  <si>
    <t>ES fonda finansējums atbilstoši konceptuāli apst. MK p/l, LVL</t>
  </si>
  <si>
    <t xml:space="preserve">Veikti maksājumi līdz 31.12.2012., (ieskaitot virssaistības)  (ES fondu daļa), LVL </t>
  </si>
  <si>
    <t>MK apstiprinātās prognozes 2013.gadam</t>
  </si>
  <si>
    <t>Aktuālā prognoze 2013.gadam</t>
  </si>
  <si>
    <t>Starpība starp MK apstiprināto plānu 2013.gadam un aktuālajām prognozēm</t>
  </si>
  <si>
    <t>2014.gadam</t>
  </si>
  <si>
    <t>MK apstiprinātās prognozes 2014.gadam</t>
  </si>
  <si>
    <t>Starpība starp MK apstiprināto plānu 2014.gadam un aktuālajām prognozēm</t>
  </si>
  <si>
    <t>2015.gads</t>
  </si>
  <si>
    <t>MK apstiprinātās prognozes 2015.gadam</t>
  </si>
  <si>
    <t>Prognoze 2013. - 2015.gadam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</si>
  <si>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</si>
  <si>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</si>
  <si>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</si>
  <si>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</si>
  <si>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</si>
  <si>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</si>
  <si>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</si>
  <si>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</si>
  <si>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</si>
  <si>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</si>
  <si>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</si>
  <si>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 xml:space="preserve">Prognoze lauztajiem līgumiem un neatbilstībām 2014.gada ietvaros </t>
  </si>
  <si>
    <t>I ceturksnis</t>
  </si>
  <si>
    <t>II ceturksnis</t>
  </si>
  <si>
    <t>III ceturksnis</t>
  </si>
  <si>
    <t xml:space="preserve">Prognoze lauztajiem līgumiem un neatbilstībām 2015.gada ietvaros </t>
  </si>
  <si>
    <t xml:space="preserve">AI mērķis maksājumiem fin. saņēmējiem (ES fondu daļa), LVL </t>
  </si>
  <si>
    <t>Prognoze lauztajiem līgumiem un neatbilstībām</t>
  </si>
  <si>
    <t xml:space="preserve">AI  mērķis maksājumiem FS (ES fondu daļa), LVL </t>
  </si>
  <si>
    <t xml:space="preserve"> Maksājumiem fin. saņēmējiem 2013.gadam (ES fondu daļa), LVL</t>
  </si>
  <si>
    <t>Lauztajiem līgumiem un neatbilstībām 2013.gada ietvaros</t>
  </si>
  <si>
    <t xml:space="preserve">AI mērķis maksājumiem FS (ES fondu daļa), LVL </t>
  </si>
  <si>
    <t xml:space="preserve"> Maksājumiem fin. saņēmējiem 2014.gadam (ES fondu daļa), LVL</t>
  </si>
  <si>
    <t>Lauztajiem līgumiem un neatbilstībām 2014.gada ietvaros</t>
  </si>
  <si>
    <t xml:space="preserve"> Maksājumiem fin. saņēmējiem 2015.gadam (ES fondu daļa), LVL</t>
  </si>
  <si>
    <t>Lauztajiem līgumiem un neatbilstībām 2015.gada ietvaros</t>
  </si>
  <si>
    <t xml:space="preserve">Eiropas Sociālais fonds </t>
  </si>
  <si>
    <t>Eiropas Reģionālās attīstības fonds</t>
  </si>
  <si>
    <t xml:space="preserve">Kohēzijas fonds </t>
  </si>
  <si>
    <t xml:space="preserve">DP "Cilvēkresursi un nodarbinātība" (ESF) </t>
  </si>
  <si>
    <t>DP "Uzņēmējdarbība un inovācijas" (ERAF)</t>
  </si>
  <si>
    <t>DP "Infrastruktūra un pakalpojumi" (ERAF/KF)</t>
  </si>
  <si>
    <t>Kopā:</t>
  </si>
  <si>
    <t>ESF kopā:</t>
  </si>
  <si>
    <t xml:space="preserve">Ekonomikas ministrija (ESF) </t>
  </si>
  <si>
    <t>1.3.1.1.1.</t>
  </si>
  <si>
    <t>Apakšaktivitāte "Atbalsts nodarbināto apmācībām komersantu konkurētspējas veicināšanai - atbalsts partnerībās organizētām apmācībām "</t>
  </si>
  <si>
    <t>1.3.1.1.4.</t>
  </si>
  <si>
    <t>Apakšaktivitāte "Atbalsts nodarbināto apmācībām komersantu konkurētspējas veicināšanai - atbalsts komersantu individuāli organizētām apmācībām"</t>
  </si>
  <si>
    <t>1.3.1.1.6.</t>
  </si>
  <si>
    <t>Aktivitāte "Atbalsts darba vietu radīšanai"</t>
  </si>
  <si>
    <t>1.3.1.2.</t>
  </si>
  <si>
    <t>Aktivitāte "Atbalsts pašnodarbinātības un uzņēmējdarbības uzsākšanai"</t>
  </si>
  <si>
    <t>1.3.1.9.</t>
  </si>
  <si>
    <t>Aktivitāte "Augstas kvalifikācijas darbinieku piesaiste"</t>
  </si>
  <si>
    <t>Finanšu ministrija(ESF)</t>
  </si>
  <si>
    <t>1.5.1.1.1.</t>
  </si>
  <si>
    <t xml:space="preserve">Apakšaktivitāte "Politikas veidošanas, ieviešanas un tās ietekmes izvērtēšanas pilnveidošana" </t>
  </si>
  <si>
    <t>1.6.1.1.</t>
  </si>
  <si>
    <t>Aktivitāte "Programmas vadības un atbalsta funkciju nodrošināšana"</t>
  </si>
  <si>
    <t>Izglītības un zinātnes ministrija (ESF) )</t>
  </si>
  <si>
    <t>1.1.1.1.</t>
  </si>
  <si>
    <t xml:space="preserve">Aktivitāte "Zinātnes un inovāciju politikas veidošanas un administratīvās kapacitātes stiprināšana" </t>
  </si>
  <si>
    <t>1.1.1.2.</t>
  </si>
  <si>
    <t>Aktivitāte "Cilvēkresursu piesaiste zinātnei"</t>
  </si>
  <si>
    <t>1.1.1.3.</t>
  </si>
  <si>
    <t>Aktivitāte "Motivācijas veicināšana zinātniskajai darbībai"</t>
  </si>
  <si>
    <t>1.1.2.1.1.</t>
  </si>
  <si>
    <t>Apakšaktivitāte "Atbalsts maģistra studiju programmu īstenošanai"</t>
  </si>
  <si>
    <t>1.1.2.1.2.</t>
  </si>
  <si>
    <t xml:space="preserve">Apakšaktivitāte "Atbalsts doktora studiju programmu īstenošanai" </t>
  </si>
  <si>
    <t>1.1.2.2.1.</t>
  </si>
  <si>
    <t>Apakšaktivitāte "Studiju programmu satura un īstenošanas uzlabošana un akadēmiskā personāla kompetences pilnveidošana"</t>
  </si>
  <si>
    <t>1.1.2.2.2.</t>
  </si>
  <si>
    <t> Apakšaktivitāte "Boloņas procesa principu ieviešana augstākajā izglītībā"</t>
  </si>
  <si>
    <t>1.2.1.1.1.</t>
  </si>
  <si>
    <t xml:space="preserve">Apakšaktivitāte "Nacionālās kvalifikāciju sistēmas pilnveide, profesionālās izglītības satura un profesionālajā izglītībā iesaistīto pušu sadarbības uzlabošana" </t>
  </si>
  <si>
    <t>1.2.1.1.2.</t>
  </si>
  <si>
    <t xml:space="preserve">Apakšaktivitāte "Profesionālajā izglītībā iesaistīto pedagogu kompetences paaugstināšana" </t>
  </si>
  <si>
    <t>1.2.1.1.3.</t>
  </si>
  <si>
    <t>Apakšaktivitāte "Atbalsts sākotnējās profesionālās izglītības programmu īstenošanas kvalitātes uzlabošanai un īstenošanai"</t>
  </si>
  <si>
    <t>1.2.1.1.4.</t>
  </si>
  <si>
    <t xml:space="preserve">Apakšaktivitāte "Sākotnējās profesionālās izglītības pievilcības veicināšana" </t>
  </si>
  <si>
    <t>1.2.1.2.1.</t>
  </si>
  <si>
    <t xml:space="preserve">Apakšaktivitāte "Vispārējās vidējās izglītības satura reforma, mācību priekšmetu, metodikas un mācību sasniegumu vērtēšanas sistēmas uzlabošana" </t>
  </si>
  <si>
    <t>1.2.1.2.2.</t>
  </si>
  <si>
    <t>Apakšaktivitāte "Atbalsts vispārējās izglītības pedagogu nodrošināšanai prioritārajos mācību priekšmetos"</t>
  </si>
  <si>
    <t>1.2.1.2.3.</t>
  </si>
  <si>
    <t>Apakšaktivitāte "Vispārējās izglītības pedagogu kompetences paaugstināšana un prasmju atjaunošana"</t>
  </si>
  <si>
    <t>1.2.2.1.1.</t>
  </si>
  <si>
    <t xml:space="preserve">Apakšaktivitāte " Mūžizglītības pārvaldes struktūras izveide nacionālā līmenī un inovatīvu mūžizglītības politikas instrumentu izstrāde" </t>
  </si>
  <si>
    <t>1.2.2.1.3.</t>
  </si>
  <si>
    <t>Apakšaktivitāte „Īpašu mūžizglītības politikas jomu atbalsts"</t>
  </si>
  <si>
    <t>1.2.2.1.5.</t>
  </si>
  <si>
    <t>Apakšaktivitāte "Pedagogu konkurētspējas veicināšana izglītības sistēmas optimizācijas apstākļos"</t>
  </si>
  <si>
    <t>1.2.2.2.1.</t>
  </si>
  <si>
    <t xml:space="preserve">Apakšaktivitāte "Profesionālās orientācijas un karjeras izglītības attīstība izglītības sistēmā" </t>
  </si>
  <si>
    <t>1.2.2.2.2.</t>
  </si>
  <si>
    <t>Apakšaktivitāte "Profesionālās orientācijas un karjeras izglītības pieejamības palielināšana jauniešiem, profesionāli orientētās izglītības attīstība"</t>
  </si>
  <si>
    <t>1.2.2.3.1.</t>
  </si>
  <si>
    <t xml:space="preserve">Aktivitāte "Par izglītības un mūžizglītības politiku atbildīgo institūciju rīcībspējas un sadarbības stiprināšana" </t>
  </si>
  <si>
    <t>1.2.2.3.2.</t>
  </si>
  <si>
    <t xml:space="preserve">Apakšaktivitāte „Atbalsts izglītības pētījumiem” </t>
  </si>
  <si>
    <t>1.2.2.4.1.</t>
  </si>
  <si>
    <t xml:space="preserve">Apakšaktivitāte "Iekļaujošas izglītības un sociālās atstumtības riskam pakļauto jauniešu atbalsta sistēmas izveide, nepieciešamā personāla sagatavošana, nodrošināšana un kompetences paaugstināšana" </t>
  </si>
  <si>
    <t>1.2.2.4.2.</t>
  </si>
  <si>
    <t>Apakšaktivitāte "Atbalsta pasākumu īstenošana jauniešu sociālās atstumtības riska mazināšanai un jauniešu ar funkcionālajiem traucējumiem integrācijai izglītībā"</t>
  </si>
  <si>
    <t>Labklājības ministrija (ESF)</t>
  </si>
  <si>
    <t>1.2.2.1.2.</t>
  </si>
  <si>
    <t>Apakšaktivitāte "Atbalsts Mūžizglītības politikas pamatnostādņu īstenošanai"</t>
  </si>
  <si>
    <t>1.3.1.1.3.</t>
  </si>
  <si>
    <t xml:space="preserve">Apakšaktivitāte "Bezdarbnieku un darba meklētāju apmācība" </t>
  </si>
  <si>
    <t>1.3.1.1.5.</t>
  </si>
  <si>
    <t xml:space="preserve">Apakšaktivitāte "Atbalsts potenciālo bezdarbnieku apmācībai" </t>
  </si>
  <si>
    <t>1.3.1.3.1.</t>
  </si>
  <si>
    <t xml:space="preserve">Apakšaktivitāte "Darba attiecību un darba drošības normatīvo aktu uzraudzības pilnveidošana" </t>
  </si>
  <si>
    <t>1.3.1.3.2.</t>
  </si>
  <si>
    <t>Apakšaktivitāte "Darba attiecību un darba drošības normatīvo aktu praktiska piemērošana nozarēs un uzņēmumos"</t>
  </si>
  <si>
    <t>1.3.1.4.</t>
  </si>
  <si>
    <t xml:space="preserve">Aktivitāte "Kapacitātes stiprināšana darba tirgus institūcijām" </t>
  </si>
  <si>
    <t>1.3.1.5.</t>
  </si>
  <si>
    <t>Aktivitāte "Vietējo nodarbinātības veicināšanas pasākumu plānu ieviešanas atbalsts"</t>
  </si>
  <si>
    <t>1.3.1.6.</t>
  </si>
  <si>
    <t>Aktivitāte "Atbalsts dzimumu līdztiesības veicināšanai darba tirgū"</t>
  </si>
  <si>
    <t>1.3.1.7.</t>
  </si>
  <si>
    <t xml:space="preserve">Aktivitāte "Darba tirgus pieprasījuma īstermiņa un ilgtermiņa prognozēšanas un uzraudzības sistēmas attīstība" </t>
  </si>
  <si>
    <t>1.3.1.8.</t>
  </si>
  <si>
    <t xml:space="preserve">Aktivitāte "Atbalsts labāko inovatīvo risinājumu meklējumiem un labas prakses piemēru integrēšanai darba tirgus politikās un ieviešanas instrumentārijos" </t>
  </si>
  <si>
    <t>1.4.1.1.1.</t>
  </si>
  <si>
    <t>Apakšaktivitāte "Kompleksi atbalsta pasākumi iedzīvotāju integrēšanai darba tirgū"</t>
  </si>
  <si>
    <t>1.4.1.1.2.</t>
  </si>
  <si>
    <t>Apakšaktivitāte "Atbalstītās nodarbinātības pasākumi mērķgrupu bezdarbniekiem"</t>
  </si>
  <si>
    <t>1.4.1.2.1.</t>
  </si>
  <si>
    <t>Apakšaktivitāte "Darbspēju vērtēšanas sistēmas pilnveidošana"</t>
  </si>
  <si>
    <t>1.4.1.2.2.</t>
  </si>
  <si>
    <t>Apakšaktivitāte "Sociālās rehabilitācijas pakalpojumu attīstība personām ar redzes un dzirdes traucējumiem"</t>
  </si>
  <si>
    <t>1.4.1.2.4.</t>
  </si>
  <si>
    <t xml:space="preserve">Sociālās rehabilitācijas un institūcijām alternatīvu sociālās aprūpes pakalpojumu attīstība reģionos" </t>
  </si>
  <si>
    <t>Vides aizsardzības un reģionālās attīstības ministrija (ESF)</t>
  </si>
  <si>
    <t>1.5.3.1.</t>
  </si>
  <si>
    <t xml:space="preserve">Aktivitāte "Speciālistu piesaiste plānošanas reģioniem, pilsētām un novadiem" </t>
  </si>
  <si>
    <t>1.5.3.2.</t>
  </si>
  <si>
    <t>Aktivitāte "Plānošanas reģionu un vietējo pašvaldību attīstības plānošanas kapacitātes paaugstināšana"</t>
  </si>
  <si>
    <t xml:space="preserve">Veselības ministrija(ESF) </t>
  </si>
  <si>
    <t>1.3.2.1.</t>
  </si>
  <si>
    <t>Aktivitāte "Veselības uzlabošana darbavietā, veicinot ilgtspējīgu nodarbinātību"</t>
  </si>
  <si>
    <t>1.3.2.2.</t>
  </si>
  <si>
    <t>Aktivitāte "Pētījumi un aptaujas par veselību darbā"</t>
  </si>
  <si>
    <t>1.3.2.3.</t>
  </si>
  <si>
    <t>Aktivitāte "Veselības aprūpes un veicināšanas procesā iesaistīto institūciju personāla kompetences, prasmju un iemaņu līmeņa paaugstināšana"</t>
  </si>
  <si>
    <t>Valsts Kanceleja (ESF)</t>
  </si>
  <si>
    <t>1.5.1.1.2.</t>
  </si>
  <si>
    <t>Apakšaktivitāte "Politikas pētījumu veikšana"</t>
  </si>
  <si>
    <t>1.5.1.2.</t>
  </si>
  <si>
    <t xml:space="preserve">Aktivitāte "Administratīvo šķēršļu samazināšana un publisko pakalpojumu kvalitātes uzlabošana" </t>
  </si>
  <si>
    <t>1.5.1.3.1.</t>
  </si>
  <si>
    <t>Apakšaktivitāte "Kvalitātes vadības sistēmas izveide un ieviešana"</t>
  </si>
  <si>
    <t>1.5.1.3.2.</t>
  </si>
  <si>
    <t xml:space="preserve">Apakšaktivitāte "Publisko pakalpojumu kvalitātes paaugstināšana valsts, reģionālā un vietējā līmenī" </t>
  </si>
  <si>
    <t>1.5.2.1.</t>
  </si>
  <si>
    <t>Aktivitāte "Publiskās pārvaldes cilvēkresursu plānošanas un vadības sistēmas attīstība"</t>
  </si>
  <si>
    <t>1.5.2.2.1.</t>
  </si>
  <si>
    <t>Apakšaktivitāte "Sociālo partneru administratīvās kapacitātes stiprināšana"</t>
  </si>
  <si>
    <t>1.5.2.2.2.</t>
  </si>
  <si>
    <t>Apakšaktivitāte "NVO administratīvās kapacitātes stiprināšana"</t>
  </si>
  <si>
    <t>1.5.2.2.3.</t>
  </si>
  <si>
    <t xml:space="preserve">Apakšaktivitāte "Atbalsts pašvaldībām kapacitātes stiprināšanā Eiropas Savienības politiku instrumentu un pārējās ārvalstu finanšu palīdzības līdzfinansēto projektu un pasākumu īstenošanai" </t>
  </si>
  <si>
    <t>ERAF kopā:</t>
  </si>
  <si>
    <t>Ekonomikas ministrija (ERAF)</t>
  </si>
  <si>
    <t xml:space="preserve">Ekonomikas ministrija (2DP) </t>
  </si>
  <si>
    <t>2.1.2.1.1.</t>
  </si>
  <si>
    <t>Apakšaktivitāte "Kompetences centri"</t>
  </si>
  <si>
    <t>2.1.2.1.2.</t>
  </si>
  <si>
    <t>Apakšaktivitāte "Tehnoloģiju pārneses kontaktpunkti"</t>
  </si>
  <si>
    <t>2.1.2.1.3.</t>
  </si>
  <si>
    <t>Apakšaktivitāte "Tehnoloģiju pārneses centri"</t>
  </si>
  <si>
    <t>2.1.2.2.1.</t>
  </si>
  <si>
    <t>Apakšaktivitāte "Jaunu produktu un tehnoloģiju izstrāde"</t>
  </si>
  <si>
    <t>2.1.2.2.2.</t>
  </si>
  <si>
    <t>Apakšaktivitāte "Jaunu produktu un tehnoloģiju izstrāde - atbalsts jaunu produktu un tehnoloģiju ieviešanai ražošanā"</t>
  </si>
  <si>
    <t>2.1.2.2.3.</t>
  </si>
  <si>
    <t>Apakšaktivitāte "Jaunu produktu un tehnoloģiju izstrāde - atbalsts rūpnieciskā īpašuma tiesību nostiprināšanai"</t>
  </si>
  <si>
    <t>2.1.2.2.4.</t>
  </si>
  <si>
    <t>Apakšaktivitāte "MVK jaunu produktu un tehnoloģiju attīstības programma"</t>
  </si>
  <si>
    <t>2.1.2.3.1.</t>
  </si>
  <si>
    <t>Apakšaktivitāte "Rīgas zinātnes un tehnoloģiju parka (ZTP) attīstība"</t>
  </si>
  <si>
    <t>2.1.2.4.</t>
  </si>
  <si>
    <t>Aktivitāte "Augstas pievienotās vērtības investīcijas"</t>
  </si>
  <si>
    <t>2.3.1.1.1.</t>
  </si>
  <si>
    <t>Apakšaktivitāte „Ārējo tirgu apgūšana - ārējais mārketings”</t>
  </si>
  <si>
    <t>Apakšaktivitāte „Ārējo tirgu apgūšana – nozaru starptautiskās konkurētspējas stiprināšana”</t>
  </si>
  <si>
    <t>2.3.1.2.</t>
  </si>
  <si>
    <t>Aktivitāte "Pasākumi motivācijas celšanai inovācijām un uzņēmējdarbības uzsākšanai"</t>
  </si>
  <si>
    <t>2.3.2.1.</t>
  </si>
  <si>
    <t>Aktivitāte "Biznesa inkubatori"</t>
  </si>
  <si>
    <t>Aktivitāte "Atbalsts ieguldījumiem mikro, maziem un vidējiem komersantiem īpaši atbalstāmajās teritorijās (ĪAT)"</t>
  </si>
  <si>
    <t>2.3.2.2.2.</t>
  </si>
  <si>
    <t>Apakšaktivitāte "Atbalsts ieguldījumiem ražošanas telpu izveidei vai rekonstrukcijai"/ Sub-activity "Support for construction or reconstruction of industrial premises"</t>
  </si>
  <si>
    <t>2.3.2.3.</t>
  </si>
  <si>
    <t>Aktivitāte "Klasteru programma"</t>
  </si>
  <si>
    <t xml:space="preserve">Ekonomikas ministrija (3DP) </t>
  </si>
  <si>
    <t>3.4.2.1.1.</t>
  </si>
  <si>
    <t xml:space="preserve">Apakšaktivitāte "Valsts nozīmes pilsētbūvniecības pieminekļu saglabāšana, atjaunošana un infrastruktūras pielāgošana tūrisma produkta attīstībai" </t>
  </si>
  <si>
    <t>3.4.2.1.2.</t>
  </si>
  <si>
    <t>Apakšaktivitāte "Nacionālās nozīmes velotūrisma produkta attīstība"</t>
  </si>
  <si>
    <t>3.4.2.1.3.</t>
  </si>
  <si>
    <t>Apakšaktivitāte "Nacionālās nozīmes kultūras, aktīvā, veselības un rekreatīvā tūrisma produkta attīstība "</t>
  </si>
  <si>
    <t>3.4.2.2.</t>
  </si>
  <si>
    <t xml:space="preserve">Aktivitāte "Tūrisma informācijas sistēmas attīstība" </t>
  </si>
  <si>
    <t>3.4.4.1.</t>
  </si>
  <si>
    <t>Aktivitāte "Daudzdzīvokļu māju siltumnoturības uzlabošanas pasākumi"</t>
  </si>
  <si>
    <t>3.4.4.2.</t>
  </si>
  <si>
    <t xml:space="preserve">Aktivitāte "Sociālo dzīvojamo māju siltumnoturības uzlabošanas pasākumi" </t>
  </si>
  <si>
    <t xml:space="preserve">Finanšu ministrija (ERAF) </t>
  </si>
  <si>
    <t xml:space="preserve">Finanšu ministrija (2DP) </t>
  </si>
  <si>
    <t>2.4.1.1.</t>
  </si>
  <si>
    <t xml:space="preserve">Finanšu ministrija (3DP) </t>
  </si>
  <si>
    <t>3.7.1.1.</t>
  </si>
  <si>
    <t>Aktivitāte "Tehniskā palīdzība (ERAF)"</t>
  </si>
  <si>
    <t>Izglītības un zinātnes ministrija (ERAF)</t>
  </si>
  <si>
    <t>Izglītības un zinātnes ministrija (2DP)</t>
  </si>
  <si>
    <t>2.1.1.1.</t>
  </si>
  <si>
    <t xml:space="preserve">Aktivitāte "Atbalsts zinātnei un pētniecībai" </t>
  </si>
  <si>
    <t>2.1.1.2.</t>
  </si>
  <si>
    <t xml:space="preserve">Aktivitāte "Atbalsts starptautiskās sadarbības projektiem zinātnē un tehnoloģijās (EUREKA, 7.IP un citi)" </t>
  </si>
  <si>
    <t>2.1.1.3.1.</t>
  </si>
  <si>
    <t xml:space="preserve">Apakšaktivitāte "Zinātnes infrastruktūras attīstība" </t>
  </si>
  <si>
    <t>2.1.1.3.2.</t>
  </si>
  <si>
    <t xml:space="preserve">Apakšaktivitāte "Informācijas tehnoloģiju infrastruktūras un informācijas sistēmu uzlabošana zinātniskajai darbībai" </t>
  </si>
  <si>
    <t xml:space="preserve">Izglītības un zinātnes ministrija (3DP) </t>
  </si>
  <si>
    <t>3.1.1.1.</t>
  </si>
  <si>
    <t>Aktivitāte "Mācību aprīkojuma modernizācija un infrastruktūras uzlabošana profesionālās izglītības programmu īstenošanai "</t>
  </si>
  <si>
    <t>3.1.1.2.</t>
  </si>
  <si>
    <t>Aktivitāte "Profesionālās izglītības infrastruktūras attīstība un mācību aprīkojuma modernizācija ieslodzījuma vietās"</t>
  </si>
  <si>
    <t>3.1.2.1.1.</t>
  </si>
  <si>
    <t>Apakšaktivitāte "Augstākās izglītības iestāžu telpu un iekārtu modernizēšana studiju programmu kvalitātes uzlabošanai, tajā skaitā, nodrošinot izglītības programmu apgūšanas iespējas arī personām ar funkcionāliem traucējumiem"</t>
  </si>
  <si>
    <t>3.1.2.1.2.</t>
  </si>
  <si>
    <t xml:space="preserve">Apakšktivitāte "Jaunu koledžas studiju programmu attīstība vai jaunu koledžu izveide" </t>
  </si>
  <si>
    <t>3.1.3.1.</t>
  </si>
  <si>
    <t xml:space="preserve">Aktivitāte "Kvalitatīvai dabaszinātņu apguvei atbilstošas materiālās bāzes nodrošināšana" </t>
  </si>
  <si>
    <t>3.1.3.2.</t>
  </si>
  <si>
    <t xml:space="preserve">Aktivitāte "Atbalsts vispārējās izglītības iestāžu tīkla optimizācijai" </t>
  </si>
  <si>
    <t>3.1.3.3.1.</t>
  </si>
  <si>
    <t>Apakšaktivitāte "Speciālās izglītības iestāžu infrastruktūras un aprīkojuma uzlabošana"</t>
  </si>
  <si>
    <t>3.1.3.3.2.</t>
  </si>
  <si>
    <t xml:space="preserve">Apakšaktivitāte "Vispārējās izglītības iestāžu infrastruktūras uzlabošana izglītojamajiem ar funkcionāliem traucējumiem" </t>
  </si>
  <si>
    <t>3.2.2.1.2.</t>
  </si>
  <si>
    <t xml:space="preserve">Apakšaktivitāte "Izglītības iestāžu informatizācija" </t>
  </si>
  <si>
    <t xml:space="preserve">Kultūras ministrija(ERAF) </t>
  </si>
  <si>
    <t>3.4.3.1.</t>
  </si>
  <si>
    <t>Aktivitāte "Nacionālas un reģionālas nozīmes daudzfunkcionālu centru izveide"</t>
  </si>
  <si>
    <t>3.4.3.2.</t>
  </si>
  <si>
    <t>Aktivitāte "Sociālekonomiski nozīmīgu kultūrvēstursikā mantojuma objektu atjaunošana"</t>
  </si>
  <si>
    <t>3.4.3.3.</t>
  </si>
  <si>
    <t>Aktivitāte "Atbalsts kultūras pieminekļu privātīpašniekiem kultūras pieminekļu saglabāšanā un to sociālekonomiskā potenciāla efektīvā izmantošanā"</t>
  </si>
  <si>
    <t>Labklājības ministrija(ERAF)</t>
  </si>
  <si>
    <t>3.1.4.1.1.</t>
  </si>
  <si>
    <t>Apakšaktivitāte "Infrastruktūras pilnveidošana un zinātniski tehniskās bāzes nodrošināšana darbspēju un funkcionālo traucējumu izvērtēšanai"</t>
  </si>
  <si>
    <t>3.1.4.1.2.</t>
  </si>
  <si>
    <t xml:space="preserve">Apakšaktivitāte "Infrastruktūras pilnveidošana profesionālās rehabilitācijas pakalpojumu sniegšanai" </t>
  </si>
  <si>
    <t>3.1.4.1.3.</t>
  </si>
  <si>
    <t>Apakšaktivitāte "Infrastruktūras pilnveidošana sociālās rehabilitācijas pakalpojumu sniegšanai personām ar redzes un dzirdes traucējumiem"</t>
  </si>
  <si>
    <t>3.1.4.1.4.</t>
  </si>
  <si>
    <t>Apakšaktivitāte "Jaunu filiāļu izveide tehnisko palīglīdzekļu nodrošināšanai"</t>
  </si>
  <si>
    <t>3.1.4.1.5.</t>
  </si>
  <si>
    <t>3.1.4.2.</t>
  </si>
  <si>
    <t>Aktivitāte "Darba tirgus institūciju infrastruktūras pilnveidošana"</t>
  </si>
  <si>
    <t>Satiksmes ministrija (ERAF)</t>
  </si>
  <si>
    <t>3.2.1.1.</t>
  </si>
  <si>
    <t xml:space="preserve">Aktivitāte "Valsts 1.šķiras autoceļu maršrutu sakārtošana" </t>
  </si>
  <si>
    <t>3.2.1.2.</t>
  </si>
  <si>
    <t xml:space="preserve">Aktivitāte "Tranzītielu sakārtošana pilsētu teritorijās" </t>
  </si>
  <si>
    <t>3.2.1.3.1.</t>
  </si>
  <si>
    <t>Apakšktivitāte "Satiksmes drošības uzlabojumi apdzīvotās vietās ārpus Rīgas"</t>
  </si>
  <si>
    <t>3.2.1.3.2.</t>
  </si>
  <si>
    <t xml:space="preserve">Apakšaktivitāte "Satiksmes drošības uzlabojumi Rīgā" </t>
  </si>
  <si>
    <t>3.2.1.4.</t>
  </si>
  <si>
    <t xml:space="preserve">Aktivitāte "Mazo ostu infrastruktūras uzlabošana" </t>
  </si>
  <si>
    <t>3.2.1.5.</t>
  </si>
  <si>
    <t xml:space="preserve">Aktivitāte "Publiskais transports ārpus Rīgas" </t>
  </si>
  <si>
    <t>3.2.2.3.</t>
  </si>
  <si>
    <t>Aktivitāte "Elektronisko sakaru pakalpojumu vienlīdzīgas pieejamības nodrošināšana visā valsts teritorijā (platjoslas tīkla attīstība)"</t>
  </si>
  <si>
    <t>3.2.2.4.1.</t>
  </si>
  <si>
    <t xml:space="preserve">Apakšaktivitāte "Valsts nozīmes elektronisko sakaru tīklu izveide, attīstība un pilnveidošana" </t>
  </si>
  <si>
    <t>3.2.2.4.2.</t>
  </si>
  <si>
    <t xml:space="preserve">Apakšaktivitāte "Informācijas datu pārraides drošības nodrošināšana" </t>
  </si>
  <si>
    <t>Vides aizsardzības un reģionālās attīstības ministrija (ERAF)</t>
  </si>
  <si>
    <t>3.1.4.3.</t>
  </si>
  <si>
    <t>Aktivitāte "Pirmsskolas izglītības iestāžu infrastruktūras attīstība nacionālas un reģionālas nozīmes attīstības centros"</t>
  </si>
  <si>
    <t>3.1.4.4.</t>
  </si>
  <si>
    <t>Aktivitāte "Atbalsts alternatīvās aprūpes pakalpojumu pieejamības attīstībai"</t>
  </si>
  <si>
    <t>3.4.1.1.</t>
  </si>
  <si>
    <t>Aktivitāte "Ūdenssaimniecības attīstība apdzīvotās vietās ar iedzīvotāju skaitu līdz 2000"</t>
  </si>
  <si>
    <t>3.2.2.1.1.</t>
  </si>
  <si>
    <t>Apakšaktivitāte "Informācijas sistēmu un elektronisko pakalpojumu attīstība"</t>
  </si>
  <si>
    <t>3.2.2.2.</t>
  </si>
  <si>
    <t>Aktivitāte "Publisko interneta pieejas punktu attīstība"</t>
  </si>
  <si>
    <t>3.4.1.3.</t>
  </si>
  <si>
    <t>Aktivitāte "Bioloģiskās daudzveidības saglabāšanas ex situ infrastruktūras izveide"</t>
  </si>
  <si>
    <t>3.4.1.4.</t>
  </si>
  <si>
    <t xml:space="preserve">Aktivitāte "Vēsturiski piesārņoto vietu sanācija" </t>
  </si>
  <si>
    <t>3.4.1.5.1.</t>
  </si>
  <si>
    <t xml:space="preserve">Apakšaktivitāte "Plūdu risku samazināšana grūti prognozējamu vižņu-ledus parādību gadījumos" </t>
  </si>
  <si>
    <t>3.4.1.5.2.</t>
  </si>
  <si>
    <t>Apakšaktivitāte "Hidrotehnisko būvju rekonstrukcija plūdu draudu risku novēršanai un samazināšanai"</t>
  </si>
  <si>
    <t>3.6.1.1.</t>
  </si>
  <si>
    <t xml:space="preserve">Aktivitāte "Nacionālas un reģionālas nozīmes attīstības centru izaugsmes veicināšana līdzsvarotai valsts attīstībai" </t>
  </si>
  <si>
    <t>3.6.1.2.</t>
  </si>
  <si>
    <t xml:space="preserve">Aktivitāte "Rīgas pilsētas ilgtspējīga attīstība" </t>
  </si>
  <si>
    <t>3.6.2.1.</t>
  </si>
  <si>
    <t>Aktivitāte "Atbalsts novadu pašvaldību kompleksai attīstībai"</t>
  </si>
  <si>
    <t xml:space="preserve">Veselības ministrija(ERAF) </t>
  </si>
  <si>
    <t>3.1.5.1.1.</t>
  </si>
  <si>
    <t>Apakšaktivitāte "Ģimenes ārstu tīkla attīstība"</t>
  </si>
  <si>
    <t>3.1.5.1.2.</t>
  </si>
  <si>
    <t>Apakšaktivitāte "Veselības aprūpes centru attīstība"</t>
  </si>
  <si>
    <t>3.1.5.2.</t>
  </si>
  <si>
    <t>Aktivitāte "Neatliekamās medicīniskās palīdzības attīstība"</t>
  </si>
  <si>
    <t>3.1.5.3.1.</t>
  </si>
  <si>
    <t xml:space="preserve">Apakšaktivitāte "Stacionārās veselības aprūpes attīstība" </t>
  </si>
  <si>
    <t>3.1.5.3.2.</t>
  </si>
  <si>
    <t>Apakšaktivitāte "Onkoloģijas slimnieku radioterapijas ārstēšanas attīstība"</t>
  </si>
  <si>
    <t>KF kopā:</t>
  </si>
  <si>
    <t xml:space="preserve">Ekonomikas ministrija(KF) </t>
  </si>
  <si>
    <t>3.5.2.1.1.</t>
  </si>
  <si>
    <t>Apakšaktivitāte "Pasākumi centralizētās siltumapgādes sistēmu efektivitātes paaugstināšanai"</t>
  </si>
  <si>
    <t>3.5.2.1.2.</t>
  </si>
  <si>
    <t>Apakšaktivitāte "Pasākumi uzņēmumu siltumapgādes sistēmu efektivitātes paaugstināšanai"</t>
  </si>
  <si>
    <t>3.5.2.2.</t>
  </si>
  <si>
    <t xml:space="preserve">Aktivitāte "Atjaunojamo energoresursu izmantojošu koģenerācijas elektrostaciju attīstība" </t>
  </si>
  <si>
    <t>3.5.2.3.</t>
  </si>
  <si>
    <t>Aktivitāte "Vēja elektrostaciju attīstība"</t>
  </si>
  <si>
    <t>3.5.2.4.</t>
  </si>
  <si>
    <t>Aktivitāte "Daugavas hidroelektrostaciju aizsprostu pārgāžņu rekonstrukcija"</t>
  </si>
  <si>
    <t>Finanšu ministrija(KF)</t>
  </si>
  <si>
    <t>3.8.1.1.</t>
  </si>
  <si>
    <t>Aktivitāte "Tehniskā palīdzība (KF)"</t>
  </si>
  <si>
    <t>Satiksmes ministrija(KF)</t>
  </si>
  <si>
    <t>3.3.1.1.</t>
  </si>
  <si>
    <t>Aktivitāte "TEN-T autoceļu tīkla uzlabojumi 3"</t>
  </si>
  <si>
    <t>3.3.1.2.</t>
  </si>
  <si>
    <t>Aktivitāte "TEN-T dzelzceļa posmu rekonstrukcija un attīstība (Austrumu-Rietumu dzelzceļa koridora infrastruktūras attīstība un Rail Baltica)"</t>
  </si>
  <si>
    <t>3.3.1.3.</t>
  </si>
  <si>
    <t>Aktivitāte "Lielo ostu infrastruktūras attīstība „Jūras maģistrāļu” ietvaros"</t>
  </si>
  <si>
    <t>3.3.1.4.</t>
  </si>
  <si>
    <t xml:space="preserve">Aktivitāte "Lidostu infrastruktūras attīstība" </t>
  </si>
  <si>
    <t>3.3.1.5.</t>
  </si>
  <si>
    <t>Aktivitāte "Pilsētu infrastruktūras uzlabojumi sasaistei ar TEN-T"</t>
  </si>
  <si>
    <t>3.3.2.1.</t>
  </si>
  <si>
    <t>Aktivitāte "Ilgtspējīga sabiedriskā transporta sistēmas attīstība"</t>
  </si>
  <si>
    <t xml:space="preserve">Vides aizsardzības un reģionālās attīstības ministrija (KF) </t>
  </si>
  <si>
    <t>3.3.1.6.</t>
  </si>
  <si>
    <t>Aktvitiāte "Liepājas Karostas ilgtspējīgas attīstības priekšnoteikumu nodrošināšana"</t>
  </si>
  <si>
    <t>3.5.1.1.</t>
  </si>
  <si>
    <t>Aktivitāte "Ūdenssaimniecības infrastruktūras attīstība aglomerācijās ar cilvēku ekvivalentu lielāku par 2000"</t>
  </si>
  <si>
    <t>3.5.1.2.1.</t>
  </si>
  <si>
    <t>Apakšaktivitāte "Normatīvo aktu prasībām neatbilstošo izgāztuvju rekultivācija"</t>
  </si>
  <si>
    <t>3.5.1.2.2.</t>
  </si>
  <si>
    <t>Apakšaktivitāte "Reģionālu atkritumu apsaimniekošanas sistēmu attīstība</t>
  </si>
  <si>
    <t>3.5.1.2.3.</t>
  </si>
  <si>
    <t>Apakšaktivitāte "Dalītās atkritumu apsaimniekošanas sistēmas attīstība"</t>
  </si>
  <si>
    <t>3.5.1.3.</t>
  </si>
  <si>
    <t>Aktivitāte "Infrastruktūras izveide natura 2000 teritorijās"</t>
  </si>
  <si>
    <t>3.5.1.4.</t>
  </si>
  <si>
    <t xml:space="preserve">Aktivitāte "Vides monitoringa un kontroles sistēmas attīstība" </t>
  </si>
  <si>
    <t>10=8-6</t>
  </si>
  <si>
    <t>11=9-7</t>
  </si>
  <si>
    <t>28=26-23</t>
  </si>
  <si>
    <t>29=27-24</t>
  </si>
  <si>
    <t>2.3.1.1.2.</t>
  </si>
  <si>
    <t>2.3.2.2.1.</t>
  </si>
  <si>
    <t>Starpība starp MK apstiprināto plānu 2015.gadam un aktuālajām prognozēm</t>
  </si>
  <si>
    <t>39=37-34</t>
  </si>
  <si>
    <t>40=38-38</t>
  </si>
  <si>
    <t>Apakšaktivitāte "Infrastruktūras pilnveidošana sociālās rehabilitācijas pakalpojumu sniegšanai personām ar garīga rakstura traucējumiem"</t>
  </si>
  <si>
    <t>3.pielikums                                                                                                                                                          Informatīvajam ziņojumam par Eiropas Savienības struktūrfondu un Kohēzijas fonda, Eiropas Ekonomikas zonas finanšu instrumenta, Norvēģijas finanšu instrumenta un Latvijas–Šveices sadarbības programmas apguvi līdz 2013.gada 30.septembrim</t>
  </si>
  <si>
    <t>A.Šluburs</t>
  </si>
  <si>
    <t>67083964, Arturs.Sluburs@fm.gov.lv</t>
  </si>
  <si>
    <t>Finanšu ministra vietā</t>
  </si>
  <si>
    <t>aizsardzības ministrs</t>
  </si>
  <si>
    <t>A.Pabriks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</si>
</sst>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4" formatCode="_-&quot;Ls&quot;\ * #,##0.00_-;\-&quot;Ls&quot;\ * #,##0.00_-;_-&quot;Ls&quot;\ * &quot;-&quot;??_-;_-@_-"/>
    <numFmt numFmtId="43" formatCode="_-* #,##0.00_-;\-* #,##0.00_-;_-* &quot;-&quot;??_-;_-@_-"/>
    <numFmt numFmtId="164" formatCode="#,##0_ ;\-#,##0\ "/>
    <numFmt numFmtId="165" formatCode="0.0%"/>
    <numFmt numFmtId="166" formatCode="_-&quot;£&quot;* #,##0.00_-;\-&quot;£&quot;* #,##0.00_-;_-&quot;£&quot;* &quot;-&quot;??_-;_-@_-"/>
    <numFmt numFmtId="167" formatCode="0.0"/>
    <numFmt numFmtId="168" formatCode="________@"/>
    <numFmt numFmtId="169" formatCode="____________@"/>
    <numFmt numFmtId="170" formatCode="________________@"/>
    <numFmt numFmtId="171" formatCode="____________________@"/>
    <numFmt numFmtId="172" formatCode="0.000"/>
    <numFmt numFmtId="173" formatCode="#,##0.00_ ;\-#,##0.00\ "/>
  </numFmts>
  <fonts count="122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4"/>
      <color theme="1"/>
      <name val="Times New Roman"/>
      <family val="2"/>
      <charset val="186"/>
    </font>
    <font>
      <sz val="14"/>
      <color theme="1"/>
      <name val="Times New Roman"/>
      <family val="1"/>
      <charset val="186"/>
    </font>
    <font>
      <sz val="15.5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24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5.5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5"/>
      <color theme="1"/>
      <name val="Times New Roman"/>
      <family val="1"/>
      <charset val="186"/>
    </font>
    <font>
      <sz val="12"/>
      <color indexed="8"/>
      <name val="Times New Roman"/>
      <family val="2"/>
      <charset val="186"/>
    </font>
    <font>
      <sz val="10"/>
      <name val="Helv"/>
    </font>
    <font>
      <sz val="11"/>
      <color indexed="8"/>
      <name val="Calibri"/>
      <family val="2"/>
    </font>
    <font>
      <sz val="12"/>
      <color indexed="9"/>
      <name val="Times New Roman"/>
      <family val="2"/>
      <charset val="186"/>
    </font>
    <font>
      <sz val="11"/>
      <color indexed="9"/>
      <name val="Calibri"/>
      <family val="2"/>
    </font>
    <font>
      <sz val="10"/>
      <color theme="1"/>
      <name val="Times New Roman"/>
      <family val="2"/>
      <charset val="186"/>
    </font>
    <font>
      <sz val="12"/>
      <color indexed="20"/>
      <name val="Times New Roman"/>
      <family val="2"/>
      <charset val="186"/>
    </font>
    <font>
      <sz val="11"/>
      <color indexed="20"/>
      <name val="Calibri"/>
      <family val="2"/>
    </font>
    <font>
      <b/>
      <sz val="12"/>
      <color indexed="52"/>
      <name val="Times New Roman"/>
      <family val="2"/>
      <charset val="186"/>
    </font>
    <font>
      <b/>
      <sz val="11"/>
      <color indexed="52"/>
      <name val="Calibri"/>
      <family val="2"/>
    </font>
    <font>
      <i/>
      <sz val="10"/>
      <color indexed="10"/>
      <name val="BaltTimesRoman"/>
      <family val="2"/>
      <charset val="186"/>
    </font>
    <font>
      <b/>
      <sz val="12"/>
      <color indexed="9"/>
      <name val="Times New Roman"/>
      <family val="2"/>
      <charset val="186"/>
    </font>
    <font>
      <b/>
      <sz val="11"/>
      <color indexed="9"/>
      <name val="Calibri"/>
      <family val="2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1"/>
      <color indexed="8"/>
      <name val="Calibri"/>
      <family val="2"/>
    </font>
    <font>
      <sz val="10"/>
      <color indexed="8"/>
      <name val="BaltTimesRoman"/>
      <family val="2"/>
      <charset val="186"/>
    </font>
    <font>
      <sz val="10"/>
      <name val="BaltGaramond"/>
      <family val="2"/>
    </font>
    <font>
      <i/>
      <sz val="12"/>
      <color indexed="23"/>
      <name val="Times New Roman"/>
      <family val="2"/>
      <charset val="186"/>
    </font>
    <font>
      <i/>
      <sz val="11"/>
      <color indexed="23"/>
      <name val="Calibri"/>
      <family val="2"/>
    </font>
    <font>
      <sz val="12"/>
      <color indexed="17"/>
      <name val="Times New Roman"/>
      <family val="2"/>
      <charset val="186"/>
    </font>
    <font>
      <sz val="11"/>
      <color indexed="17"/>
      <name val="Calibri"/>
      <family val="2"/>
    </font>
    <font>
      <b/>
      <sz val="12"/>
      <name val="Lat Times New Roman"/>
      <family val="1"/>
      <charset val="186"/>
    </font>
    <font>
      <b/>
      <sz val="15"/>
      <color indexed="56"/>
      <name val="Times New Roman"/>
      <family val="2"/>
      <charset val="186"/>
    </font>
    <font>
      <b/>
      <sz val="15"/>
      <color indexed="56"/>
      <name val="Calibri"/>
      <family val="2"/>
    </font>
    <font>
      <b/>
      <sz val="13"/>
      <color indexed="56"/>
      <name val="Times New Roman"/>
      <family val="2"/>
      <charset val="186"/>
    </font>
    <font>
      <b/>
      <sz val="13"/>
      <color indexed="56"/>
      <name val="Calibri"/>
      <family val="2"/>
    </font>
    <font>
      <b/>
      <sz val="11"/>
      <color indexed="56"/>
      <name val="Times New Roman"/>
      <family val="2"/>
      <charset val="186"/>
    </font>
    <font>
      <b/>
      <sz val="11"/>
      <color indexed="56"/>
      <name val="Calibri"/>
      <family val="2"/>
    </font>
    <font>
      <b/>
      <sz val="10"/>
      <name val="Lat Times New Roman"/>
      <family val="1"/>
      <charset val="186"/>
    </font>
    <font>
      <sz val="10"/>
      <name val="BaltTimesRoman"/>
      <family val="2"/>
      <charset val="186"/>
    </font>
    <font>
      <sz val="10"/>
      <name val="RimHelvetica"/>
      <charset val="186"/>
    </font>
    <font>
      <sz val="10"/>
      <name val="Lat Times New Roman"/>
      <family val="1"/>
      <charset val="186"/>
    </font>
    <font>
      <sz val="10"/>
      <color indexed="12"/>
      <name val="BaltTimesRoman"/>
      <family val="2"/>
      <charset val="186"/>
    </font>
    <font>
      <sz val="12"/>
      <color indexed="62"/>
      <name val="Times New Roman"/>
      <family val="2"/>
      <charset val="186"/>
    </font>
    <font>
      <sz val="11"/>
      <color indexed="62"/>
      <name val="Calibri"/>
      <family val="2"/>
    </font>
    <font>
      <sz val="12"/>
      <color indexed="52"/>
      <name val="Times New Roman"/>
      <family val="2"/>
      <charset val="186"/>
    </font>
    <font>
      <sz val="11"/>
      <color indexed="52"/>
      <name val="Calibri"/>
      <family val="2"/>
    </font>
    <font>
      <sz val="12"/>
      <color indexed="60"/>
      <name val="Times New Roman"/>
      <family val="2"/>
      <charset val="186"/>
    </font>
    <font>
      <sz val="11"/>
      <color indexed="60"/>
      <name val="Calibri"/>
      <family val="2"/>
    </font>
    <font>
      <sz val="12"/>
      <color rgb="FF000000"/>
      <name val="Times New Roman"/>
      <family val="2"/>
      <charset val="186"/>
    </font>
    <font>
      <sz val="11"/>
      <color indexed="8"/>
      <name val="Calibri"/>
      <family val="2"/>
      <charset val="186"/>
    </font>
    <font>
      <sz val="11"/>
      <name val="BaltOptima"/>
      <charset val="186"/>
    </font>
    <font>
      <sz val="10"/>
      <color theme="1"/>
      <name val="Arial"/>
      <family val="2"/>
      <charset val="186"/>
    </font>
    <font>
      <sz val="10"/>
      <name val="Arial"/>
      <family val="2"/>
    </font>
    <font>
      <sz val="10"/>
      <color indexed="12"/>
      <name val="Arial"/>
      <family val="2"/>
      <charset val="186"/>
    </font>
    <font>
      <sz val="11"/>
      <name val="Arial"/>
      <family val="2"/>
      <charset val="186"/>
    </font>
    <font>
      <sz val="10"/>
      <name val="Verdana"/>
      <family val="2"/>
      <charset val="186"/>
    </font>
    <font>
      <b/>
      <sz val="12"/>
      <color indexed="63"/>
      <name val="Times New Roman"/>
      <family val="2"/>
      <charset val="186"/>
    </font>
    <font>
      <b/>
      <sz val="11"/>
      <color indexed="63"/>
      <name val="Calibri"/>
      <family val="2"/>
    </font>
    <font>
      <sz val="10"/>
      <color indexed="10"/>
      <name val="BaltTimesRoman"/>
      <family val="2"/>
      <charset val="186"/>
    </font>
    <font>
      <b/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sz val="10"/>
      <color indexed="8"/>
      <name val="Times New Roman"/>
      <family val="1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8"/>
      <name val="Arial"/>
      <family val="2"/>
    </font>
    <font>
      <b/>
      <sz val="14"/>
      <name val="Times New Roman"/>
      <family val="1"/>
      <charset val="186"/>
    </font>
    <font>
      <b/>
      <sz val="18"/>
      <color indexed="62"/>
      <name val="Cambria"/>
      <family val="2"/>
    </font>
    <font>
      <b/>
      <sz val="10"/>
      <name val="BaltTimesRoman"/>
      <family val="2"/>
      <charset val="186"/>
    </font>
    <font>
      <b/>
      <sz val="18"/>
      <color indexed="56"/>
      <name val="Cambria"/>
      <family val="2"/>
      <charset val="186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  <charset val="186"/>
    </font>
    <font>
      <sz val="10"/>
      <name val="BaltGaramond"/>
      <family val="2"/>
      <charset val="186"/>
    </font>
    <font>
      <sz val="12"/>
      <color indexed="10"/>
      <name val="Times New Roman"/>
      <family val="2"/>
      <charset val="186"/>
    </font>
    <font>
      <sz val="11"/>
      <color indexed="10"/>
      <name val="Calibri"/>
      <family val="2"/>
    </font>
    <font>
      <i/>
      <sz val="14"/>
      <color rgb="FF7030A0"/>
      <name val="Times New Roman"/>
      <family val="1"/>
      <charset val="186"/>
    </font>
    <font>
      <i/>
      <sz val="15"/>
      <color rgb="FF7030A0"/>
      <name val="Times New Roman"/>
      <family val="1"/>
      <charset val="186"/>
    </font>
    <font>
      <b/>
      <i/>
      <sz val="14"/>
      <color rgb="FF7030A0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4"/>
      <name val="Times New Roman"/>
      <family val="1"/>
      <charset val="186"/>
    </font>
    <font>
      <sz val="16"/>
      <name val="Times New Roman"/>
      <family val="1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2"/>
      <color rgb="FFFF0000"/>
      <name val="Times New Roman"/>
      <family val="2"/>
      <charset val="186"/>
    </font>
    <font>
      <b/>
      <sz val="14"/>
      <color rgb="FFFF0000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i/>
      <sz val="14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sz val="14"/>
      <color indexed="8"/>
      <name val="Times New Roman"/>
      <family val="1"/>
      <charset val="186"/>
    </font>
    <font>
      <b/>
      <i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24"/>
      <name val="Times New Roman"/>
      <family val="1"/>
      <charset val="186"/>
    </font>
    <font>
      <sz val="24"/>
      <color theme="1"/>
      <name val="Times New Roman"/>
      <family val="1"/>
      <charset val="186"/>
    </font>
    <font>
      <sz val="24"/>
      <color rgb="FF000000"/>
      <name val="Times New Roman"/>
      <family val="1"/>
      <charset val="186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2F2F2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5" fillId="0" borderId="0"/>
    <xf numFmtId="0" fontId="15" fillId="0" borderId="0"/>
    <xf numFmtId="0" fontId="21" fillId="0" borderId="0"/>
    <xf numFmtId="0" fontId="20" fillId="11" borderId="0" applyNumberFormat="0" applyBorder="0" applyAlignment="0" applyProtection="0"/>
    <xf numFmtId="0" fontId="22" fillId="11" borderId="0" applyNumberFormat="0" applyBorder="0" applyAlignment="0" applyProtection="0"/>
    <xf numFmtId="0" fontId="20" fillId="12" borderId="0" applyNumberFormat="0" applyBorder="0" applyAlignment="0" applyProtection="0"/>
    <xf numFmtId="0" fontId="22" fillId="12" borderId="0" applyNumberFormat="0" applyBorder="0" applyAlignment="0" applyProtection="0"/>
    <xf numFmtId="0" fontId="20" fillId="13" borderId="0" applyNumberFormat="0" applyBorder="0" applyAlignment="0" applyProtection="0"/>
    <xf numFmtId="0" fontId="22" fillId="13" borderId="0" applyNumberFormat="0" applyBorder="0" applyAlignment="0" applyProtection="0"/>
    <xf numFmtId="0" fontId="20" fillId="14" borderId="0" applyNumberFormat="0" applyBorder="0" applyAlignment="0" applyProtection="0"/>
    <xf numFmtId="0" fontId="22" fillId="14" borderId="0" applyNumberFormat="0" applyBorder="0" applyAlignment="0" applyProtection="0"/>
    <xf numFmtId="0" fontId="20" fillId="15" borderId="0" applyNumberFormat="0" applyBorder="0" applyAlignment="0" applyProtection="0"/>
    <xf numFmtId="0" fontId="22" fillId="15" borderId="0" applyNumberFormat="0" applyBorder="0" applyAlignment="0" applyProtection="0"/>
    <xf numFmtId="0" fontId="20" fillId="16" borderId="0" applyNumberFormat="0" applyBorder="0" applyAlignment="0" applyProtection="0"/>
    <xf numFmtId="0" fontId="22" fillId="16" borderId="0" applyNumberFormat="0" applyBorder="0" applyAlignment="0" applyProtection="0"/>
    <xf numFmtId="0" fontId="20" fillId="17" borderId="0" applyNumberFormat="0" applyBorder="0" applyAlignment="0" applyProtection="0"/>
    <xf numFmtId="0" fontId="22" fillId="17" borderId="0" applyNumberFormat="0" applyBorder="0" applyAlignment="0" applyProtection="0"/>
    <xf numFmtId="0" fontId="20" fillId="18" borderId="0" applyNumberFormat="0" applyBorder="0" applyAlignment="0" applyProtection="0"/>
    <xf numFmtId="0" fontId="22" fillId="18" borderId="0" applyNumberFormat="0" applyBorder="0" applyAlignment="0" applyProtection="0"/>
    <xf numFmtId="0" fontId="20" fillId="19" borderId="0" applyNumberFormat="0" applyBorder="0" applyAlignment="0" applyProtection="0"/>
    <xf numFmtId="0" fontId="22" fillId="19" borderId="0" applyNumberFormat="0" applyBorder="0" applyAlignment="0" applyProtection="0"/>
    <xf numFmtId="0" fontId="20" fillId="14" borderId="0" applyNumberFormat="0" applyBorder="0" applyAlignment="0" applyProtection="0"/>
    <xf numFmtId="0" fontId="22" fillId="14" borderId="0" applyNumberFormat="0" applyBorder="0" applyAlignment="0" applyProtection="0"/>
    <xf numFmtId="0" fontId="20" fillId="17" borderId="0" applyNumberFormat="0" applyBorder="0" applyAlignment="0" applyProtection="0"/>
    <xf numFmtId="0" fontId="22" fillId="17" borderId="0" applyNumberFormat="0" applyBorder="0" applyAlignment="0" applyProtection="0"/>
    <xf numFmtId="0" fontId="20" fillId="20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19" borderId="0" applyNumberFormat="0" applyBorder="0" applyAlignment="0" applyProtection="0"/>
    <xf numFmtId="0" fontId="23" fillId="22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3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4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4" fillId="35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4" fillId="35" borderId="0" applyNumberFormat="0" applyBorder="0" applyAlignment="0" applyProtection="0"/>
    <xf numFmtId="0" fontId="23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4" fillId="26" borderId="0" applyNumberFormat="0" applyBorder="0" applyAlignment="0" applyProtection="0"/>
    <xf numFmtId="0" fontId="23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0" borderId="0" applyNumberFormat="0" applyBorder="0" applyAlignment="0" applyProtection="0"/>
    <xf numFmtId="0" fontId="24" fillId="38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4" fontId="25" fillId="40" borderId="2"/>
    <xf numFmtId="4" fontId="25" fillId="41" borderId="2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8" fillId="42" borderId="15" applyNumberFormat="0" applyAlignment="0" applyProtection="0"/>
    <xf numFmtId="0" fontId="28" fillId="42" borderId="15" applyNumberFormat="0" applyAlignment="0" applyProtection="0"/>
    <xf numFmtId="0" fontId="28" fillId="42" borderId="15" applyNumberFormat="0" applyAlignment="0" applyProtection="0"/>
    <xf numFmtId="0" fontId="29" fillId="42" borderId="15" applyNumberFormat="0" applyAlignment="0" applyProtection="0"/>
    <xf numFmtId="1" fontId="30" fillId="0" borderId="0"/>
    <xf numFmtId="0" fontId="31" fillId="43" borderId="16" applyNumberFormat="0" applyAlignment="0" applyProtection="0"/>
    <xf numFmtId="0" fontId="32" fillId="43" borderId="16" applyNumberFormat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Border="0" applyAlignment="0" applyProtection="0"/>
    <xf numFmtId="166" fontId="34" fillId="0" borderId="0" applyFont="0" applyFill="0" applyBorder="0" applyAlignment="0" applyProtection="0"/>
    <xf numFmtId="167" fontId="34" fillId="44" borderId="0" applyNumberFormat="0" applyFon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6" fillId="44" borderId="0"/>
    <xf numFmtId="167" fontId="37" fillId="0" borderId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7" fontId="18" fillId="48" borderId="0" applyNumberFormat="0" applyFont="0" applyBorder="0" applyAlignment="0" applyProtection="0"/>
    <xf numFmtId="0" fontId="40" fillId="13" borderId="0" applyNumberFormat="0" applyBorder="0" applyAlignment="0" applyProtection="0"/>
    <xf numFmtId="0" fontId="41" fillId="13" borderId="0" applyNumberFormat="0" applyBorder="0" applyAlignment="0" applyProtection="0"/>
    <xf numFmtId="49" fontId="42" fillId="0" borderId="0" applyFill="0" applyBorder="0" applyAlignment="0" applyProtection="0">
      <alignment horizontal="left"/>
    </xf>
    <xf numFmtId="0" fontId="43" fillId="0" borderId="17" applyNumberFormat="0" applyFill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46" fillId="0" borderId="18" applyNumberFormat="0" applyFill="0" applyAlignment="0" applyProtection="0"/>
    <xf numFmtId="0" fontId="47" fillId="0" borderId="19" applyNumberFormat="0" applyFill="0" applyAlignment="0" applyProtection="0"/>
    <xf numFmtId="0" fontId="48" fillId="0" borderId="19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7" fontId="18" fillId="41" borderId="0" applyNumberFormat="0" applyFont="0" applyBorder="0" applyAlignment="0" applyProtection="0"/>
    <xf numFmtId="49" fontId="49" fillId="0" borderId="0" applyFill="0" applyBorder="0" applyAlignment="0" applyProtection="0"/>
    <xf numFmtId="0" fontId="50" fillId="0" borderId="0" applyFill="0" applyBorder="0" applyAlignment="0" applyProtection="0"/>
    <xf numFmtId="168" fontId="50" fillId="0" borderId="0" applyFill="0" applyBorder="0" applyAlignment="0" applyProtection="0"/>
    <xf numFmtId="169" fontId="51" fillId="0" borderId="0" applyFill="0" applyBorder="0" applyAlignment="0" applyProtection="0"/>
    <xf numFmtId="170" fontId="52" fillId="0" borderId="0" applyFill="0" applyBorder="0" applyAlignment="0" applyProtection="0"/>
    <xf numFmtId="171" fontId="52" fillId="0" borderId="0" applyFill="0" applyBorder="0" applyAlignment="0" applyProtection="0"/>
    <xf numFmtId="10" fontId="53" fillId="0" borderId="0"/>
    <xf numFmtId="0" fontId="54" fillId="16" borderId="15" applyNumberFormat="0" applyAlignment="0" applyProtection="0"/>
    <xf numFmtId="0" fontId="54" fillId="16" borderId="15" applyNumberFormat="0" applyAlignment="0" applyProtection="0"/>
    <xf numFmtId="0" fontId="54" fillId="16" borderId="15" applyNumberFormat="0" applyAlignment="0" applyProtection="0"/>
    <xf numFmtId="0" fontId="55" fillId="16" borderId="15" applyNumberFormat="0" applyAlignment="0" applyProtection="0"/>
    <xf numFmtId="172" fontId="37" fillId="48" borderId="0"/>
    <xf numFmtId="0" fontId="56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49" borderId="0" applyNumberFormat="0" applyBorder="0" applyAlignment="0" applyProtection="0"/>
    <xf numFmtId="0" fontId="59" fillId="49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34" fillId="0" borderId="0"/>
    <xf numFmtId="0" fontId="60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61" fillId="0" borderId="0"/>
    <xf numFmtId="0" fontId="34" fillId="0" borderId="0"/>
    <xf numFmtId="0" fontId="61" fillId="0" borderId="0"/>
    <xf numFmtId="0" fontId="2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2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61" fillId="0" borderId="0"/>
    <xf numFmtId="0" fontId="6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/>
    <xf numFmtId="0" fontId="2" fillId="0" borderId="0"/>
    <xf numFmtId="0" fontId="61" fillId="0" borderId="0"/>
    <xf numFmtId="0" fontId="6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1" fillId="0" borderId="0"/>
    <xf numFmtId="0" fontId="6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1" fillId="0" borderId="0"/>
    <xf numFmtId="0" fontId="6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1" fillId="0" borderId="0"/>
    <xf numFmtId="0" fontId="6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1" fillId="0" borderId="0"/>
    <xf numFmtId="0" fontId="66" fillId="0" borderId="0"/>
    <xf numFmtId="0" fontId="34" fillId="0" borderId="0"/>
    <xf numFmtId="0" fontId="15" fillId="0" borderId="0"/>
    <xf numFmtId="0" fontId="61" fillId="0" borderId="0"/>
    <xf numFmtId="0" fontId="6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1" fillId="0" borderId="0"/>
    <xf numFmtId="0" fontId="6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20" fillId="50" borderId="21" applyNumberFormat="0" applyFont="0" applyAlignment="0" applyProtection="0"/>
    <xf numFmtId="0" fontId="20" fillId="50" borderId="21" applyNumberFormat="0" applyFont="0" applyAlignment="0" applyProtection="0"/>
    <xf numFmtId="0" fontId="20" fillId="50" borderId="21" applyNumberFormat="0" applyFont="0" applyAlignment="0" applyProtection="0"/>
    <xf numFmtId="0" fontId="67" fillId="50" borderId="21" applyNumberFormat="0" applyFont="0" applyAlignment="0" applyProtection="0"/>
    <xf numFmtId="0" fontId="68" fillId="42" borderId="22" applyNumberFormat="0" applyAlignment="0" applyProtection="0"/>
    <xf numFmtId="0" fontId="68" fillId="42" borderId="22" applyNumberFormat="0" applyAlignment="0" applyProtection="0"/>
    <xf numFmtId="0" fontId="68" fillId="42" borderId="22" applyNumberFormat="0" applyAlignment="0" applyProtection="0"/>
    <xf numFmtId="0" fontId="69" fillId="42" borderId="22" applyNumberFormat="0" applyAlignment="0" applyProtection="0"/>
    <xf numFmtId="0" fontId="34" fillId="0" borderId="0"/>
    <xf numFmtId="0" fontId="34" fillId="0" borderId="0"/>
    <xf numFmtId="0" fontId="63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1" fillId="0" borderId="0" applyFont="0" applyFill="0" applyBorder="0" applyAlignment="0" applyProtection="0"/>
    <xf numFmtId="167" fontId="37" fillId="51" borderId="0" applyBorder="0" applyProtection="0"/>
    <xf numFmtId="0" fontId="70" fillId="0" borderId="0"/>
    <xf numFmtId="0" fontId="62" fillId="0" borderId="0"/>
    <xf numFmtId="4" fontId="71" fillId="0" borderId="0" applyNumberFormat="0" applyProtection="0"/>
    <xf numFmtId="0" fontId="62" fillId="0" borderId="0"/>
    <xf numFmtId="4" fontId="72" fillId="52" borderId="23" applyNumberFormat="0" applyProtection="0">
      <alignment vertical="center"/>
    </xf>
    <xf numFmtId="0" fontId="62" fillId="0" borderId="0"/>
    <xf numFmtId="4" fontId="71" fillId="0" borderId="0" applyNumberFormat="0" applyProtection="0">
      <alignment horizontal="left" wrapText="1" indent="1" shrinkToFit="1"/>
    </xf>
    <xf numFmtId="0" fontId="62" fillId="0" borderId="0"/>
    <xf numFmtId="0" fontId="73" fillId="52" borderId="23" applyNumberFormat="0" applyProtection="0">
      <alignment horizontal="left" vertical="top" indent="1"/>
    </xf>
    <xf numFmtId="0" fontId="62" fillId="0" borderId="0"/>
    <xf numFmtId="4" fontId="74" fillId="0" borderId="2" applyNumberFormat="0" applyProtection="0">
      <alignment horizontal="left" vertical="center" indent="1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4" fontId="75" fillId="53" borderId="0" applyNumberFormat="0" applyProtection="0">
      <alignment horizontal="left" vertical="center" indent="1"/>
    </xf>
    <xf numFmtId="0" fontId="62" fillId="0" borderId="0"/>
    <xf numFmtId="0" fontId="62" fillId="0" borderId="0"/>
    <xf numFmtId="0" fontId="62" fillId="0" borderId="0"/>
    <xf numFmtId="4" fontId="33" fillId="54" borderId="0" applyNumberFormat="0" applyProtection="0">
      <alignment horizontal="left" vertical="center" indent="1"/>
    </xf>
    <xf numFmtId="0" fontId="62" fillId="0" borderId="0"/>
    <xf numFmtId="0" fontId="18" fillId="0" borderId="0" applyNumberFormat="0" applyProtection="0">
      <alignment horizontal="left" wrapText="1" indent="1" shrinkToFit="1"/>
    </xf>
    <xf numFmtId="0" fontId="62" fillId="0" borderId="0"/>
    <xf numFmtId="0" fontId="34" fillId="53" borderId="23" applyNumberFormat="0" applyProtection="0">
      <alignment horizontal="left" vertical="top" indent="1"/>
    </xf>
    <xf numFmtId="0" fontId="62" fillId="0" borderId="0"/>
    <xf numFmtId="0" fontId="18" fillId="0" borderId="0" applyNumberFormat="0" applyProtection="0">
      <alignment horizontal="left" wrapText="1" indent="1" shrinkToFit="1"/>
    </xf>
    <xf numFmtId="0" fontId="62" fillId="0" borderId="0"/>
    <xf numFmtId="0" fontId="34" fillId="54" borderId="23" applyNumberFormat="0" applyProtection="0">
      <alignment horizontal="left" vertical="top" indent="1"/>
    </xf>
    <xf numFmtId="0" fontId="62" fillId="0" borderId="0"/>
    <xf numFmtId="0" fontId="18" fillId="0" borderId="0" applyNumberFormat="0" applyProtection="0">
      <alignment horizontal="left" wrapText="1" indent="1" shrinkToFit="1"/>
    </xf>
    <xf numFmtId="0" fontId="62" fillId="0" borderId="0"/>
    <xf numFmtId="0" fontId="34" fillId="55" borderId="23" applyNumberFormat="0" applyProtection="0">
      <alignment horizontal="left" vertical="top" indent="1"/>
    </xf>
    <xf numFmtId="0" fontId="62" fillId="0" borderId="0"/>
    <xf numFmtId="0" fontId="18" fillId="0" borderId="0" applyNumberFormat="0" applyProtection="0">
      <alignment horizontal="left" wrapText="1" indent="1" shrinkToFit="1"/>
    </xf>
    <xf numFmtId="0" fontId="62" fillId="0" borderId="0"/>
    <xf numFmtId="0" fontId="34" fillId="44" borderId="23" applyNumberFormat="0" applyProtection="0">
      <alignment horizontal="left" vertical="top" indent="1"/>
    </xf>
    <xf numFmtId="0" fontId="62" fillId="0" borderId="0"/>
    <xf numFmtId="0" fontId="34" fillId="56" borderId="2" applyNumberFormat="0">
      <protection locked="0"/>
    </xf>
    <xf numFmtId="0" fontId="76" fillId="57" borderId="24" applyBorder="0"/>
    <xf numFmtId="0" fontId="62" fillId="0" borderId="0"/>
    <xf numFmtId="4" fontId="77" fillId="48" borderId="23" applyNumberFormat="0" applyProtection="0">
      <alignment vertical="center"/>
    </xf>
    <xf numFmtId="0" fontId="62" fillId="0" borderId="0"/>
    <xf numFmtId="4" fontId="78" fillId="48" borderId="23" applyNumberFormat="0" applyProtection="0">
      <alignment vertical="center"/>
    </xf>
    <xf numFmtId="0" fontId="62" fillId="0" borderId="0"/>
    <xf numFmtId="4" fontId="77" fillId="0" borderId="2" applyNumberFormat="0" applyProtection="0">
      <alignment horizontal="left" vertical="center" indent="1"/>
    </xf>
    <xf numFmtId="0" fontId="62" fillId="0" borderId="0"/>
    <xf numFmtId="0" fontId="77" fillId="48" borderId="23" applyNumberFormat="0" applyProtection="0">
      <alignment horizontal="left" vertical="top" indent="1"/>
    </xf>
    <xf numFmtId="4" fontId="74" fillId="0" borderId="2" applyNumberFormat="0" applyProtection="0">
      <alignment horizontal="right" vertical="center"/>
    </xf>
    <xf numFmtId="4" fontId="74" fillId="0" borderId="2" applyNumberFormat="0" applyProtection="0">
      <alignment horizontal="right" vertical="center"/>
    </xf>
    <xf numFmtId="4" fontId="74" fillId="0" borderId="0" applyNumberFormat="0" applyProtection="0">
      <alignment horizontal="right"/>
    </xf>
    <xf numFmtId="0" fontId="62" fillId="0" borderId="0"/>
    <xf numFmtId="4" fontId="74" fillId="0" borderId="2" applyNumberFormat="0" applyProtection="0">
      <alignment horizontal="left" wrapText="1" indent="1"/>
    </xf>
    <xf numFmtId="4" fontId="74" fillId="0" borderId="2" applyNumberFormat="0" applyProtection="0">
      <alignment horizontal="left" wrapText="1" indent="1"/>
    </xf>
    <xf numFmtId="4" fontId="74" fillId="0" borderId="0" applyNumberFormat="0" applyProtection="0">
      <alignment horizontal="left" wrapText="1" indent="1"/>
    </xf>
    <xf numFmtId="4" fontId="74" fillId="0" borderId="0" applyNumberFormat="0" applyProtection="0">
      <alignment horizontal="left" wrapText="1" indent="1" shrinkToFit="1"/>
    </xf>
    <xf numFmtId="0" fontId="62" fillId="0" borderId="0"/>
    <xf numFmtId="0" fontId="77" fillId="54" borderId="23" applyNumberFormat="0" applyProtection="0">
      <alignment horizontal="left" vertical="top" indent="1"/>
    </xf>
    <xf numFmtId="0" fontId="62" fillId="0" borderId="0"/>
    <xf numFmtId="0" fontId="79" fillId="58" borderId="2"/>
    <xf numFmtId="0" fontId="62" fillId="0" borderId="0"/>
    <xf numFmtId="0" fontId="80" fillId="0" borderId="0" applyNumberFormat="0" applyFill="0" applyBorder="0" applyProtection="0">
      <alignment horizontal="centerContinuous"/>
    </xf>
    <xf numFmtId="0" fontId="81" fillId="0" borderId="0" applyNumberFormat="0" applyFill="0" applyBorder="0" applyAlignment="0" applyProtection="0"/>
    <xf numFmtId="0" fontId="21" fillId="0" borderId="0"/>
    <xf numFmtId="0" fontId="21" fillId="0" borderId="0"/>
    <xf numFmtId="0" fontId="14" fillId="0" borderId="0" applyNumberFormat="0" applyFill="0" applyBorder="0" applyAlignment="0" applyProtection="0"/>
    <xf numFmtId="43" fontId="34" fillId="0" borderId="0" applyBorder="0" applyAlignment="0" applyProtection="0"/>
    <xf numFmtId="0" fontId="82" fillId="0" borderId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35" fillId="0" borderId="25" applyNumberFormat="0" applyFill="0" applyAlignment="0" applyProtection="0"/>
    <xf numFmtId="167" fontId="86" fillId="59" borderId="0" applyBorder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" fontId="34" fillId="60" borderId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25" fillId="40" borderId="26"/>
    <xf numFmtId="4" fontId="25" fillId="41" borderId="26"/>
    <xf numFmtId="0" fontId="28" fillId="42" borderId="27" applyNumberFormat="0" applyAlignment="0" applyProtection="0"/>
    <xf numFmtId="0" fontId="28" fillId="42" borderId="27" applyNumberFormat="0" applyAlignment="0" applyProtection="0"/>
    <xf numFmtId="0" fontId="28" fillId="42" borderId="27" applyNumberFormat="0" applyAlignment="0" applyProtection="0"/>
    <xf numFmtId="0" fontId="29" fillId="42" borderId="27" applyNumberFormat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Border="0" applyAlignment="0" applyProtection="0"/>
    <xf numFmtId="0" fontId="54" fillId="16" borderId="27" applyNumberFormat="0" applyAlignment="0" applyProtection="0"/>
    <xf numFmtId="0" fontId="54" fillId="16" borderId="27" applyNumberFormat="0" applyAlignment="0" applyProtection="0"/>
    <xf numFmtId="0" fontId="54" fillId="16" borderId="27" applyNumberFormat="0" applyAlignment="0" applyProtection="0"/>
    <xf numFmtId="0" fontId="55" fillId="16" borderId="27" applyNumberFormat="0" applyAlignment="0" applyProtection="0"/>
    <xf numFmtId="0" fontId="20" fillId="50" borderId="28" applyNumberFormat="0" applyFont="0" applyAlignment="0" applyProtection="0"/>
    <xf numFmtId="0" fontId="20" fillId="50" borderId="28" applyNumberFormat="0" applyFont="0" applyAlignment="0" applyProtection="0"/>
    <xf numFmtId="0" fontId="20" fillId="50" borderId="28" applyNumberFormat="0" applyFont="0" applyAlignment="0" applyProtection="0"/>
    <xf numFmtId="0" fontId="67" fillId="50" borderId="28" applyNumberFormat="0" applyFont="0" applyAlignment="0" applyProtection="0"/>
    <xf numFmtId="0" fontId="68" fillId="42" borderId="29" applyNumberFormat="0" applyAlignment="0" applyProtection="0"/>
    <xf numFmtId="0" fontId="68" fillId="42" borderId="29" applyNumberFormat="0" applyAlignment="0" applyProtection="0"/>
    <xf numFmtId="0" fontId="68" fillId="42" borderId="29" applyNumberFormat="0" applyAlignment="0" applyProtection="0"/>
    <xf numFmtId="0" fontId="69" fillId="42" borderId="29" applyNumberFormat="0" applyAlignment="0" applyProtection="0"/>
    <xf numFmtId="4" fontId="72" fillId="52" borderId="30" applyNumberFormat="0" applyProtection="0">
      <alignment vertical="center"/>
    </xf>
    <xf numFmtId="0" fontId="73" fillId="52" borderId="30" applyNumberFormat="0" applyProtection="0">
      <alignment horizontal="left" vertical="top" indent="1"/>
    </xf>
    <xf numFmtId="4" fontId="74" fillId="0" borderId="26" applyNumberFormat="0" applyProtection="0">
      <alignment horizontal="left" vertical="center" indent="1"/>
    </xf>
    <xf numFmtId="0" fontId="34" fillId="53" borderId="30" applyNumberFormat="0" applyProtection="0">
      <alignment horizontal="left" vertical="top" indent="1"/>
    </xf>
    <xf numFmtId="0" fontId="34" fillId="54" borderId="30" applyNumberFormat="0" applyProtection="0">
      <alignment horizontal="left" vertical="top" indent="1"/>
    </xf>
    <xf numFmtId="0" fontId="34" fillId="55" borderId="30" applyNumberFormat="0" applyProtection="0">
      <alignment horizontal="left" vertical="top" indent="1"/>
    </xf>
    <xf numFmtId="0" fontId="34" fillId="44" borderId="30" applyNumberFormat="0" applyProtection="0">
      <alignment horizontal="left" vertical="top" indent="1"/>
    </xf>
    <xf numFmtId="0" fontId="34" fillId="56" borderId="26" applyNumberFormat="0">
      <protection locked="0"/>
    </xf>
    <xf numFmtId="0" fontId="76" fillId="57" borderId="31" applyBorder="0"/>
    <xf numFmtId="4" fontId="77" fillId="48" borderId="30" applyNumberFormat="0" applyProtection="0">
      <alignment vertical="center"/>
    </xf>
    <xf numFmtId="4" fontId="78" fillId="48" borderId="30" applyNumberFormat="0" applyProtection="0">
      <alignment vertical="center"/>
    </xf>
    <xf numFmtId="4" fontId="77" fillId="0" borderId="26" applyNumberFormat="0" applyProtection="0">
      <alignment horizontal="left" vertical="center" indent="1"/>
    </xf>
    <xf numFmtId="0" fontId="77" fillId="48" borderId="30" applyNumberFormat="0" applyProtection="0">
      <alignment horizontal="left" vertical="top" indent="1"/>
    </xf>
    <xf numFmtId="4" fontId="74" fillId="0" borderId="26" applyNumberFormat="0" applyProtection="0">
      <alignment horizontal="right" vertical="center"/>
    </xf>
    <xf numFmtId="4" fontId="74" fillId="0" borderId="26" applyNumberFormat="0" applyProtection="0">
      <alignment horizontal="right" vertical="center"/>
    </xf>
    <xf numFmtId="4" fontId="74" fillId="0" borderId="26" applyNumberFormat="0" applyProtection="0">
      <alignment horizontal="left" wrapText="1" indent="1"/>
    </xf>
    <xf numFmtId="4" fontId="74" fillId="0" borderId="26" applyNumberFormat="0" applyProtection="0">
      <alignment horizontal="left" wrapText="1" indent="1"/>
    </xf>
    <xf numFmtId="0" fontId="77" fillId="54" borderId="30" applyNumberFormat="0" applyProtection="0">
      <alignment horizontal="left" vertical="top" indent="1"/>
    </xf>
    <xf numFmtId="0" fontId="79" fillId="58" borderId="26"/>
    <xf numFmtId="43" fontId="34" fillId="0" borderId="0" applyBorder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35" fillId="0" borderId="32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1" fillId="12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18" borderId="0" applyNumberFormat="0" applyBorder="0" applyAlignment="0" applyProtection="0"/>
    <xf numFmtId="0" fontId="95" fillId="18" borderId="0" applyNumberFormat="0" applyBorder="0" applyAlignment="0" applyProtection="0"/>
    <xf numFmtId="0" fontId="95" fillId="19" borderId="0" applyNumberFormat="0" applyBorder="0" applyAlignment="0" applyProtection="0"/>
    <xf numFmtId="0" fontId="95" fillId="19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7" fillId="42" borderId="27" applyNumberFormat="0" applyAlignment="0" applyProtection="0"/>
    <xf numFmtId="0" fontId="97" fillId="42" borderId="27" applyNumberFormat="0" applyAlignment="0" applyProtection="0"/>
    <xf numFmtId="0" fontId="98" fillId="43" borderId="16" applyNumberFormat="0" applyAlignment="0" applyProtection="0"/>
    <xf numFmtId="0" fontId="98" fillId="43" borderId="16" applyNumberFormat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3" fillId="0" borderId="19" applyNumberFormat="0" applyFill="0" applyAlignment="0" applyProtection="0"/>
    <xf numFmtId="0" fontId="103" fillId="0" borderId="19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16" borderId="27" applyNumberFormat="0" applyAlignment="0" applyProtection="0"/>
    <xf numFmtId="0" fontId="104" fillId="16" borderId="27" applyNumberFormat="0" applyAlignment="0" applyProtection="0"/>
    <xf numFmtId="0" fontId="105" fillId="0" borderId="20" applyNumberFormat="0" applyFill="0" applyAlignment="0" applyProtection="0"/>
    <xf numFmtId="0" fontId="105" fillId="0" borderId="20" applyNumberFormat="0" applyFill="0" applyAlignment="0" applyProtection="0"/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50" borderId="28" applyNumberFormat="0" applyFont="0" applyAlignment="0" applyProtection="0"/>
    <xf numFmtId="0" fontId="34" fillId="50" borderId="28" applyNumberFormat="0" applyFont="0" applyAlignment="0" applyProtection="0"/>
    <xf numFmtId="0" fontId="34" fillId="50" borderId="28" applyNumberFormat="0" applyFont="0" applyAlignment="0" applyProtection="0"/>
    <xf numFmtId="0" fontId="34" fillId="50" borderId="28" applyNumberFormat="0" applyFont="0" applyAlignment="0" applyProtection="0"/>
    <xf numFmtId="0" fontId="107" fillId="42" borderId="29" applyNumberFormat="0" applyAlignment="0" applyProtection="0"/>
    <xf numFmtId="0" fontId="107" fillId="42" borderId="29" applyNumberFormat="0" applyAlignment="0" applyProtection="0"/>
    <xf numFmtId="0" fontId="34" fillId="0" borderId="0"/>
    <xf numFmtId="0" fontId="83" fillId="0" borderId="0" applyNumberFormat="0" applyFill="0" applyBorder="0" applyAlignment="0" applyProtection="0"/>
    <xf numFmtId="0" fontId="108" fillId="0" borderId="32" applyNumberFormat="0" applyFill="0" applyAlignment="0" applyProtection="0"/>
    <xf numFmtId="0" fontId="108" fillId="0" borderId="32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8" fillId="42" borderId="34" applyNumberFormat="0" applyAlignment="0" applyProtection="0"/>
    <xf numFmtId="0" fontId="28" fillId="42" borderId="34" applyNumberFormat="0" applyAlignment="0" applyProtection="0"/>
    <xf numFmtId="0" fontId="28" fillId="42" borderId="34" applyNumberFormat="0" applyAlignment="0" applyProtection="0"/>
    <xf numFmtId="0" fontId="29" fillId="42" borderId="34" applyNumberFormat="0" applyAlignment="0" applyProtection="0"/>
    <xf numFmtId="0" fontId="54" fillId="16" borderId="34" applyNumberFormat="0" applyAlignment="0" applyProtection="0"/>
    <xf numFmtId="0" fontId="54" fillId="16" borderId="34" applyNumberFormat="0" applyAlignment="0" applyProtection="0"/>
    <xf numFmtId="0" fontId="54" fillId="16" borderId="34" applyNumberFormat="0" applyAlignment="0" applyProtection="0"/>
    <xf numFmtId="0" fontId="55" fillId="16" borderId="34" applyNumberFormat="0" applyAlignment="0" applyProtection="0"/>
    <xf numFmtId="0" fontId="20" fillId="50" borderId="35" applyNumberFormat="0" applyFont="0" applyAlignment="0" applyProtection="0"/>
    <xf numFmtId="0" fontId="20" fillId="50" borderId="35" applyNumberFormat="0" applyFont="0" applyAlignment="0" applyProtection="0"/>
    <xf numFmtId="0" fontId="20" fillId="50" borderId="35" applyNumberFormat="0" applyFont="0" applyAlignment="0" applyProtection="0"/>
    <xf numFmtId="0" fontId="67" fillId="50" borderId="35" applyNumberFormat="0" applyFont="0" applyAlignment="0" applyProtection="0"/>
    <xf numFmtId="0" fontId="68" fillId="42" borderId="36" applyNumberFormat="0" applyAlignment="0" applyProtection="0"/>
    <xf numFmtId="0" fontId="68" fillId="42" borderId="36" applyNumberFormat="0" applyAlignment="0" applyProtection="0"/>
    <xf numFmtId="0" fontId="68" fillId="42" borderId="36" applyNumberFormat="0" applyAlignment="0" applyProtection="0"/>
    <xf numFmtId="0" fontId="69" fillId="42" borderId="36" applyNumberFormat="0" applyAlignment="0" applyProtection="0"/>
    <xf numFmtId="4" fontId="72" fillId="52" borderId="37" applyNumberFormat="0" applyProtection="0">
      <alignment vertical="center"/>
    </xf>
    <xf numFmtId="0" fontId="73" fillId="52" borderId="37" applyNumberFormat="0" applyProtection="0">
      <alignment horizontal="left" vertical="top" indent="1"/>
    </xf>
    <xf numFmtId="0" fontId="34" fillId="53" borderId="37" applyNumberFormat="0" applyProtection="0">
      <alignment horizontal="left" vertical="top" indent="1"/>
    </xf>
    <xf numFmtId="0" fontId="34" fillId="54" borderId="37" applyNumberFormat="0" applyProtection="0">
      <alignment horizontal="left" vertical="top" indent="1"/>
    </xf>
    <xf numFmtId="0" fontId="34" fillId="55" borderId="37" applyNumberFormat="0" applyProtection="0">
      <alignment horizontal="left" vertical="top" indent="1"/>
    </xf>
    <xf numFmtId="0" fontId="34" fillId="44" borderId="37" applyNumberFormat="0" applyProtection="0">
      <alignment horizontal="left" vertical="top" indent="1"/>
    </xf>
    <xf numFmtId="0" fontId="76" fillId="57" borderId="38" applyBorder="0"/>
    <xf numFmtId="4" fontId="77" fillId="48" borderId="37" applyNumberFormat="0" applyProtection="0">
      <alignment vertical="center"/>
    </xf>
    <xf numFmtId="4" fontId="78" fillId="48" borderId="37" applyNumberFormat="0" applyProtection="0">
      <alignment vertical="center"/>
    </xf>
    <xf numFmtId="0" fontId="77" fillId="48" borderId="37" applyNumberFormat="0" applyProtection="0">
      <alignment horizontal="left" vertical="top" indent="1"/>
    </xf>
    <xf numFmtId="0" fontId="77" fillId="54" borderId="37" applyNumberFormat="0" applyProtection="0">
      <alignment horizontal="left" vertical="top" indent="1"/>
    </xf>
    <xf numFmtId="0" fontId="85" fillId="0" borderId="39" applyNumberFormat="0" applyFill="0" applyAlignment="0" applyProtection="0"/>
    <xf numFmtId="0" fontId="85" fillId="0" borderId="39" applyNumberFormat="0" applyFill="0" applyAlignment="0" applyProtection="0"/>
    <xf numFmtId="0" fontId="85" fillId="0" borderId="39" applyNumberFormat="0" applyFill="0" applyAlignment="0" applyProtection="0"/>
    <xf numFmtId="0" fontId="35" fillId="0" borderId="39" applyNumberFormat="0" applyFill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Border="0" applyAlignment="0" applyProtection="0"/>
    <xf numFmtId="43" fontId="34" fillId="0" borderId="0" applyBorder="0" applyAlignment="0" applyProtection="0"/>
    <xf numFmtId="0" fontId="28" fillId="42" borderId="42" applyNumberFormat="0" applyAlignment="0" applyProtection="0"/>
    <xf numFmtId="0" fontId="28" fillId="42" borderId="42" applyNumberFormat="0" applyAlignment="0" applyProtection="0"/>
    <xf numFmtId="0" fontId="28" fillId="42" borderId="42" applyNumberFormat="0" applyAlignment="0" applyProtection="0"/>
    <xf numFmtId="0" fontId="29" fillId="42" borderId="42" applyNumberFormat="0" applyAlignment="0" applyProtection="0"/>
    <xf numFmtId="0" fontId="54" fillId="16" borderId="42" applyNumberFormat="0" applyAlignment="0" applyProtection="0"/>
    <xf numFmtId="0" fontId="54" fillId="16" borderId="42" applyNumberFormat="0" applyAlignment="0" applyProtection="0"/>
    <xf numFmtId="0" fontId="54" fillId="16" borderId="42" applyNumberFormat="0" applyAlignment="0" applyProtection="0"/>
    <xf numFmtId="0" fontId="55" fillId="16" borderId="42" applyNumberFormat="0" applyAlignment="0" applyProtection="0"/>
    <xf numFmtId="0" fontId="20" fillId="50" borderId="43" applyNumberFormat="0" applyFont="0" applyAlignment="0" applyProtection="0"/>
    <xf numFmtId="0" fontId="20" fillId="50" borderId="43" applyNumberFormat="0" applyFont="0" applyAlignment="0" applyProtection="0"/>
    <xf numFmtId="0" fontId="20" fillId="50" borderId="43" applyNumberFormat="0" applyFont="0" applyAlignment="0" applyProtection="0"/>
    <xf numFmtId="0" fontId="67" fillId="50" borderId="43" applyNumberFormat="0" applyFont="0" applyAlignment="0" applyProtection="0"/>
    <xf numFmtId="0" fontId="68" fillId="42" borderId="44" applyNumberFormat="0" applyAlignment="0" applyProtection="0"/>
    <xf numFmtId="0" fontId="68" fillId="42" borderId="44" applyNumberFormat="0" applyAlignment="0" applyProtection="0"/>
    <xf numFmtId="0" fontId="68" fillId="42" borderId="44" applyNumberFormat="0" applyAlignment="0" applyProtection="0"/>
    <xf numFmtId="0" fontId="69" fillId="42" borderId="44" applyNumberFormat="0" applyAlignment="0" applyProtection="0"/>
    <xf numFmtId="4" fontId="72" fillId="52" borderId="45" applyNumberFormat="0" applyProtection="0">
      <alignment vertical="center"/>
    </xf>
    <xf numFmtId="0" fontId="73" fillId="52" borderId="45" applyNumberFormat="0" applyProtection="0">
      <alignment horizontal="left" vertical="top" indent="1"/>
    </xf>
    <xf numFmtId="0" fontId="34" fillId="53" borderId="45" applyNumberFormat="0" applyProtection="0">
      <alignment horizontal="left" vertical="top" indent="1"/>
    </xf>
    <xf numFmtId="0" fontId="34" fillId="54" borderId="45" applyNumberFormat="0" applyProtection="0">
      <alignment horizontal="left" vertical="top" indent="1"/>
    </xf>
    <xf numFmtId="0" fontId="34" fillId="55" borderId="45" applyNumberFormat="0" applyProtection="0">
      <alignment horizontal="left" vertical="top" indent="1"/>
    </xf>
    <xf numFmtId="0" fontId="34" fillId="44" borderId="45" applyNumberFormat="0" applyProtection="0">
      <alignment horizontal="left" vertical="top" indent="1"/>
    </xf>
    <xf numFmtId="0" fontId="76" fillId="57" borderId="46" applyBorder="0"/>
    <xf numFmtId="4" fontId="77" fillId="48" borderId="45" applyNumberFormat="0" applyProtection="0">
      <alignment vertical="center"/>
    </xf>
    <xf numFmtId="4" fontId="78" fillId="48" borderId="45" applyNumberFormat="0" applyProtection="0">
      <alignment vertical="center"/>
    </xf>
    <xf numFmtId="0" fontId="77" fillId="48" borderId="45" applyNumberFormat="0" applyProtection="0">
      <alignment horizontal="left" vertical="top" indent="1"/>
    </xf>
    <xf numFmtId="0" fontId="77" fillId="54" borderId="45" applyNumberFormat="0" applyProtection="0">
      <alignment horizontal="left" vertical="top" indent="1"/>
    </xf>
    <xf numFmtId="0" fontId="85" fillId="0" borderId="47" applyNumberFormat="0" applyFill="0" applyAlignment="0" applyProtection="0"/>
    <xf numFmtId="0" fontId="85" fillId="0" borderId="47" applyNumberFormat="0" applyFill="0" applyAlignment="0" applyProtection="0"/>
    <xf numFmtId="0" fontId="85" fillId="0" borderId="47" applyNumberFormat="0" applyFill="0" applyAlignment="0" applyProtection="0"/>
    <xf numFmtId="0" fontId="35" fillId="0" borderId="47" applyNumberFormat="0" applyFill="0" applyAlignment="0" applyProtection="0"/>
    <xf numFmtId="4" fontId="25" fillId="40" borderId="48"/>
    <xf numFmtId="4" fontId="25" fillId="41" borderId="48"/>
    <xf numFmtId="0" fontId="28" fillId="42" borderId="42" applyNumberFormat="0" applyAlignment="0" applyProtection="0"/>
    <xf numFmtId="0" fontId="28" fillId="42" borderId="42" applyNumberFormat="0" applyAlignment="0" applyProtection="0"/>
    <xf numFmtId="0" fontId="28" fillId="42" borderId="42" applyNumberFormat="0" applyAlignment="0" applyProtection="0"/>
    <xf numFmtId="0" fontId="29" fillId="42" borderId="42" applyNumberFormat="0" applyAlignment="0" applyProtection="0"/>
    <xf numFmtId="0" fontId="54" fillId="16" borderId="42" applyNumberFormat="0" applyAlignment="0" applyProtection="0"/>
    <xf numFmtId="0" fontId="54" fillId="16" borderId="42" applyNumberFormat="0" applyAlignment="0" applyProtection="0"/>
    <xf numFmtId="0" fontId="54" fillId="16" borderId="42" applyNumberFormat="0" applyAlignment="0" applyProtection="0"/>
    <xf numFmtId="0" fontId="55" fillId="16" borderId="42" applyNumberFormat="0" applyAlignment="0" applyProtection="0"/>
    <xf numFmtId="0" fontId="20" fillId="50" borderId="43" applyNumberFormat="0" applyFont="0" applyAlignment="0" applyProtection="0"/>
    <xf numFmtId="0" fontId="20" fillId="50" borderId="43" applyNumberFormat="0" applyFont="0" applyAlignment="0" applyProtection="0"/>
    <xf numFmtId="0" fontId="20" fillId="50" borderId="43" applyNumberFormat="0" applyFont="0" applyAlignment="0" applyProtection="0"/>
    <xf numFmtId="0" fontId="67" fillId="50" borderId="43" applyNumberFormat="0" applyFont="0" applyAlignment="0" applyProtection="0"/>
    <xf numFmtId="0" fontId="68" fillId="42" borderId="44" applyNumberFormat="0" applyAlignment="0" applyProtection="0"/>
    <xf numFmtId="0" fontId="68" fillId="42" borderId="44" applyNumberFormat="0" applyAlignment="0" applyProtection="0"/>
    <xf numFmtId="0" fontId="68" fillId="42" borderId="44" applyNumberFormat="0" applyAlignment="0" applyProtection="0"/>
    <xf numFmtId="0" fontId="69" fillId="42" borderId="44" applyNumberFormat="0" applyAlignment="0" applyProtection="0"/>
    <xf numFmtId="4" fontId="72" fillId="52" borderId="45" applyNumberFormat="0" applyProtection="0">
      <alignment vertical="center"/>
    </xf>
    <xf numFmtId="0" fontId="73" fillId="52" borderId="45" applyNumberFormat="0" applyProtection="0">
      <alignment horizontal="left" vertical="top" indent="1"/>
    </xf>
    <xf numFmtId="4" fontId="74" fillId="0" borderId="48" applyNumberFormat="0" applyProtection="0">
      <alignment horizontal="left" vertical="center" indent="1"/>
    </xf>
    <xf numFmtId="0" fontId="34" fillId="53" borderId="45" applyNumberFormat="0" applyProtection="0">
      <alignment horizontal="left" vertical="top" indent="1"/>
    </xf>
    <xf numFmtId="0" fontId="34" fillId="54" borderId="45" applyNumberFormat="0" applyProtection="0">
      <alignment horizontal="left" vertical="top" indent="1"/>
    </xf>
    <xf numFmtId="0" fontId="34" fillId="55" borderId="45" applyNumberFormat="0" applyProtection="0">
      <alignment horizontal="left" vertical="top" indent="1"/>
    </xf>
    <xf numFmtId="0" fontId="34" fillId="44" borderId="45" applyNumberFormat="0" applyProtection="0">
      <alignment horizontal="left" vertical="top" indent="1"/>
    </xf>
    <xf numFmtId="0" fontId="34" fillId="56" borderId="48" applyNumberFormat="0">
      <protection locked="0"/>
    </xf>
    <xf numFmtId="0" fontId="76" fillId="57" borderId="46" applyBorder="0"/>
    <xf numFmtId="4" fontId="77" fillId="48" borderId="45" applyNumberFormat="0" applyProtection="0">
      <alignment vertical="center"/>
    </xf>
    <xf numFmtId="4" fontId="78" fillId="48" borderId="45" applyNumberFormat="0" applyProtection="0">
      <alignment vertical="center"/>
    </xf>
    <xf numFmtId="4" fontId="77" fillId="0" borderId="48" applyNumberFormat="0" applyProtection="0">
      <alignment horizontal="left" vertical="center" indent="1"/>
    </xf>
    <xf numFmtId="0" fontId="77" fillId="48" borderId="45" applyNumberFormat="0" applyProtection="0">
      <alignment horizontal="left" vertical="top" indent="1"/>
    </xf>
    <xf numFmtId="4" fontId="74" fillId="0" borderId="48" applyNumberFormat="0" applyProtection="0">
      <alignment horizontal="right" vertical="center"/>
    </xf>
    <xf numFmtId="4" fontId="74" fillId="0" borderId="48" applyNumberFormat="0" applyProtection="0">
      <alignment horizontal="right" vertical="center"/>
    </xf>
    <xf numFmtId="4" fontId="74" fillId="0" borderId="48" applyNumberFormat="0" applyProtection="0">
      <alignment horizontal="left" wrapText="1" indent="1"/>
    </xf>
    <xf numFmtId="4" fontId="74" fillId="0" borderId="48" applyNumberFormat="0" applyProtection="0">
      <alignment horizontal="left" wrapText="1" indent="1"/>
    </xf>
    <xf numFmtId="0" fontId="77" fillId="54" borderId="45" applyNumberFormat="0" applyProtection="0">
      <alignment horizontal="left" vertical="top" indent="1"/>
    </xf>
    <xf numFmtId="0" fontId="79" fillId="58" borderId="48"/>
    <xf numFmtId="0" fontId="85" fillId="0" borderId="47" applyNumberFormat="0" applyFill="0" applyAlignment="0" applyProtection="0"/>
    <xf numFmtId="0" fontId="85" fillId="0" borderId="47" applyNumberFormat="0" applyFill="0" applyAlignment="0" applyProtection="0"/>
    <xf numFmtId="0" fontId="85" fillId="0" borderId="47" applyNumberFormat="0" applyFill="0" applyAlignment="0" applyProtection="0"/>
    <xf numFmtId="0" fontId="35" fillId="0" borderId="47" applyNumberFormat="0" applyFill="0" applyAlignment="0" applyProtection="0"/>
    <xf numFmtId="0" fontId="97" fillId="42" borderId="42" applyNumberFormat="0" applyAlignment="0" applyProtection="0"/>
    <xf numFmtId="0" fontId="97" fillId="42" borderId="42" applyNumberFormat="0" applyAlignment="0" applyProtection="0"/>
    <xf numFmtId="0" fontId="104" fillId="16" borderId="42" applyNumberFormat="0" applyAlignment="0" applyProtection="0"/>
    <xf numFmtId="0" fontId="104" fillId="16" borderId="42" applyNumberFormat="0" applyAlignment="0" applyProtection="0"/>
    <xf numFmtId="0" fontId="34" fillId="50" borderId="43" applyNumberFormat="0" applyFont="0" applyAlignment="0" applyProtection="0"/>
    <xf numFmtId="0" fontId="34" fillId="50" borderId="43" applyNumberFormat="0" applyFont="0" applyAlignment="0" applyProtection="0"/>
    <xf numFmtId="0" fontId="34" fillId="50" borderId="43" applyNumberFormat="0" applyFont="0" applyAlignment="0" applyProtection="0"/>
    <xf numFmtId="0" fontId="34" fillId="50" borderId="43" applyNumberFormat="0" applyFont="0" applyAlignment="0" applyProtection="0"/>
    <xf numFmtId="0" fontId="107" fillId="42" borderId="44" applyNumberFormat="0" applyAlignment="0" applyProtection="0"/>
    <xf numFmtId="0" fontId="107" fillId="42" borderId="44" applyNumberFormat="0" applyAlignment="0" applyProtection="0"/>
    <xf numFmtId="0" fontId="108" fillId="0" borderId="47" applyNumberFormat="0" applyFill="0" applyAlignment="0" applyProtection="0"/>
    <xf numFmtId="0" fontId="108" fillId="0" borderId="47" applyNumberFormat="0" applyFill="0" applyAlignment="0" applyProtection="0"/>
    <xf numFmtId="0" fontId="28" fillId="42" borderId="42" applyNumberFormat="0" applyAlignment="0" applyProtection="0"/>
    <xf numFmtId="0" fontId="28" fillId="42" borderId="42" applyNumberFormat="0" applyAlignment="0" applyProtection="0"/>
    <xf numFmtId="0" fontId="28" fillId="42" borderId="42" applyNumberFormat="0" applyAlignment="0" applyProtection="0"/>
    <xf numFmtId="0" fontId="29" fillId="42" borderId="42" applyNumberFormat="0" applyAlignment="0" applyProtection="0"/>
    <xf numFmtId="0" fontId="54" fillId="16" borderId="42" applyNumberFormat="0" applyAlignment="0" applyProtection="0"/>
    <xf numFmtId="0" fontId="54" fillId="16" borderId="42" applyNumberFormat="0" applyAlignment="0" applyProtection="0"/>
    <xf numFmtId="0" fontId="54" fillId="16" borderId="42" applyNumberFormat="0" applyAlignment="0" applyProtection="0"/>
    <xf numFmtId="0" fontId="55" fillId="16" borderId="42" applyNumberFormat="0" applyAlignment="0" applyProtection="0"/>
    <xf numFmtId="0" fontId="20" fillId="50" borderId="43" applyNumberFormat="0" applyFont="0" applyAlignment="0" applyProtection="0"/>
    <xf numFmtId="0" fontId="20" fillId="50" borderId="43" applyNumberFormat="0" applyFont="0" applyAlignment="0" applyProtection="0"/>
    <xf numFmtId="0" fontId="20" fillId="50" borderId="43" applyNumberFormat="0" applyFont="0" applyAlignment="0" applyProtection="0"/>
    <xf numFmtId="0" fontId="67" fillId="50" borderId="43" applyNumberFormat="0" applyFont="0" applyAlignment="0" applyProtection="0"/>
    <xf numFmtId="0" fontId="68" fillId="42" borderId="44" applyNumberFormat="0" applyAlignment="0" applyProtection="0"/>
    <xf numFmtId="0" fontId="68" fillId="42" borderId="44" applyNumberFormat="0" applyAlignment="0" applyProtection="0"/>
    <xf numFmtId="0" fontId="68" fillId="42" borderId="44" applyNumberFormat="0" applyAlignment="0" applyProtection="0"/>
    <xf numFmtId="0" fontId="69" fillId="42" borderId="44" applyNumberFormat="0" applyAlignment="0" applyProtection="0"/>
    <xf numFmtId="4" fontId="72" fillId="52" borderId="45" applyNumberFormat="0" applyProtection="0">
      <alignment vertical="center"/>
    </xf>
    <xf numFmtId="0" fontId="73" fillId="52" borderId="45" applyNumberFormat="0" applyProtection="0">
      <alignment horizontal="left" vertical="top" indent="1"/>
    </xf>
    <xf numFmtId="0" fontId="34" fillId="53" borderId="45" applyNumberFormat="0" applyProtection="0">
      <alignment horizontal="left" vertical="top" indent="1"/>
    </xf>
    <xf numFmtId="0" fontId="34" fillId="54" borderId="45" applyNumberFormat="0" applyProtection="0">
      <alignment horizontal="left" vertical="top" indent="1"/>
    </xf>
    <xf numFmtId="0" fontId="34" fillId="55" borderId="45" applyNumberFormat="0" applyProtection="0">
      <alignment horizontal="left" vertical="top" indent="1"/>
    </xf>
    <xf numFmtId="0" fontId="34" fillId="44" borderId="45" applyNumberFormat="0" applyProtection="0">
      <alignment horizontal="left" vertical="top" indent="1"/>
    </xf>
    <xf numFmtId="0" fontId="76" fillId="57" borderId="46" applyBorder="0"/>
    <xf numFmtId="4" fontId="77" fillId="48" borderId="45" applyNumberFormat="0" applyProtection="0">
      <alignment vertical="center"/>
    </xf>
    <xf numFmtId="4" fontId="78" fillId="48" borderId="45" applyNumberFormat="0" applyProtection="0">
      <alignment vertical="center"/>
    </xf>
    <xf numFmtId="0" fontId="77" fillId="48" borderId="45" applyNumberFormat="0" applyProtection="0">
      <alignment horizontal="left" vertical="top" indent="1"/>
    </xf>
    <xf numFmtId="0" fontId="77" fillId="54" borderId="45" applyNumberFormat="0" applyProtection="0">
      <alignment horizontal="left" vertical="top" indent="1"/>
    </xf>
    <xf numFmtId="0" fontId="85" fillId="0" borderId="47" applyNumberFormat="0" applyFill="0" applyAlignment="0" applyProtection="0"/>
    <xf numFmtId="0" fontId="85" fillId="0" borderId="47" applyNumberFormat="0" applyFill="0" applyAlignment="0" applyProtection="0"/>
    <xf numFmtId="0" fontId="85" fillId="0" borderId="47" applyNumberFormat="0" applyFill="0" applyAlignment="0" applyProtection="0"/>
    <xf numFmtId="0" fontId="35" fillId="0" borderId="47" applyNumberFormat="0" applyFill="0" applyAlignment="0" applyProtection="0"/>
    <xf numFmtId="0" fontId="28" fillId="42" borderId="49" applyNumberFormat="0" applyAlignment="0" applyProtection="0"/>
    <xf numFmtId="0" fontId="28" fillId="42" borderId="49" applyNumberFormat="0" applyAlignment="0" applyProtection="0"/>
    <xf numFmtId="0" fontId="28" fillId="42" borderId="49" applyNumberFormat="0" applyAlignment="0" applyProtection="0"/>
    <xf numFmtId="0" fontId="29" fillId="42" borderId="49" applyNumberFormat="0" applyAlignment="0" applyProtection="0"/>
    <xf numFmtId="0" fontId="54" fillId="16" borderId="49" applyNumberFormat="0" applyAlignment="0" applyProtection="0"/>
    <xf numFmtId="0" fontId="54" fillId="16" borderId="49" applyNumberFormat="0" applyAlignment="0" applyProtection="0"/>
    <xf numFmtId="0" fontId="54" fillId="16" borderId="49" applyNumberFormat="0" applyAlignment="0" applyProtection="0"/>
    <xf numFmtId="0" fontId="55" fillId="16" borderId="49" applyNumberFormat="0" applyAlignment="0" applyProtection="0"/>
    <xf numFmtId="0" fontId="20" fillId="50" borderId="50" applyNumberFormat="0" applyFont="0" applyAlignment="0" applyProtection="0"/>
    <xf numFmtId="0" fontId="20" fillId="50" borderId="50" applyNumberFormat="0" applyFont="0" applyAlignment="0" applyProtection="0"/>
    <xf numFmtId="0" fontId="20" fillId="50" borderId="50" applyNumberFormat="0" applyFont="0" applyAlignment="0" applyProtection="0"/>
    <xf numFmtId="0" fontId="67" fillId="50" borderId="50" applyNumberFormat="0" applyFont="0" applyAlignment="0" applyProtection="0"/>
    <xf numFmtId="0" fontId="68" fillId="42" borderId="51" applyNumberFormat="0" applyAlignment="0" applyProtection="0"/>
    <xf numFmtId="0" fontId="68" fillId="42" borderId="51" applyNumberFormat="0" applyAlignment="0" applyProtection="0"/>
    <xf numFmtId="0" fontId="68" fillId="42" borderId="51" applyNumberFormat="0" applyAlignment="0" applyProtection="0"/>
    <xf numFmtId="0" fontId="69" fillId="42" borderId="51" applyNumberFormat="0" applyAlignment="0" applyProtection="0"/>
    <xf numFmtId="4" fontId="72" fillId="52" borderId="52" applyNumberFormat="0" applyProtection="0">
      <alignment vertical="center"/>
    </xf>
    <xf numFmtId="0" fontId="73" fillId="52" borderId="52" applyNumberFormat="0" applyProtection="0">
      <alignment horizontal="left" vertical="top" indent="1"/>
    </xf>
    <xf numFmtId="0" fontId="34" fillId="53" borderId="52" applyNumberFormat="0" applyProtection="0">
      <alignment horizontal="left" vertical="top" indent="1"/>
    </xf>
    <xf numFmtId="0" fontId="34" fillId="54" borderId="52" applyNumberFormat="0" applyProtection="0">
      <alignment horizontal="left" vertical="top" indent="1"/>
    </xf>
    <xf numFmtId="0" fontId="34" fillId="55" borderId="52" applyNumberFormat="0" applyProtection="0">
      <alignment horizontal="left" vertical="top" indent="1"/>
    </xf>
    <xf numFmtId="0" fontId="34" fillId="44" borderId="52" applyNumberFormat="0" applyProtection="0">
      <alignment horizontal="left" vertical="top" indent="1"/>
    </xf>
    <xf numFmtId="0" fontId="76" fillId="57" borderId="53" applyBorder="0"/>
    <xf numFmtId="4" fontId="77" fillId="48" borderId="52" applyNumberFormat="0" applyProtection="0">
      <alignment vertical="center"/>
    </xf>
    <xf numFmtId="4" fontId="78" fillId="48" borderId="52" applyNumberFormat="0" applyProtection="0">
      <alignment vertical="center"/>
    </xf>
    <xf numFmtId="0" fontId="77" fillId="48" borderId="52" applyNumberFormat="0" applyProtection="0">
      <alignment horizontal="left" vertical="top" indent="1"/>
    </xf>
    <xf numFmtId="0" fontId="77" fillId="54" borderId="52" applyNumberFormat="0" applyProtection="0">
      <alignment horizontal="left" vertical="top" indent="1"/>
    </xf>
    <xf numFmtId="0" fontId="85" fillId="0" borderId="54" applyNumberFormat="0" applyFill="0" applyAlignment="0" applyProtection="0"/>
    <xf numFmtId="0" fontId="85" fillId="0" borderId="54" applyNumberFormat="0" applyFill="0" applyAlignment="0" applyProtection="0"/>
    <xf numFmtId="0" fontId="85" fillId="0" borderId="54" applyNumberFormat="0" applyFill="0" applyAlignment="0" applyProtection="0"/>
    <xf numFmtId="0" fontId="35" fillId="0" borderId="54" applyNumberFormat="0" applyFill="0" applyAlignment="0" applyProtection="0"/>
    <xf numFmtId="4" fontId="25" fillId="40" borderId="55"/>
    <xf numFmtId="4" fontId="25" fillId="41" borderId="55"/>
    <xf numFmtId="0" fontId="28" fillId="42" borderId="49" applyNumberFormat="0" applyAlignment="0" applyProtection="0"/>
    <xf numFmtId="0" fontId="28" fillId="42" borderId="49" applyNumberFormat="0" applyAlignment="0" applyProtection="0"/>
    <xf numFmtId="0" fontId="28" fillId="42" borderId="49" applyNumberFormat="0" applyAlignment="0" applyProtection="0"/>
    <xf numFmtId="0" fontId="29" fillId="42" borderId="49" applyNumberFormat="0" applyAlignment="0" applyProtection="0"/>
    <xf numFmtId="0" fontId="54" fillId="16" borderId="49" applyNumberFormat="0" applyAlignment="0" applyProtection="0"/>
    <xf numFmtId="0" fontId="54" fillId="16" borderId="49" applyNumberFormat="0" applyAlignment="0" applyProtection="0"/>
    <xf numFmtId="0" fontId="54" fillId="16" borderId="49" applyNumberFormat="0" applyAlignment="0" applyProtection="0"/>
    <xf numFmtId="0" fontId="55" fillId="16" borderId="49" applyNumberFormat="0" applyAlignment="0" applyProtection="0"/>
    <xf numFmtId="0" fontId="20" fillId="50" borderId="50" applyNumberFormat="0" applyFont="0" applyAlignment="0" applyProtection="0"/>
    <xf numFmtId="0" fontId="20" fillId="50" borderId="50" applyNumberFormat="0" applyFont="0" applyAlignment="0" applyProtection="0"/>
    <xf numFmtId="0" fontId="20" fillId="50" borderId="50" applyNumberFormat="0" applyFont="0" applyAlignment="0" applyProtection="0"/>
    <xf numFmtId="0" fontId="67" fillId="50" borderId="50" applyNumberFormat="0" applyFont="0" applyAlignment="0" applyProtection="0"/>
    <xf numFmtId="0" fontId="68" fillId="42" borderId="51" applyNumberFormat="0" applyAlignment="0" applyProtection="0"/>
    <xf numFmtId="0" fontId="68" fillId="42" borderId="51" applyNumberFormat="0" applyAlignment="0" applyProtection="0"/>
    <xf numFmtId="0" fontId="68" fillId="42" borderId="51" applyNumberFormat="0" applyAlignment="0" applyProtection="0"/>
    <xf numFmtId="0" fontId="69" fillId="42" borderId="51" applyNumberFormat="0" applyAlignment="0" applyProtection="0"/>
    <xf numFmtId="4" fontId="72" fillId="52" borderId="52" applyNumberFormat="0" applyProtection="0">
      <alignment vertical="center"/>
    </xf>
    <xf numFmtId="0" fontId="73" fillId="52" borderId="52" applyNumberFormat="0" applyProtection="0">
      <alignment horizontal="left" vertical="top" indent="1"/>
    </xf>
    <xf numFmtId="4" fontId="74" fillId="0" borderId="55" applyNumberFormat="0" applyProtection="0">
      <alignment horizontal="left" vertical="center" indent="1"/>
    </xf>
    <xf numFmtId="0" fontId="34" fillId="53" borderId="52" applyNumberFormat="0" applyProtection="0">
      <alignment horizontal="left" vertical="top" indent="1"/>
    </xf>
    <xf numFmtId="0" fontId="34" fillId="54" borderId="52" applyNumberFormat="0" applyProtection="0">
      <alignment horizontal="left" vertical="top" indent="1"/>
    </xf>
    <xf numFmtId="0" fontId="34" fillId="55" borderId="52" applyNumberFormat="0" applyProtection="0">
      <alignment horizontal="left" vertical="top" indent="1"/>
    </xf>
    <xf numFmtId="0" fontId="34" fillId="44" borderId="52" applyNumberFormat="0" applyProtection="0">
      <alignment horizontal="left" vertical="top" indent="1"/>
    </xf>
    <xf numFmtId="0" fontId="34" fillId="56" borderId="55" applyNumberFormat="0">
      <protection locked="0"/>
    </xf>
    <xf numFmtId="0" fontId="76" fillId="57" borderId="53" applyBorder="0"/>
    <xf numFmtId="4" fontId="77" fillId="48" borderId="52" applyNumberFormat="0" applyProtection="0">
      <alignment vertical="center"/>
    </xf>
    <xf numFmtId="4" fontId="78" fillId="48" borderId="52" applyNumberFormat="0" applyProtection="0">
      <alignment vertical="center"/>
    </xf>
    <xf numFmtId="4" fontId="77" fillId="0" borderId="55" applyNumberFormat="0" applyProtection="0">
      <alignment horizontal="left" vertical="center" indent="1"/>
    </xf>
    <xf numFmtId="0" fontId="77" fillId="48" borderId="52" applyNumberFormat="0" applyProtection="0">
      <alignment horizontal="left" vertical="top" indent="1"/>
    </xf>
    <xf numFmtId="4" fontId="74" fillId="0" borderId="55" applyNumberFormat="0" applyProtection="0">
      <alignment horizontal="right" vertical="center"/>
    </xf>
    <xf numFmtId="4" fontId="74" fillId="0" borderId="55" applyNumberFormat="0" applyProtection="0">
      <alignment horizontal="right" vertical="center"/>
    </xf>
    <xf numFmtId="4" fontId="74" fillId="0" borderId="55" applyNumberFormat="0" applyProtection="0">
      <alignment horizontal="left" wrapText="1" indent="1"/>
    </xf>
    <xf numFmtId="4" fontId="74" fillId="0" borderId="55" applyNumberFormat="0" applyProtection="0">
      <alignment horizontal="left" wrapText="1" indent="1"/>
    </xf>
    <xf numFmtId="0" fontId="77" fillId="54" borderId="52" applyNumberFormat="0" applyProtection="0">
      <alignment horizontal="left" vertical="top" indent="1"/>
    </xf>
    <xf numFmtId="0" fontId="79" fillId="58" borderId="55"/>
    <xf numFmtId="0" fontId="85" fillId="0" borderId="54" applyNumberFormat="0" applyFill="0" applyAlignment="0" applyProtection="0"/>
    <xf numFmtId="0" fontId="85" fillId="0" borderId="54" applyNumberFormat="0" applyFill="0" applyAlignment="0" applyProtection="0"/>
    <xf numFmtId="0" fontId="85" fillId="0" borderId="54" applyNumberFormat="0" applyFill="0" applyAlignment="0" applyProtection="0"/>
    <xf numFmtId="0" fontId="35" fillId="0" borderId="54" applyNumberFormat="0" applyFill="0" applyAlignment="0" applyProtection="0"/>
    <xf numFmtId="0" fontId="97" fillId="42" borderId="49" applyNumberFormat="0" applyAlignment="0" applyProtection="0"/>
    <xf numFmtId="0" fontId="97" fillId="42" borderId="49" applyNumberFormat="0" applyAlignment="0" applyProtection="0"/>
    <xf numFmtId="0" fontId="104" fillId="16" borderId="49" applyNumberFormat="0" applyAlignment="0" applyProtection="0"/>
    <xf numFmtId="0" fontId="104" fillId="16" borderId="49" applyNumberFormat="0" applyAlignment="0" applyProtection="0"/>
    <xf numFmtId="0" fontId="34" fillId="50" borderId="50" applyNumberFormat="0" applyFont="0" applyAlignment="0" applyProtection="0"/>
    <xf numFmtId="0" fontId="34" fillId="50" borderId="50" applyNumberFormat="0" applyFont="0" applyAlignment="0" applyProtection="0"/>
    <xf numFmtId="0" fontId="34" fillId="50" borderId="50" applyNumberFormat="0" applyFont="0" applyAlignment="0" applyProtection="0"/>
    <xf numFmtId="0" fontId="34" fillId="50" borderId="50" applyNumberFormat="0" applyFont="0" applyAlignment="0" applyProtection="0"/>
    <xf numFmtId="0" fontId="107" fillId="42" borderId="51" applyNumberFormat="0" applyAlignment="0" applyProtection="0"/>
    <xf numFmtId="0" fontId="107" fillId="42" borderId="51" applyNumberFormat="0" applyAlignment="0" applyProtection="0"/>
    <xf numFmtId="0" fontId="108" fillId="0" borderId="54" applyNumberFormat="0" applyFill="0" applyAlignment="0" applyProtection="0"/>
    <xf numFmtId="0" fontId="108" fillId="0" borderId="54" applyNumberFormat="0" applyFill="0" applyAlignment="0" applyProtection="0"/>
    <xf numFmtId="0" fontId="28" fillId="42" borderId="49" applyNumberFormat="0" applyAlignment="0" applyProtection="0"/>
    <xf numFmtId="0" fontId="28" fillId="42" borderId="49" applyNumberFormat="0" applyAlignment="0" applyProtection="0"/>
    <xf numFmtId="0" fontId="28" fillId="42" borderId="49" applyNumberFormat="0" applyAlignment="0" applyProtection="0"/>
    <xf numFmtId="0" fontId="29" fillId="42" borderId="49" applyNumberFormat="0" applyAlignment="0" applyProtection="0"/>
    <xf numFmtId="0" fontId="54" fillId="16" borderId="49" applyNumberFormat="0" applyAlignment="0" applyProtection="0"/>
    <xf numFmtId="0" fontId="54" fillId="16" borderId="49" applyNumberFormat="0" applyAlignment="0" applyProtection="0"/>
    <xf numFmtId="0" fontId="54" fillId="16" borderId="49" applyNumberFormat="0" applyAlignment="0" applyProtection="0"/>
    <xf numFmtId="0" fontId="55" fillId="16" borderId="49" applyNumberFormat="0" applyAlignment="0" applyProtection="0"/>
    <xf numFmtId="0" fontId="20" fillId="50" borderId="50" applyNumberFormat="0" applyFont="0" applyAlignment="0" applyProtection="0"/>
    <xf numFmtId="0" fontId="20" fillId="50" borderId="50" applyNumberFormat="0" applyFont="0" applyAlignment="0" applyProtection="0"/>
    <xf numFmtId="0" fontId="20" fillId="50" borderId="50" applyNumberFormat="0" applyFont="0" applyAlignment="0" applyProtection="0"/>
    <xf numFmtId="0" fontId="67" fillId="50" borderId="50" applyNumberFormat="0" applyFont="0" applyAlignment="0" applyProtection="0"/>
    <xf numFmtId="0" fontId="68" fillId="42" borderId="51" applyNumberFormat="0" applyAlignment="0" applyProtection="0"/>
    <xf numFmtId="0" fontId="68" fillId="42" borderId="51" applyNumberFormat="0" applyAlignment="0" applyProtection="0"/>
    <xf numFmtId="0" fontId="68" fillId="42" borderId="51" applyNumberFormat="0" applyAlignment="0" applyProtection="0"/>
    <xf numFmtId="0" fontId="69" fillId="42" borderId="51" applyNumberFormat="0" applyAlignment="0" applyProtection="0"/>
    <xf numFmtId="4" fontId="72" fillId="52" borderId="52" applyNumberFormat="0" applyProtection="0">
      <alignment vertical="center"/>
    </xf>
    <xf numFmtId="0" fontId="73" fillId="52" borderId="52" applyNumberFormat="0" applyProtection="0">
      <alignment horizontal="left" vertical="top" indent="1"/>
    </xf>
    <xf numFmtId="0" fontId="34" fillId="53" borderId="52" applyNumberFormat="0" applyProtection="0">
      <alignment horizontal="left" vertical="top" indent="1"/>
    </xf>
    <xf numFmtId="0" fontId="34" fillId="54" borderId="52" applyNumberFormat="0" applyProtection="0">
      <alignment horizontal="left" vertical="top" indent="1"/>
    </xf>
    <xf numFmtId="0" fontId="34" fillId="55" borderId="52" applyNumberFormat="0" applyProtection="0">
      <alignment horizontal="left" vertical="top" indent="1"/>
    </xf>
    <xf numFmtId="0" fontId="34" fillId="44" borderId="52" applyNumberFormat="0" applyProtection="0">
      <alignment horizontal="left" vertical="top" indent="1"/>
    </xf>
    <xf numFmtId="0" fontId="76" fillId="57" borderId="53" applyBorder="0"/>
    <xf numFmtId="4" fontId="77" fillId="48" borderId="52" applyNumberFormat="0" applyProtection="0">
      <alignment vertical="center"/>
    </xf>
    <xf numFmtId="4" fontId="78" fillId="48" borderId="52" applyNumberFormat="0" applyProtection="0">
      <alignment vertical="center"/>
    </xf>
    <xf numFmtId="0" fontId="77" fillId="48" borderId="52" applyNumberFormat="0" applyProtection="0">
      <alignment horizontal="left" vertical="top" indent="1"/>
    </xf>
    <xf numFmtId="0" fontId="77" fillId="54" borderId="52" applyNumberFormat="0" applyProtection="0">
      <alignment horizontal="left" vertical="top" indent="1"/>
    </xf>
    <xf numFmtId="0" fontId="85" fillId="0" borderId="54" applyNumberFormat="0" applyFill="0" applyAlignment="0" applyProtection="0"/>
    <xf numFmtId="0" fontId="85" fillId="0" borderId="54" applyNumberFormat="0" applyFill="0" applyAlignment="0" applyProtection="0"/>
    <xf numFmtId="0" fontId="85" fillId="0" borderId="54" applyNumberFormat="0" applyFill="0" applyAlignment="0" applyProtection="0"/>
    <xf numFmtId="0" fontId="35" fillId="0" borderId="54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28" fillId="42" borderId="56" applyNumberFormat="0" applyAlignment="0" applyProtection="0"/>
    <xf numFmtId="0" fontId="28" fillId="42" borderId="56" applyNumberFormat="0" applyAlignment="0" applyProtection="0"/>
    <xf numFmtId="0" fontId="28" fillId="42" borderId="56" applyNumberFormat="0" applyAlignment="0" applyProtection="0"/>
    <xf numFmtId="0" fontId="29" fillId="42" borderId="56" applyNumberFormat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Border="0" applyAlignment="0" applyProtection="0"/>
    <xf numFmtId="0" fontId="54" fillId="16" borderId="56" applyNumberFormat="0" applyAlignment="0" applyProtection="0"/>
    <xf numFmtId="0" fontId="54" fillId="16" borderId="56" applyNumberFormat="0" applyAlignment="0" applyProtection="0"/>
    <xf numFmtId="0" fontId="54" fillId="16" borderId="56" applyNumberFormat="0" applyAlignment="0" applyProtection="0"/>
    <xf numFmtId="0" fontId="55" fillId="16" borderId="5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0" borderId="57" applyNumberFormat="0" applyFont="0" applyAlignment="0" applyProtection="0"/>
    <xf numFmtId="0" fontId="20" fillId="50" borderId="57" applyNumberFormat="0" applyFont="0" applyAlignment="0" applyProtection="0"/>
    <xf numFmtId="0" fontId="20" fillId="50" borderId="57" applyNumberFormat="0" applyFont="0" applyAlignment="0" applyProtection="0"/>
    <xf numFmtId="0" fontId="67" fillId="50" borderId="57" applyNumberFormat="0" applyFont="0" applyAlignment="0" applyProtection="0"/>
    <xf numFmtId="0" fontId="68" fillId="42" borderId="58" applyNumberFormat="0" applyAlignment="0" applyProtection="0"/>
    <xf numFmtId="0" fontId="68" fillId="42" borderId="58" applyNumberFormat="0" applyAlignment="0" applyProtection="0"/>
    <xf numFmtId="0" fontId="68" fillId="42" borderId="58" applyNumberFormat="0" applyAlignment="0" applyProtection="0"/>
    <xf numFmtId="0" fontId="69" fillId="42" borderId="5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2" fillId="52" borderId="59" applyNumberFormat="0" applyProtection="0">
      <alignment vertical="center"/>
    </xf>
    <xf numFmtId="0" fontId="73" fillId="52" borderId="59" applyNumberFormat="0" applyProtection="0">
      <alignment horizontal="left" vertical="top" indent="1"/>
    </xf>
    <xf numFmtId="0" fontId="34" fillId="53" borderId="59" applyNumberFormat="0" applyProtection="0">
      <alignment horizontal="left" vertical="top" indent="1"/>
    </xf>
    <xf numFmtId="0" fontId="34" fillId="54" borderId="59" applyNumberFormat="0" applyProtection="0">
      <alignment horizontal="left" vertical="top" indent="1"/>
    </xf>
    <xf numFmtId="0" fontId="34" fillId="55" borderId="59" applyNumberFormat="0" applyProtection="0">
      <alignment horizontal="left" vertical="top" indent="1"/>
    </xf>
    <xf numFmtId="0" fontId="34" fillId="44" borderId="59" applyNumberFormat="0" applyProtection="0">
      <alignment horizontal="left" vertical="top" indent="1"/>
    </xf>
    <xf numFmtId="0" fontId="76" fillId="57" borderId="60" applyBorder="0"/>
    <xf numFmtId="4" fontId="77" fillId="48" borderId="59" applyNumberFormat="0" applyProtection="0">
      <alignment vertical="center"/>
    </xf>
    <xf numFmtId="4" fontId="78" fillId="48" borderId="59" applyNumberFormat="0" applyProtection="0">
      <alignment vertical="center"/>
    </xf>
    <xf numFmtId="0" fontId="77" fillId="48" borderId="59" applyNumberFormat="0" applyProtection="0">
      <alignment horizontal="left" vertical="top" indent="1"/>
    </xf>
    <xf numFmtId="0" fontId="77" fillId="54" borderId="59" applyNumberFormat="0" applyProtection="0">
      <alignment horizontal="left" vertical="top" indent="1"/>
    </xf>
    <xf numFmtId="43" fontId="34" fillId="0" borderId="0" applyBorder="0" applyAlignment="0" applyProtection="0"/>
    <xf numFmtId="0" fontId="85" fillId="0" borderId="61" applyNumberFormat="0" applyFill="0" applyAlignment="0" applyProtection="0"/>
    <xf numFmtId="0" fontId="85" fillId="0" borderId="61" applyNumberFormat="0" applyFill="0" applyAlignment="0" applyProtection="0"/>
    <xf numFmtId="0" fontId="85" fillId="0" borderId="61" applyNumberFormat="0" applyFill="0" applyAlignment="0" applyProtection="0"/>
    <xf numFmtId="0" fontId="35" fillId="0" borderId="61" applyNumberFormat="0" applyFill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25" fillId="40" borderId="62"/>
    <xf numFmtId="4" fontId="25" fillId="41" borderId="62"/>
    <xf numFmtId="0" fontId="28" fillId="42" borderId="56" applyNumberFormat="0" applyAlignment="0" applyProtection="0"/>
    <xf numFmtId="0" fontId="28" fillId="42" borderId="56" applyNumberFormat="0" applyAlignment="0" applyProtection="0"/>
    <xf numFmtId="0" fontId="28" fillId="42" borderId="56" applyNumberFormat="0" applyAlignment="0" applyProtection="0"/>
    <xf numFmtId="0" fontId="29" fillId="42" borderId="56" applyNumberFormat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Border="0" applyAlignment="0" applyProtection="0"/>
    <xf numFmtId="0" fontId="54" fillId="16" borderId="56" applyNumberFormat="0" applyAlignment="0" applyProtection="0"/>
    <xf numFmtId="0" fontId="54" fillId="16" borderId="56" applyNumberFormat="0" applyAlignment="0" applyProtection="0"/>
    <xf numFmtId="0" fontId="54" fillId="16" borderId="56" applyNumberFormat="0" applyAlignment="0" applyProtection="0"/>
    <xf numFmtId="0" fontId="55" fillId="16" borderId="56" applyNumberFormat="0" applyAlignment="0" applyProtection="0"/>
    <xf numFmtId="0" fontId="20" fillId="50" borderId="57" applyNumberFormat="0" applyFont="0" applyAlignment="0" applyProtection="0"/>
    <xf numFmtId="0" fontId="20" fillId="50" borderId="57" applyNumberFormat="0" applyFont="0" applyAlignment="0" applyProtection="0"/>
    <xf numFmtId="0" fontId="20" fillId="50" borderId="57" applyNumberFormat="0" applyFont="0" applyAlignment="0" applyProtection="0"/>
    <xf numFmtId="0" fontId="67" fillId="50" borderId="57" applyNumberFormat="0" applyFont="0" applyAlignment="0" applyProtection="0"/>
    <xf numFmtId="0" fontId="68" fillId="42" borderId="58" applyNumberFormat="0" applyAlignment="0" applyProtection="0"/>
    <xf numFmtId="0" fontId="68" fillId="42" borderId="58" applyNumberFormat="0" applyAlignment="0" applyProtection="0"/>
    <xf numFmtId="0" fontId="68" fillId="42" borderId="58" applyNumberFormat="0" applyAlignment="0" applyProtection="0"/>
    <xf numFmtId="0" fontId="69" fillId="42" borderId="58" applyNumberFormat="0" applyAlignment="0" applyProtection="0"/>
    <xf numFmtId="4" fontId="72" fillId="52" borderId="59" applyNumberFormat="0" applyProtection="0">
      <alignment vertical="center"/>
    </xf>
    <xf numFmtId="0" fontId="73" fillId="52" borderId="59" applyNumberFormat="0" applyProtection="0">
      <alignment horizontal="left" vertical="top" indent="1"/>
    </xf>
    <xf numFmtId="4" fontId="74" fillId="0" borderId="62" applyNumberFormat="0" applyProtection="0">
      <alignment horizontal="left" vertical="center" indent="1"/>
    </xf>
    <xf numFmtId="0" fontId="34" fillId="53" borderId="59" applyNumberFormat="0" applyProtection="0">
      <alignment horizontal="left" vertical="top" indent="1"/>
    </xf>
    <xf numFmtId="0" fontId="34" fillId="54" borderId="59" applyNumberFormat="0" applyProtection="0">
      <alignment horizontal="left" vertical="top" indent="1"/>
    </xf>
    <xf numFmtId="0" fontId="34" fillId="55" borderId="59" applyNumberFormat="0" applyProtection="0">
      <alignment horizontal="left" vertical="top" indent="1"/>
    </xf>
    <xf numFmtId="0" fontId="34" fillId="44" borderId="59" applyNumberFormat="0" applyProtection="0">
      <alignment horizontal="left" vertical="top" indent="1"/>
    </xf>
    <xf numFmtId="0" fontId="34" fillId="56" borderId="62" applyNumberFormat="0">
      <protection locked="0"/>
    </xf>
    <xf numFmtId="0" fontId="76" fillId="57" borderId="60" applyBorder="0"/>
    <xf numFmtId="4" fontId="77" fillId="48" borderId="59" applyNumberFormat="0" applyProtection="0">
      <alignment vertical="center"/>
    </xf>
    <xf numFmtId="4" fontId="78" fillId="48" borderId="59" applyNumberFormat="0" applyProtection="0">
      <alignment vertical="center"/>
    </xf>
    <xf numFmtId="4" fontId="77" fillId="0" borderId="62" applyNumberFormat="0" applyProtection="0">
      <alignment horizontal="left" vertical="center" indent="1"/>
    </xf>
    <xf numFmtId="0" fontId="77" fillId="48" borderId="59" applyNumberFormat="0" applyProtection="0">
      <alignment horizontal="left" vertical="top" indent="1"/>
    </xf>
    <xf numFmtId="4" fontId="74" fillId="0" borderId="62" applyNumberFormat="0" applyProtection="0">
      <alignment horizontal="right" vertical="center"/>
    </xf>
    <xf numFmtId="4" fontId="74" fillId="0" borderId="62" applyNumberFormat="0" applyProtection="0">
      <alignment horizontal="right" vertical="center"/>
    </xf>
    <xf numFmtId="4" fontId="74" fillId="0" borderId="62" applyNumberFormat="0" applyProtection="0">
      <alignment horizontal="left" wrapText="1" indent="1"/>
    </xf>
    <xf numFmtId="4" fontId="74" fillId="0" borderId="62" applyNumberFormat="0" applyProtection="0">
      <alignment horizontal="left" wrapText="1" indent="1"/>
    </xf>
    <xf numFmtId="0" fontId="77" fillId="54" borderId="59" applyNumberFormat="0" applyProtection="0">
      <alignment horizontal="left" vertical="top" indent="1"/>
    </xf>
    <xf numFmtId="0" fontId="79" fillId="58" borderId="62"/>
    <xf numFmtId="43" fontId="34" fillId="0" borderId="0" applyBorder="0" applyAlignment="0" applyProtection="0"/>
    <xf numFmtId="0" fontId="85" fillId="0" borderId="61" applyNumberFormat="0" applyFill="0" applyAlignment="0" applyProtection="0"/>
    <xf numFmtId="0" fontId="85" fillId="0" borderId="61" applyNumberFormat="0" applyFill="0" applyAlignment="0" applyProtection="0"/>
    <xf numFmtId="0" fontId="85" fillId="0" borderId="61" applyNumberFormat="0" applyFill="0" applyAlignment="0" applyProtection="0"/>
    <xf numFmtId="0" fontId="35" fillId="0" borderId="61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7" fillId="42" borderId="56" applyNumberFormat="0" applyAlignment="0" applyProtection="0"/>
    <xf numFmtId="0" fontId="97" fillId="42" borderId="56" applyNumberFormat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04" fillId="16" borderId="56" applyNumberFormat="0" applyAlignment="0" applyProtection="0"/>
    <xf numFmtId="0" fontId="104" fillId="16" borderId="56" applyNumberFormat="0" applyAlignment="0" applyProtection="0"/>
    <xf numFmtId="0" fontId="34" fillId="50" borderId="57" applyNumberFormat="0" applyFont="0" applyAlignment="0" applyProtection="0"/>
    <xf numFmtId="0" fontId="34" fillId="50" borderId="57" applyNumberFormat="0" applyFont="0" applyAlignment="0" applyProtection="0"/>
    <xf numFmtId="0" fontId="34" fillId="50" borderId="57" applyNumberFormat="0" applyFont="0" applyAlignment="0" applyProtection="0"/>
    <xf numFmtId="0" fontId="34" fillId="50" borderId="57" applyNumberFormat="0" applyFont="0" applyAlignment="0" applyProtection="0"/>
    <xf numFmtId="0" fontId="107" fillId="42" borderId="58" applyNumberFormat="0" applyAlignment="0" applyProtection="0"/>
    <xf numFmtId="0" fontId="107" fillId="42" borderId="58" applyNumberFormat="0" applyAlignment="0" applyProtection="0"/>
    <xf numFmtId="0" fontId="108" fillId="0" borderId="61" applyNumberFormat="0" applyFill="0" applyAlignment="0" applyProtection="0"/>
    <xf numFmtId="0" fontId="108" fillId="0" borderId="61" applyNumberFormat="0" applyFill="0" applyAlignment="0" applyProtection="0"/>
    <xf numFmtId="43" fontId="2" fillId="0" borderId="0" applyFont="0" applyFill="0" applyBorder="0" applyAlignment="0" applyProtection="0"/>
    <xf numFmtId="0" fontId="28" fillId="42" borderId="56" applyNumberFormat="0" applyAlignment="0" applyProtection="0"/>
    <xf numFmtId="0" fontId="28" fillId="42" borderId="56" applyNumberFormat="0" applyAlignment="0" applyProtection="0"/>
    <xf numFmtId="0" fontId="28" fillId="42" borderId="56" applyNumberFormat="0" applyAlignment="0" applyProtection="0"/>
    <xf numFmtId="0" fontId="29" fillId="42" borderId="56" applyNumberFormat="0" applyAlignment="0" applyProtection="0"/>
    <xf numFmtId="0" fontId="54" fillId="16" borderId="56" applyNumberFormat="0" applyAlignment="0" applyProtection="0"/>
    <xf numFmtId="0" fontId="54" fillId="16" borderId="56" applyNumberFormat="0" applyAlignment="0" applyProtection="0"/>
    <xf numFmtId="0" fontId="54" fillId="16" borderId="56" applyNumberFormat="0" applyAlignment="0" applyProtection="0"/>
    <xf numFmtId="0" fontId="55" fillId="16" borderId="56" applyNumberFormat="0" applyAlignment="0" applyProtection="0"/>
    <xf numFmtId="0" fontId="20" fillId="50" borderId="57" applyNumberFormat="0" applyFont="0" applyAlignment="0" applyProtection="0"/>
    <xf numFmtId="0" fontId="20" fillId="50" borderId="57" applyNumberFormat="0" applyFont="0" applyAlignment="0" applyProtection="0"/>
    <xf numFmtId="0" fontId="20" fillId="50" borderId="57" applyNumberFormat="0" applyFont="0" applyAlignment="0" applyProtection="0"/>
    <xf numFmtId="0" fontId="67" fillId="50" borderId="57" applyNumberFormat="0" applyFont="0" applyAlignment="0" applyProtection="0"/>
    <xf numFmtId="0" fontId="68" fillId="42" borderId="58" applyNumberFormat="0" applyAlignment="0" applyProtection="0"/>
    <xf numFmtId="0" fontId="68" fillId="42" borderId="58" applyNumberFormat="0" applyAlignment="0" applyProtection="0"/>
    <xf numFmtId="0" fontId="68" fillId="42" borderId="58" applyNumberFormat="0" applyAlignment="0" applyProtection="0"/>
    <xf numFmtId="0" fontId="69" fillId="42" borderId="58" applyNumberFormat="0" applyAlignment="0" applyProtection="0"/>
    <xf numFmtId="4" fontId="72" fillId="52" borderId="59" applyNumberFormat="0" applyProtection="0">
      <alignment vertical="center"/>
    </xf>
    <xf numFmtId="0" fontId="73" fillId="52" borderId="59" applyNumberFormat="0" applyProtection="0">
      <alignment horizontal="left" vertical="top" indent="1"/>
    </xf>
    <xf numFmtId="0" fontId="34" fillId="53" borderId="59" applyNumberFormat="0" applyProtection="0">
      <alignment horizontal="left" vertical="top" indent="1"/>
    </xf>
    <xf numFmtId="0" fontId="34" fillId="54" borderId="59" applyNumberFormat="0" applyProtection="0">
      <alignment horizontal="left" vertical="top" indent="1"/>
    </xf>
    <xf numFmtId="0" fontId="34" fillId="55" borderId="59" applyNumberFormat="0" applyProtection="0">
      <alignment horizontal="left" vertical="top" indent="1"/>
    </xf>
    <xf numFmtId="0" fontId="34" fillId="44" borderId="59" applyNumberFormat="0" applyProtection="0">
      <alignment horizontal="left" vertical="top" indent="1"/>
    </xf>
    <xf numFmtId="0" fontId="76" fillId="57" borderId="60" applyBorder="0"/>
    <xf numFmtId="4" fontId="77" fillId="48" borderId="59" applyNumberFormat="0" applyProtection="0">
      <alignment vertical="center"/>
    </xf>
    <xf numFmtId="4" fontId="78" fillId="48" borderId="59" applyNumberFormat="0" applyProtection="0">
      <alignment vertical="center"/>
    </xf>
    <xf numFmtId="0" fontId="77" fillId="48" borderId="59" applyNumberFormat="0" applyProtection="0">
      <alignment horizontal="left" vertical="top" indent="1"/>
    </xf>
    <xf numFmtId="0" fontId="77" fillId="54" borderId="59" applyNumberFormat="0" applyProtection="0">
      <alignment horizontal="left" vertical="top" indent="1"/>
    </xf>
    <xf numFmtId="0" fontId="85" fillId="0" borderId="61" applyNumberFormat="0" applyFill="0" applyAlignment="0" applyProtection="0"/>
    <xf numFmtId="0" fontId="85" fillId="0" borderId="61" applyNumberFormat="0" applyFill="0" applyAlignment="0" applyProtection="0"/>
    <xf numFmtId="0" fontId="85" fillId="0" borderId="61" applyNumberFormat="0" applyFill="0" applyAlignment="0" applyProtection="0"/>
    <xf numFmtId="0" fontId="35" fillId="0" borderId="61" applyNumberFormat="0" applyFill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Border="0" applyAlignment="0" applyProtection="0"/>
    <xf numFmtId="43" fontId="34" fillId="0" borderId="0" applyBorder="0" applyAlignment="0" applyProtection="0"/>
  </cellStyleXfs>
  <cellXfs count="310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justify" vertical="center" wrapText="1"/>
      <protection locked="0"/>
    </xf>
    <xf numFmtId="0" fontId="7" fillId="0" borderId="0" xfId="0" applyFont="1" applyProtection="1">
      <protection locked="0"/>
    </xf>
    <xf numFmtId="49" fontId="11" fillId="0" borderId="0" xfId="0" applyNumberFormat="1" applyFont="1" applyBorder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horizontal="justify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 vertical="center" wrapText="1"/>
      <protection locked="0"/>
    </xf>
    <xf numFmtId="0" fontId="14" fillId="8" borderId="0" xfId="0" applyFont="1" applyFill="1" applyAlignment="1" applyProtection="1">
      <alignment horizontal="center" vertical="center" wrapText="1"/>
      <protection locked="0"/>
    </xf>
    <xf numFmtId="3" fontId="0" fillId="0" borderId="0" xfId="0" applyNumberFormat="1"/>
    <xf numFmtId="0" fontId="16" fillId="0" borderId="0" xfId="0" applyFont="1" applyFill="1" applyProtection="1"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6" fillId="5" borderId="0" xfId="0" applyFont="1" applyFill="1" applyProtection="1">
      <protection locked="0"/>
    </xf>
    <xf numFmtId="0" fontId="16" fillId="10" borderId="0" xfId="0" applyFont="1" applyFill="1" applyAlignment="1" applyProtection="1">
      <alignment horizontal="center"/>
      <protection locked="0"/>
    </xf>
    <xf numFmtId="0" fontId="18" fillId="0" borderId="0" xfId="0" applyFont="1" applyFill="1" applyProtection="1">
      <protection locked="0"/>
    </xf>
    <xf numFmtId="165" fontId="0" fillId="0" borderId="0" xfId="2" applyNumberFormat="1" applyFont="1"/>
    <xf numFmtId="0" fontId="16" fillId="10" borderId="0" xfId="0" applyFont="1" applyFill="1" applyProtection="1">
      <protection locked="0"/>
    </xf>
    <xf numFmtId="0" fontId="16" fillId="1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8" fillId="7" borderId="0" xfId="0" applyFont="1" applyFill="1" applyProtection="1">
      <protection locked="0"/>
    </xf>
    <xf numFmtId="0" fontId="18" fillId="10" borderId="0" xfId="0" applyFont="1" applyFill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justify" vertical="center" wrapText="1"/>
      <protection locked="0"/>
    </xf>
    <xf numFmtId="0" fontId="19" fillId="0" borderId="0" xfId="0" applyFont="1" applyAlignment="1" applyProtection="1">
      <alignment horizontal="left" wrapText="1"/>
      <protection locked="0"/>
    </xf>
    <xf numFmtId="0" fontId="19" fillId="0" borderId="0" xfId="0" applyFont="1"/>
    <xf numFmtId="0" fontId="19" fillId="7" borderId="0" xfId="0" applyFont="1" applyFill="1" applyAlignment="1">
      <alignment horizontal="center" vertical="center"/>
    </xf>
    <xf numFmtId="0" fontId="19" fillId="0" borderId="0" xfId="0" applyFont="1" applyFill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justify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3" fontId="4" fillId="7" borderId="0" xfId="0" applyNumberFormat="1" applyFont="1" applyFill="1" applyAlignment="1" applyProtection="1">
      <alignment horizontal="center" vertical="center"/>
      <protection locked="0"/>
    </xf>
    <xf numFmtId="0" fontId="89" fillId="0" borderId="0" xfId="0" applyFont="1" applyAlignment="1" applyProtection="1">
      <alignment horizontal="center" vertical="center"/>
      <protection locked="0"/>
    </xf>
    <xf numFmtId="3" fontId="89" fillId="0" borderId="0" xfId="0" applyNumberFormat="1" applyFont="1" applyAlignment="1" applyProtection="1">
      <alignment horizontal="center" vertical="center"/>
      <protection locked="0"/>
    </xf>
    <xf numFmtId="49" fontId="91" fillId="0" borderId="0" xfId="0" applyNumberFormat="1" applyFont="1" applyBorder="1" applyAlignment="1" applyProtection="1">
      <alignment horizontal="center"/>
      <protection locked="0"/>
    </xf>
    <xf numFmtId="0" fontId="90" fillId="0" borderId="0" xfId="0" applyFont="1" applyFill="1" applyBorder="1" applyAlignment="1" applyProtection="1">
      <alignment horizontal="left" vertical="center" wrapText="1"/>
      <protection locked="0"/>
    </xf>
    <xf numFmtId="0" fontId="90" fillId="0" borderId="0" xfId="0" applyFont="1" applyAlignment="1" applyProtection="1">
      <alignment horizontal="left" wrapText="1"/>
      <protection locked="0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0" fontId="18" fillId="7" borderId="0" xfId="0" applyFont="1" applyFill="1" applyAlignment="1" applyProtection="1">
      <alignment horizontal="center" vertical="center" wrapText="1"/>
      <protection locked="0"/>
    </xf>
    <xf numFmtId="0" fontId="0" fillId="7" borderId="0" xfId="0" applyFill="1"/>
    <xf numFmtId="3" fontId="0" fillId="7" borderId="0" xfId="0" applyNumberFormat="1" applyFill="1"/>
    <xf numFmtId="3" fontId="0" fillId="0" borderId="0" xfId="0" applyNumberFormat="1"/>
    <xf numFmtId="3" fontId="0" fillId="61" borderId="0" xfId="0" applyNumberFormat="1" applyFill="1"/>
    <xf numFmtId="0" fontId="0" fillId="61" borderId="0" xfId="0" applyFill="1"/>
    <xf numFmtId="0" fontId="18" fillId="61" borderId="0" xfId="0" applyFont="1" applyFill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center"/>
      <protection locked="0"/>
    </xf>
    <xf numFmtId="3" fontId="110" fillId="7" borderId="0" xfId="0" applyNumberFormat="1" applyFont="1" applyFill="1"/>
    <xf numFmtId="3" fontId="111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91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91" fillId="4" borderId="5" xfId="0" applyNumberFormat="1" applyFont="1" applyFill="1" applyBorder="1" applyAlignment="1" applyProtection="1">
      <alignment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91" fillId="5" borderId="2" xfId="0" applyFont="1" applyFill="1" applyBorder="1" applyAlignment="1" applyProtection="1">
      <alignment horizontal="center" vertical="center" wrapText="1"/>
      <protection locked="0"/>
    </xf>
    <xf numFmtId="3" fontId="11" fillId="3" borderId="2" xfId="1" applyNumberFormat="1" applyFont="1" applyFill="1" applyBorder="1" applyAlignment="1" applyProtection="1">
      <alignment horizontal="center" vertical="center" wrapText="1"/>
    </xf>
    <xf numFmtId="3" fontId="91" fillId="3" borderId="2" xfId="1" applyNumberFormat="1" applyFont="1" applyFill="1" applyBorder="1" applyAlignment="1" applyProtection="1">
      <alignment horizontal="center" vertical="center" wrapText="1"/>
    </xf>
    <xf numFmtId="3" fontId="111" fillId="3" borderId="2" xfId="1" applyNumberFormat="1" applyFont="1" applyFill="1" applyBorder="1" applyAlignment="1" applyProtection="1">
      <alignment horizontal="center" vertical="center" wrapText="1"/>
    </xf>
    <xf numFmtId="3" fontId="11" fillId="6" borderId="2" xfId="1" applyNumberFormat="1" applyFont="1" applyFill="1" applyBorder="1" applyAlignment="1" applyProtection="1">
      <alignment horizontal="center" vertical="center" wrapText="1"/>
    </xf>
    <xf numFmtId="3" fontId="91" fillId="6" borderId="2" xfId="1" applyNumberFormat="1" applyFont="1" applyFill="1" applyBorder="1" applyAlignment="1" applyProtection="1">
      <alignment horizontal="center" vertical="center" wrapText="1"/>
    </xf>
    <xf numFmtId="3" fontId="111" fillId="6" borderId="2" xfId="1" applyNumberFormat="1" applyFont="1" applyFill="1" applyBorder="1" applyAlignment="1" applyProtection="1">
      <alignment horizontal="center" vertical="center" wrapText="1"/>
    </xf>
    <xf numFmtId="3" fontId="11" fillId="8" borderId="2" xfId="1" applyNumberFormat="1" applyFont="1" applyFill="1" applyBorder="1" applyAlignment="1" applyProtection="1">
      <alignment horizontal="center" vertical="center" wrapText="1"/>
    </xf>
    <xf numFmtId="3" fontId="91" fillId="8" borderId="2" xfId="1" applyNumberFormat="1" applyFont="1" applyFill="1" applyBorder="1" applyAlignment="1" applyProtection="1">
      <alignment horizontal="center" vertical="center" wrapText="1"/>
    </xf>
    <xf numFmtId="3" fontId="111" fillId="8" borderId="2" xfId="1" applyNumberFormat="1" applyFont="1" applyFill="1" applyBorder="1" applyAlignment="1" applyProtection="1">
      <alignment horizontal="center" vertical="center" wrapText="1"/>
    </xf>
    <xf numFmtId="3" fontId="11" fillId="9" borderId="2" xfId="1" applyNumberFormat="1" applyFont="1" applyFill="1" applyBorder="1" applyAlignment="1" applyProtection="1">
      <alignment horizontal="center" vertical="center" wrapText="1"/>
    </xf>
    <xf numFmtId="3" fontId="91" fillId="9" borderId="2" xfId="1" applyNumberFormat="1" applyFont="1" applyFill="1" applyBorder="1" applyAlignment="1" applyProtection="1">
      <alignment horizontal="center" vertical="center" wrapText="1"/>
    </xf>
    <xf numFmtId="3" fontId="111" fillId="9" borderId="2" xfId="1" applyNumberFormat="1" applyFont="1" applyFill="1" applyBorder="1" applyAlignment="1" applyProtection="1">
      <alignment horizontal="center" vertical="center" wrapText="1"/>
    </xf>
    <xf numFmtId="3" fontId="112" fillId="5" borderId="2" xfId="1" applyNumberFormat="1" applyFont="1" applyFill="1" applyBorder="1" applyAlignment="1" applyProtection="1">
      <alignment horizontal="center" vertical="center"/>
    </xf>
    <xf numFmtId="3" fontId="91" fillId="5" borderId="2" xfId="1" applyNumberFormat="1" applyFont="1" applyFill="1" applyBorder="1" applyAlignment="1" applyProtection="1">
      <alignment horizontal="center" vertical="center"/>
    </xf>
    <xf numFmtId="3" fontId="113" fillId="5" borderId="2" xfId="1" applyNumberFormat="1" applyFont="1" applyFill="1" applyBorder="1" applyAlignment="1" applyProtection="1">
      <alignment horizontal="center" vertical="center"/>
    </xf>
    <xf numFmtId="3" fontId="112" fillId="5" borderId="2" xfId="1" applyNumberFormat="1" applyFont="1" applyFill="1" applyBorder="1" applyAlignment="1" applyProtection="1">
      <alignment horizontal="center" vertical="center" wrapText="1"/>
    </xf>
    <xf numFmtId="164" fontId="4" fillId="0" borderId="26" xfId="1" applyNumberFormat="1" applyFont="1" applyFill="1" applyBorder="1" applyAlignment="1" applyProtection="1">
      <alignment horizontal="center" vertical="center" wrapText="1"/>
    </xf>
    <xf numFmtId="164" fontId="89" fillId="0" borderId="26" xfId="1" applyNumberFormat="1" applyFont="1" applyFill="1" applyBorder="1" applyAlignment="1" applyProtection="1">
      <alignment horizontal="center" vertical="center" wrapText="1"/>
    </xf>
    <xf numFmtId="164" fontId="114" fillId="0" borderId="26" xfId="1" applyNumberFormat="1" applyFont="1" applyFill="1" applyBorder="1" applyAlignment="1" applyProtection="1">
      <alignment horizontal="center" vertical="center" wrapText="1"/>
    </xf>
    <xf numFmtId="164" fontId="89" fillId="0" borderId="26" xfId="1" applyNumberFormat="1" applyFont="1" applyFill="1" applyBorder="1" applyAlignment="1" applyProtection="1">
      <alignment horizontal="center" vertical="center"/>
    </xf>
    <xf numFmtId="164" fontId="114" fillId="0" borderId="26" xfId="1" applyNumberFormat="1" applyFont="1" applyFill="1" applyBorder="1" applyAlignment="1" applyProtection="1">
      <alignment horizontal="center" vertical="center"/>
    </xf>
    <xf numFmtId="3" fontId="4" fillId="0" borderId="26" xfId="1" applyNumberFormat="1" applyFont="1" applyFill="1" applyBorder="1" applyAlignment="1" applyProtection="1">
      <alignment horizontal="center" vertical="center" wrapText="1"/>
    </xf>
    <xf numFmtId="3" fontId="89" fillId="0" borderId="26" xfId="1" applyNumberFormat="1" applyFont="1" applyFill="1" applyBorder="1" applyAlignment="1" applyProtection="1">
      <alignment horizontal="center" vertical="center" wrapText="1"/>
    </xf>
    <xf numFmtId="3" fontId="89" fillId="0" borderId="26" xfId="1" applyNumberFormat="1" applyFont="1" applyFill="1" applyBorder="1" applyAlignment="1" applyProtection="1">
      <alignment horizontal="center" vertical="center"/>
    </xf>
    <xf numFmtId="3" fontId="114" fillId="0" borderId="26" xfId="1" applyNumberFormat="1" applyFont="1" applyFill="1" applyBorder="1" applyAlignment="1" applyProtection="1">
      <alignment horizontal="center" vertical="center"/>
    </xf>
    <xf numFmtId="3" fontId="89" fillId="0" borderId="2" xfId="1" applyNumberFormat="1" applyFont="1" applyFill="1" applyBorder="1" applyAlignment="1" applyProtection="1">
      <alignment horizontal="center" vertical="center" wrapText="1"/>
    </xf>
    <xf numFmtId="3" fontId="4" fillId="0" borderId="2" xfId="1" applyNumberFormat="1" applyFont="1" applyFill="1" applyBorder="1" applyAlignment="1" applyProtection="1">
      <alignment horizontal="center" vertical="center"/>
    </xf>
    <xf numFmtId="3" fontId="89" fillId="0" borderId="2" xfId="1" applyNumberFormat="1" applyFont="1" applyFill="1" applyBorder="1" applyAlignment="1" applyProtection="1">
      <alignment horizontal="center" vertical="center"/>
    </xf>
    <xf numFmtId="3" fontId="114" fillId="0" borderId="2" xfId="1" applyNumberFormat="1" applyFont="1" applyFill="1" applyBorder="1" applyAlignment="1" applyProtection="1">
      <alignment horizontal="center" vertical="center"/>
    </xf>
    <xf numFmtId="3" fontId="91" fillId="5" borderId="2" xfId="1" applyNumberFormat="1" applyFont="1" applyFill="1" applyBorder="1" applyAlignment="1" applyProtection="1">
      <alignment horizontal="center" vertical="center" wrapText="1"/>
    </xf>
    <xf numFmtId="3" fontId="113" fillId="5" borderId="2" xfId="1" applyNumberFormat="1" applyFont="1" applyFill="1" applyBorder="1" applyAlignment="1" applyProtection="1">
      <alignment horizontal="center" vertical="center" wrapText="1"/>
    </xf>
    <xf numFmtId="4" fontId="4" fillId="0" borderId="2" xfId="1" applyNumberFormat="1" applyFont="1" applyFill="1" applyBorder="1" applyAlignment="1" applyProtection="1">
      <alignment horizontal="center" vertical="center" wrapText="1"/>
    </xf>
    <xf numFmtId="4" fontId="93" fillId="0" borderId="2" xfId="1" applyNumberFormat="1" applyFont="1" applyFill="1" applyBorder="1" applyAlignment="1" applyProtection="1">
      <alignment horizontal="center" vertical="center" wrapText="1"/>
    </xf>
    <xf numFmtId="164" fontId="93" fillId="0" borderId="2" xfId="1" applyNumberFormat="1" applyFont="1" applyFill="1" applyBorder="1" applyAlignment="1" applyProtection="1">
      <alignment horizontal="center" vertical="center" wrapText="1"/>
    </xf>
    <xf numFmtId="3" fontId="93" fillId="0" borderId="2" xfId="1" applyNumberFormat="1" applyFont="1" applyFill="1" applyBorder="1" applyAlignment="1" applyProtection="1">
      <alignment horizontal="center" vertical="center" wrapText="1"/>
    </xf>
    <xf numFmtId="3" fontId="93" fillId="0" borderId="2" xfId="1" applyNumberFormat="1" applyFont="1" applyFill="1" applyBorder="1" applyAlignment="1" applyProtection="1">
      <alignment horizontal="center" vertical="center"/>
    </xf>
    <xf numFmtId="3" fontId="115" fillId="0" borderId="26" xfId="1" applyNumberFormat="1" applyFont="1" applyBorder="1" applyAlignment="1" applyProtection="1">
      <alignment horizontal="center" vertical="center" wrapText="1"/>
    </xf>
    <xf numFmtId="3" fontId="89" fillId="0" borderId="26" xfId="1" applyNumberFormat="1" applyFont="1" applyBorder="1" applyAlignment="1" applyProtection="1">
      <alignment horizontal="center" vertical="center" wrapText="1"/>
    </xf>
    <xf numFmtId="3" fontId="89" fillId="0" borderId="26" xfId="469" applyNumberFormat="1" applyFont="1" applyFill="1" applyBorder="1" applyAlignment="1" applyProtection="1">
      <alignment horizontal="center" vertical="center"/>
    </xf>
    <xf numFmtId="3" fontId="114" fillId="0" borderId="26" xfId="469" applyNumberFormat="1" applyFont="1" applyFill="1" applyBorder="1" applyAlignment="1" applyProtection="1">
      <alignment horizontal="center" vertical="center"/>
    </xf>
    <xf numFmtId="3" fontId="89" fillId="0" borderId="26" xfId="6" applyNumberFormat="1" applyFont="1" applyFill="1" applyBorder="1" applyAlignment="1" applyProtection="1">
      <alignment horizontal="center" vertical="center"/>
    </xf>
    <xf numFmtId="3" fontId="114" fillId="0" borderId="26" xfId="6" applyNumberFormat="1" applyFont="1" applyFill="1" applyBorder="1" applyAlignment="1" applyProtection="1">
      <alignment horizontal="center" vertical="center"/>
    </xf>
    <xf numFmtId="3" fontId="116" fillId="0" borderId="26" xfId="6" applyNumberFormat="1" applyFont="1" applyFill="1" applyBorder="1" applyAlignment="1" applyProtection="1">
      <alignment horizontal="center" vertical="center"/>
    </xf>
    <xf numFmtId="3" fontId="89" fillId="0" borderId="26" xfId="7" applyNumberFormat="1" applyFont="1" applyFill="1" applyBorder="1" applyAlignment="1" applyProtection="1">
      <alignment horizontal="center" vertical="center"/>
    </xf>
    <xf numFmtId="3" fontId="114" fillId="0" borderId="26" xfId="7" applyNumberFormat="1" applyFont="1" applyFill="1" applyBorder="1" applyAlignment="1" applyProtection="1">
      <alignment horizontal="center" vertical="center"/>
    </xf>
    <xf numFmtId="3" fontId="116" fillId="0" borderId="26" xfId="7" applyNumberFormat="1" applyFont="1" applyFill="1" applyBorder="1" applyAlignment="1" applyProtection="1">
      <alignment horizontal="center" vertical="center"/>
    </xf>
    <xf numFmtId="3" fontId="89" fillId="0" borderId="26" xfId="8" applyNumberFormat="1" applyFont="1" applyFill="1" applyBorder="1" applyAlignment="1" applyProtection="1">
      <alignment horizontal="center" vertical="center"/>
    </xf>
    <xf numFmtId="3" fontId="114" fillId="0" borderId="26" xfId="8" applyNumberFormat="1" applyFont="1" applyFill="1" applyBorder="1" applyAlignment="1" applyProtection="1">
      <alignment horizontal="center" vertical="center"/>
    </xf>
    <xf numFmtId="3" fontId="116" fillId="0" borderId="26" xfId="8" applyNumberFormat="1" applyFont="1" applyFill="1" applyBorder="1" applyAlignment="1" applyProtection="1">
      <alignment horizontal="center" vertical="center"/>
    </xf>
    <xf numFmtId="3" fontId="89" fillId="0" borderId="26" xfId="9" applyNumberFormat="1" applyFont="1" applyFill="1" applyBorder="1" applyAlignment="1" applyProtection="1">
      <alignment horizontal="center" vertical="center"/>
    </xf>
    <xf numFmtId="3" fontId="114" fillId="0" borderId="26" xfId="9" applyNumberFormat="1" applyFont="1" applyFill="1" applyBorder="1" applyAlignment="1" applyProtection="1">
      <alignment horizontal="center" vertical="center"/>
    </xf>
    <xf numFmtId="3" fontId="116" fillId="0" borderId="26" xfId="9" applyNumberFormat="1" applyFont="1" applyFill="1" applyBorder="1" applyAlignment="1" applyProtection="1">
      <alignment horizontal="center" vertical="center"/>
    </xf>
    <xf numFmtId="3" fontId="89" fillId="0" borderId="26" xfId="10" applyNumberFormat="1" applyFont="1" applyFill="1" applyBorder="1" applyAlignment="1" applyProtection="1">
      <alignment horizontal="center" vertical="center"/>
    </xf>
    <xf numFmtId="3" fontId="114" fillId="0" borderId="26" xfId="10" applyNumberFormat="1" applyFont="1" applyFill="1" applyBorder="1" applyAlignment="1" applyProtection="1">
      <alignment horizontal="center" vertical="center"/>
    </xf>
    <xf numFmtId="3" fontId="116" fillId="0" borderId="26" xfId="10" applyNumberFormat="1" applyFont="1" applyFill="1" applyBorder="1" applyAlignment="1" applyProtection="1">
      <alignment horizontal="center" vertical="center"/>
    </xf>
    <xf numFmtId="3" fontId="89" fillId="0" borderId="26" xfId="11" applyNumberFormat="1" applyFont="1" applyFill="1" applyBorder="1" applyAlignment="1" applyProtection="1">
      <alignment horizontal="center" vertical="center"/>
    </xf>
    <xf numFmtId="3" fontId="114" fillId="0" borderId="26" xfId="11" applyNumberFormat="1" applyFont="1" applyFill="1" applyBorder="1" applyAlignment="1" applyProtection="1">
      <alignment horizontal="center" vertical="center"/>
    </xf>
    <xf numFmtId="3" fontId="116" fillId="0" borderId="26" xfId="11" applyNumberFormat="1" applyFont="1" applyFill="1" applyBorder="1" applyAlignment="1" applyProtection="1">
      <alignment horizontal="center" vertical="center"/>
    </xf>
    <xf numFmtId="3" fontId="89" fillId="0" borderId="26" xfId="12" applyNumberFormat="1" applyFont="1" applyFill="1" applyBorder="1" applyAlignment="1" applyProtection="1">
      <alignment horizontal="center" vertical="center"/>
    </xf>
    <xf numFmtId="3" fontId="114" fillId="0" borderId="26" xfId="12" applyNumberFormat="1" applyFont="1" applyFill="1" applyBorder="1" applyAlignment="1" applyProtection="1">
      <alignment horizontal="center" vertical="center"/>
    </xf>
    <xf numFmtId="3" fontId="116" fillId="0" borderId="26" xfId="12" applyNumberFormat="1" applyFont="1" applyFill="1" applyBorder="1" applyAlignment="1" applyProtection="1">
      <alignment horizontal="center" vertical="center"/>
    </xf>
    <xf numFmtId="3" fontId="112" fillId="3" borderId="2" xfId="1" applyNumberFormat="1" applyFont="1" applyFill="1" applyBorder="1" applyAlignment="1" applyProtection="1">
      <alignment horizontal="center" vertical="center"/>
    </xf>
    <xf numFmtId="3" fontId="91" fillId="3" borderId="2" xfId="1" applyNumberFormat="1" applyFont="1" applyFill="1" applyBorder="1" applyAlignment="1" applyProtection="1">
      <alignment horizontal="center" vertical="center"/>
    </xf>
    <xf numFmtId="3" fontId="113" fillId="3" borderId="2" xfId="1" applyNumberFormat="1" applyFont="1" applyFill="1" applyBorder="1" applyAlignment="1" applyProtection="1">
      <alignment horizontal="center" vertical="center"/>
    </xf>
    <xf numFmtId="3" fontId="112" fillId="3" borderId="2" xfId="1" applyNumberFormat="1" applyFont="1" applyFill="1" applyBorder="1" applyAlignment="1" applyProtection="1">
      <alignment horizontal="center" vertical="center" wrapText="1"/>
    </xf>
    <xf numFmtId="3" fontId="4" fillId="7" borderId="26" xfId="1" applyNumberFormat="1" applyFont="1" applyFill="1" applyBorder="1" applyAlignment="1" applyProtection="1">
      <alignment horizontal="center" vertical="center" wrapText="1"/>
    </xf>
    <xf numFmtId="164" fontId="4" fillId="0" borderId="26" xfId="1" applyNumberFormat="1" applyFont="1" applyFill="1" applyBorder="1"/>
    <xf numFmtId="164" fontId="4" fillId="0" borderId="26" xfId="1" applyNumberFormat="1" applyFont="1" applyFill="1" applyBorder="1" applyAlignment="1">
      <alignment horizontal="center"/>
    </xf>
    <xf numFmtId="3" fontId="113" fillId="3" borderId="2" xfId="1" applyNumberFormat="1" applyFont="1" applyFill="1" applyBorder="1" applyAlignment="1" applyProtection="1">
      <alignment horizontal="center" vertical="center" wrapText="1"/>
    </xf>
    <xf numFmtId="3" fontId="89" fillId="0" borderId="26" xfId="1" applyNumberFormat="1" applyFont="1" applyBorder="1" applyAlignment="1" applyProtection="1">
      <alignment horizontal="center" vertical="center"/>
    </xf>
    <xf numFmtId="3" fontId="114" fillId="0" borderId="26" xfId="1" applyNumberFormat="1" applyFont="1" applyBorder="1" applyAlignment="1" applyProtection="1">
      <alignment horizontal="center" vertical="center"/>
    </xf>
    <xf numFmtId="3" fontId="89" fillId="7" borderId="26" xfId="1" applyNumberFormat="1" applyFont="1" applyFill="1" applyBorder="1" applyAlignment="1" applyProtection="1">
      <alignment horizontal="center" vertical="center" wrapText="1"/>
    </xf>
    <xf numFmtId="3" fontId="89" fillId="7" borderId="26" xfId="1" applyNumberFormat="1" applyFont="1" applyFill="1" applyBorder="1" applyAlignment="1" applyProtection="1">
      <alignment horizontal="center" vertical="center"/>
    </xf>
    <xf numFmtId="3" fontId="114" fillId="7" borderId="26" xfId="1" applyNumberFormat="1" applyFont="1" applyFill="1" applyBorder="1" applyAlignment="1" applyProtection="1">
      <alignment horizontal="center" vertical="center"/>
    </xf>
    <xf numFmtId="3" fontId="93" fillId="0" borderId="26" xfId="1" applyNumberFormat="1" applyFont="1" applyFill="1" applyBorder="1" applyAlignment="1" applyProtection="1">
      <alignment horizontal="center" vertical="center" wrapText="1"/>
    </xf>
    <xf numFmtId="3" fontId="89" fillId="0" borderId="2" xfId="4" applyNumberFormat="1" applyFont="1" applyFill="1" applyBorder="1" applyAlignment="1" applyProtection="1">
      <alignment horizontal="center" vertical="center"/>
    </xf>
    <xf numFmtId="3" fontId="114" fillId="0" borderId="2" xfId="4" applyNumberFormat="1" applyFont="1" applyFill="1" applyBorder="1" applyAlignment="1" applyProtection="1">
      <alignment horizontal="center" vertical="center"/>
    </xf>
    <xf numFmtId="3" fontId="93" fillId="0" borderId="2" xfId="4" applyNumberFormat="1" applyFont="1" applyFill="1" applyBorder="1" applyAlignment="1" applyProtection="1">
      <alignment horizontal="center" vertical="center" wrapText="1"/>
    </xf>
    <xf numFmtId="3" fontId="4" fillId="0" borderId="33" xfId="1" applyNumberFormat="1" applyFont="1" applyFill="1" applyBorder="1" applyAlignment="1" applyProtection="1">
      <alignment horizontal="center" vertical="center" wrapText="1"/>
    </xf>
    <xf numFmtId="3" fontId="112" fillId="3" borderId="33" xfId="1" applyNumberFormat="1" applyFont="1" applyFill="1" applyBorder="1" applyAlignment="1" applyProtection="1">
      <alignment horizontal="center" vertical="center"/>
    </xf>
    <xf numFmtId="164" fontId="4" fillId="0" borderId="33" xfId="1" applyNumberFormat="1" applyFont="1" applyFill="1" applyBorder="1" applyAlignment="1">
      <alignment horizontal="center"/>
    </xf>
    <xf numFmtId="3" fontId="0" fillId="0" borderId="0" xfId="0" applyNumberFormat="1" applyBorder="1"/>
    <xf numFmtId="0" fontId="5" fillId="0" borderId="9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0" fillId="0" borderId="9" xfId="0" applyBorder="1"/>
    <xf numFmtId="0" fontId="0" fillId="0" borderId="9" xfId="0" applyFill="1" applyBorder="1" applyAlignment="1">
      <alignment horizontal="left" wrapText="1"/>
    </xf>
    <xf numFmtId="0" fontId="5" fillId="0" borderId="9" xfId="0" applyFont="1" applyFill="1" applyBorder="1" applyAlignment="1">
      <alignment horizontal="justify" vertical="center"/>
    </xf>
    <xf numFmtId="0" fontId="0" fillId="0" borderId="9" xfId="0" applyFill="1" applyBorder="1" applyAlignment="1">
      <alignment horizontal="center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justify" vertical="center" wrapText="1"/>
    </xf>
    <xf numFmtId="3" fontId="80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17" fillId="4" borderId="12" xfId="0" applyNumberFormat="1" applyFont="1" applyFill="1" applyBorder="1" applyAlignment="1" applyProtection="1">
      <alignment vertical="center" wrapText="1"/>
      <protection locked="0"/>
    </xf>
    <xf numFmtId="3" fontId="117" fillId="4" borderId="13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12" xfId="0" applyNumberFormat="1" applyFont="1" applyFill="1" applyBorder="1" applyAlignment="1" applyProtection="1">
      <alignment vertical="center" wrapText="1"/>
      <protection locked="0"/>
    </xf>
    <xf numFmtId="3" fontId="80" fillId="4" borderId="13" xfId="0" applyNumberFormat="1" applyFont="1" applyFill="1" applyBorder="1" applyAlignment="1" applyProtection="1">
      <alignment horizontal="center" vertical="center" wrapText="1"/>
      <protection locked="0"/>
    </xf>
    <xf numFmtId="3" fontId="80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117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17" fillId="4" borderId="5" xfId="0" applyNumberFormat="1" applyFont="1" applyFill="1" applyBorder="1" applyAlignment="1" applyProtection="1">
      <alignment vertical="center" wrapText="1"/>
      <protection locked="0"/>
    </xf>
    <xf numFmtId="0" fontId="80" fillId="5" borderId="2" xfId="0" applyFont="1" applyFill="1" applyBorder="1" applyAlignment="1" applyProtection="1">
      <alignment horizontal="center" vertical="center" wrapText="1"/>
      <protection locked="0"/>
    </xf>
    <xf numFmtId="0" fontId="117" fillId="5" borderId="2" xfId="0" applyFont="1" applyFill="1" applyBorder="1" applyAlignment="1" applyProtection="1">
      <alignment horizontal="center" vertical="center" wrapText="1"/>
      <protection locked="0"/>
    </xf>
    <xf numFmtId="0" fontId="80" fillId="3" borderId="2" xfId="0" applyFont="1" applyFill="1" applyBorder="1" applyAlignment="1" applyProtection="1">
      <alignment horizontal="center" vertical="center" wrapText="1"/>
    </xf>
    <xf numFmtId="3" fontId="80" fillId="3" borderId="2" xfId="1" applyNumberFormat="1" applyFont="1" applyFill="1" applyBorder="1" applyAlignment="1" applyProtection="1">
      <alignment horizontal="center" vertical="center" wrapText="1"/>
    </xf>
    <xf numFmtId="3" fontId="117" fillId="3" borderId="2" xfId="1" applyNumberFormat="1" applyFont="1" applyFill="1" applyBorder="1" applyAlignment="1" applyProtection="1">
      <alignment horizontal="center" vertical="center" wrapText="1"/>
    </xf>
    <xf numFmtId="0" fontId="80" fillId="6" borderId="2" xfId="0" applyFont="1" applyFill="1" applyBorder="1" applyAlignment="1" applyProtection="1">
      <alignment horizontal="center" vertical="center" wrapText="1"/>
    </xf>
    <xf numFmtId="3" fontId="80" fillId="6" borderId="2" xfId="1" applyNumberFormat="1" applyFont="1" applyFill="1" applyBorder="1" applyAlignment="1" applyProtection="1">
      <alignment horizontal="center" vertical="center" wrapText="1"/>
    </xf>
    <xf numFmtId="3" fontId="117" fillId="6" borderId="2" xfId="1" applyNumberFormat="1" applyFont="1" applyFill="1" applyBorder="1" applyAlignment="1" applyProtection="1">
      <alignment horizontal="center" vertical="center" wrapText="1"/>
    </xf>
    <xf numFmtId="0" fontId="80" fillId="8" borderId="2" xfId="0" applyFont="1" applyFill="1" applyBorder="1" applyAlignment="1" applyProtection="1">
      <alignment horizontal="center" vertical="center" wrapText="1"/>
    </xf>
    <xf numFmtId="3" fontId="80" fillId="8" borderId="2" xfId="1" applyNumberFormat="1" applyFont="1" applyFill="1" applyBorder="1" applyAlignment="1" applyProtection="1">
      <alignment horizontal="center" vertical="center" wrapText="1"/>
    </xf>
    <xf numFmtId="3" fontId="117" fillId="8" borderId="2" xfId="1" applyNumberFormat="1" applyFont="1" applyFill="1" applyBorder="1" applyAlignment="1" applyProtection="1">
      <alignment horizontal="center" vertical="center" wrapText="1"/>
    </xf>
    <xf numFmtId="0" fontId="80" fillId="9" borderId="2" xfId="0" applyFont="1" applyFill="1" applyBorder="1" applyAlignment="1" applyProtection="1">
      <alignment horizontal="center" vertical="center" wrapText="1"/>
    </xf>
    <xf numFmtId="3" fontId="80" fillId="9" borderId="2" xfId="1" applyNumberFormat="1" applyFont="1" applyFill="1" applyBorder="1" applyAlignment="1" applyProtection="1">
      <alignment horizontal="center" vertical="center" wrapText="1"/>
    </xf>
    <xf numFmtId="3" fontId="117" fillId="9" borderId="2" xfId="1" applyNumberFormat="1" applyFont="1" applyFill="1" applyBorder="1" applyAlignment="1" applyProtection="1">
      <alignment horizontal="center" vertical="center" wrapText="1"/>
    </xf>
    <xf numFmtId="0" fontId="117" fillId="5" borderId="2" xfId="0" applyFont="1" applyFill="1" applyBorder="1" applyAlignment="1" applyProtection="1">
      <alignment horizontal="left" vertical="center"/>
    </xf>
    <xf numFmtId="0" fontId="117" fillId="5" borderId="2" xfId="3" applyFont="1" applyFill="1" applyBorder="1" applyAlignment="1" applyProtection="1">
      <alignment horizontal="center" vertical="center"/>
    </xf>
    <xf numFmtId="3" fontId="117" fillId="5" borderId="2" xfId="1" applyNumberFormat="1" applyFont="1" applyFill="1" applyBorder="1" applyAlignment="1" applyProtection="1">
      <alignment horizontal="center" vertical="center"/>
    </xf>
    <xf numFmtId="3" fontId="117" fillId="5" borderId="2" xfId="1" applyNumberFormat="1" applyFont="1" applyFill="1" applyBorder="1" applyAlignment="1" applyProtection="1">
      <alignment horizontal="center" vertical="center" wrapText="1"/>
    </xf>
    <xf numFmtId="0" fontId="93" fillId="0" borderId="26" xfId="0" applyFont="1" applyFill="1" applyBorder="1" applyAlignment="1" applyProtection="1">
      <alignment horizontal="left" vertical="center" wrapText="1"/>
    </xf>
    <xf numFmtId="164" fontId="93" fillId="0" borderId="26" xfId="1" applyNumberFormat="1" applyFont="1" applyFill="1" applyBorder="1" applyAlignment="1" applyProtection="1">
      <alignment horizontal="center" vertical="center" wrapText="1"/>
    </xf>
    <xf numFmtId="164" fontId="118" fillId="0" borderId="26" xfId="1" applyNumberFormat="1" applyFont="1" applyFill="1" applyBorder="1" applyAlignment="1" applyProtection="1">
      <alignment horizontal="center" vertical="center" wrapText="1"/>
    </xf>
    <xf numFmtId="164" fontId="93" fillId="0" borderId="26" xfId="1" applyNumberFormat="1" applyFont="1" applyFill="1" applyBorder="1" applyAlignment="1" applyProtection="1">
      <alignment horizontal="center" vertical="center"/>
    </xf>
    <xf numFmtId="164" fontId="118" fillId="0" borderId="26" xfId="1" applyNumberFormat="1" applyFont="1" applyFill="1" applyBorder="1" applyAlignment="1" applyProtection="1">
      <alignment horizontal="center" vertical="center"/>
    </xf>
    <xf numFmtId="3" fontId="118" fillId="0" borderId="26" xfId="1" applyNumberFormat="1" applyFont="1" applyFill="1" applyBorder="1" applyAlignment="1" applyProtection="1">
      <alignment horizontal="center" vertical="center" wrapText="1"/>
    </xf>
    <xf numFmtId="3" fontId="93" fillId="0" borderId="26" xfId="1" applyNumberFormat="1" applyFont="1" applyFill="1" applyBorder="1" applyAlignment="1" applyProtection="1">
      <alignment horizontal="center" vertical="center"/>
    </xf>
    <xf numFmtId="3" fontId="118" fillId="0" borderId="26" xfId="1" applyNumberFormat="1" applyFont="1" applyFill="1" applyBorder="1" applyAlignment="1" applyProtection="1">
      <alignment horizontal="center" vertical="center"/>
    </xf>
    <xf numFmtId="0" fontId="93" fillId="0" borderId="2" xfId="0" applyFont="1" applyFill="1" applyBorder="1" applyAlignment="1" applyProtection="1">
      <alignment horizontal="left" vertical="center" wrapText="1"/>
    </xf>
    <xf numFmtId="3" fontId="118" fillId="0" borderId="2" xfId="1" applyNumberFormat="1" applyFont="1" applyFill="1" applyBorder="1" applyAlignment="1" applyProtection="1">
      <alignment horizontal="center" vertical="center" wrapText="1"/>
    </xf>
    <xf numFmtId="3" fontId="118" fillId="0" borderId="2" xfId="1" applyNumberFormat="1" applyFont="1" applyFill="1" applyBorder="1" applyAlignment="1" applyProtection="1">
      <alignment horizontal="center" vertical="center"/>
    </xf>
    <xf numFmtId="0" fontId="117" fillId="5" borderId="2" xfId="0" applyFont="1" applyFill="1" applyBorder="1" applyAlignment="1" applyProtection="1">
      <alignment vertical="center"/>
    </xf>
    <xf numFmtId="0" fontId="117" fillId="5" borderId="2" xfId="3" applyFont="1" applyFill="1" applyBorder="1" applyAlignment="1" applyProtection="1">
      <alignment horizontal="center" vertical="center" wrapText="1"/>
    </xf>
    <xf numFmtId="4" fontId="93" fillId="0" borderId="2" xfId="1" applyNumberFormat="1" applyFont="1" applyFill="1" applyBorder="1" applyAlignment="1" applyProtection="1">
      <alignment horizontal="center" vertical="center"/>
    </xf>
    <xf numFmtId="164" fontId="93" fillId="0" borderId="26" xfId="1" applyNumberFormat="1" applyFont="1" applyBorder="1" applyAlignment="1" applyProtection="1">
      <alignment horizontal="center" vertical="center" wrapText="1"/>
    </xf>
    <xf numFmtId="3" fontId="93" fillId="0" borderId="26" xfId="469" applyNumberFormat="1" applyFont="1" applyFill="1" applyBorder="1" applyAlignment="1" applyProtection="1">
      <alignment horizontal="center" vertical="center" wrapText="1"/>
    </xf>
    <xf numFmtId="3" fontId="118" fillId="0" borderId="26" xfId="469" applyNumberFormat="1" applyFont="1" applyFill="1" applyBorder="1" applyAlignment="1" applyProtection="1">
      <alignment horizontal="center" vertical="center" wrapText="1"/>
    </xf>
    <xf numFmtId="3" fontId="93" fillId="0" borderId="26" xfId="1" applyNumberFormat="1" applyFont="1" applyBorder="1" applyAlignment="1" applyProtection="1">
      <alignment horizontal="center" vertical="center" wrapText="1"/>
    </xf>
    <xf numFmtId="3" fontId="93" fillId="0" borderId="26" xfId="469" applyNumberFormat="1" applyFont="1" applyFill="1" applyBorder="1" applyAlignment="1" applyProtection="1">
      <alignment horizontal="center" vertical="center"/>
    </xf>
    <xf numFmtId="3" fontId="118" fillId="0" borderId="26" xfId="1" applyNumberFormat="1" applyFont="1" applyBorder="1" applyAlignment="1" applyProtection="1">
      <alignment horizontal="center" vertical="center" wrapText="1"/>
    </xf>
    <xf numFmtId="3" fontId="118" fillId="0" borderId="26" xfId="469" applyNumberFormat="1" applyFont="1" applyFill="1" applyBorder="1" applyAlignment="1" applyProtection="1">
      <alignment horizontal="center" vertical="center"/>
    </xf>
    <xf numFmtId="3" fontId="93" fillId="0" borderId="26" xfId="0" applyNumberFormat="1" applyFont="1" applyBorder="1" applyAlignment="1" applyProtection="1">
      <alignment horizontal="center" vertical="center" wrapText="1"/>
    </xf>
    <xf numFmtId="3" fontId="93" fillId="0" borderId="26" xfId="0" applyNumberFormat="1" applyFont="1" applyFill="1" applyBorder="1" applyAlignment="1" applyProtection="1">
      <alignment horizontal="center" vertical="center" wrapText="1"/>
    </xf>
    <xf numFmtId="3" fontId="93" fillId="0" borderId="26" xfId="6" applyNumberFormat="1" applyFont="1" applyFill="1" applyBorder="1" applyAlignment="1" applyProtection="1">
      <alignment horizontal="center" vertical="center"/>
    </xf>
    <xf numFmtId="3" fontId="118" fillId="0" borderId="26" xfId="6" applyNumberFormat="1" applyFont="1" applyFill="1" applyBorder="1" applyAlignment="1" applyProtection="1">
      <alignment horizontal="center" vertical="center"/>
    </xf>
    <xf numFmtId="3" fontId="93" fillId="0" borderId="26" xfId="6" applyNumberFormat="1" applyFont="1" applyFill="1" applyBorder="1" applyAlignment="1" applyProtection="1">
      <alignment horizontal="center" vertical="center" wrapText="1"/>
    </xf>
    <xf numFmtId="3" fontId="93" fillId="0" borderId="26" xfId="7" applyNumberFormat="1" applyFont="1" applyFill="1" applyBorder="1" applyAlignment="1" applyProtection="1">
      <alignment horizontal="center" vertical="center" wrapText="1"/>
    </xf>
    <xf numFmtId="3" fontId="93" fillId="0" borderId="26" xfId="7" applyNumberFormat="1" applyFont="1" applyFill="1" applyBorder="1" applyAlignment="1" applyProtection="1">
      <alignment horizontal="center" vertical="center"/>
    </xf>
    <xf numFmtId="3" fontId="118" fillId="0" borderId="26" xfId="7" applyNumberFormat="1" applyFont="1" applyFill="1" applyBorder="1" applyAlignment="1" applyProtection="1">
      <alignment horizontal="center" vertical="center"/>
    </xf>
    <xf numFmtId="3" fontId="93" fillId="0" borderId="26" xfId="8" applyNumberFormat="1" applyFont="1" applyFill="1" applyBorder="1" applyAlignment="1" applyProtection="1">
      <alignment horizontal="center" vertical="center"/>
    </xf>
    <xf numFmtId="3" fontId="118" fillId="0" borderId="26" xfId="8" applyNumberFormat="1" applyFont="1" applyFill="1" applyBorder="1" applyAlignment="1" applyProtection="1">
      <alignment horizontal="center" vertical="center"/>
    </xf>
    <xf numFmtId="3" fontId="93" fillId="0" borderId="26" xfId="8" applyNumberFormat="1" applyFont="1" applyFill="1" applyBorder="1" applyAlignment="1" applyProtection="1">
      <alignment horizontal="center" vertical="center" wrapText="1"/>
    </xf>
    <xf numFmtId="3" fontId="93" fillId="0" borderId="26" xfId="9" applyNumberFormat="1" applyFont="1" applyFill="1" applyBorder="1" applyAlignment="1" applyProtection="1">
      <alignment horizontal="center" vertical="center" wrapText="1"/>
    </xf>
    <xf numFmtId="3" fontId="93" fillId="0" borderId="26" xfId="9" applyNumberFormat="1" applyFont="1" applyFill="1" applyBorder="1" applyAlignment="1" applyProtection="1">
      <alignment horizontal="center" vertical="center"/>
    </xf>
    <xf numFmtId="3" fontId="118" fillId="0" borderId="26" xfId="9" applyNumberFormat="1" applyFont="1" applyFill="1" applyBorder="1" applyAlignment="1" applyProtection="1">
      <alignment horizontal="center" vertical="center"/>
    </xf>
    <xf numFmtId="3" fontId="93" fillId="0" borderId="26" xfId="10" applyNumberFormat="1" applyFont="1" applyFill="1" applyBorder="1" applyAlignment="1" applyProtection="1">
      <alignment horizontal="center" vertical="center"/>
    </xf>
    <xf numFmtId="3" fontId="118" fillId="0" borderId="26" xfId="10" applyNumberFormat="1" applyFont="1" applyFill="1" applyBorder="1" applyAlignment="1" applyProtection="1">
      <alignment horizontal="center" vertical="center"/>
    </xf>
    <xf numFmtId="3" fontId="93" fillId="0" borderId="26" xfId="10" applyNumberFormat="1" applyFont="1" applyFill="1" applyBorder="1" applyAlignment="1" applyProtection="1">
      <alignment horizontal="center" vertical="center" wrapText="1"/>
    </xf>
    <xf numFmtId="3" fontId="93" fillId="0" borderId="26" xfId="11" applyNumberFormat="1" applyFont="1" applyFill="1" applyBorder="1" applyAlignment="1" applyProtection="1">
      <alignment horizontal="center" vertical="center"/>
    </xf>
    <xf numFmtId="3" fontId="118" fillId="0" borderId="26" xfId="11" applyNumberFormat="1" applyFont="1" applyFill="1" applyBorder="1" applyAlignment="1" applyProtection="1">
      <alignment horizontal="center" vertical="center"/>
    </xf>
    <xf numFmtId="3" fontId="93" fillId="0" borderId="26" xfId="11" applyNumberFormat="1" applyFont="1" applyFill="1" applyBorder="1" applyAlignment="1" applyProtection="1">
      <alignment horizontal="center" vertical="center" wrapText="1"/>
    </xf>
    <xf numFmtId="3" fontId="93" fillId="0" borderId="26" xfId="12" applyNumberFormat="1" applyFont="1" applyFill="1" applyBorder="1" applyAlignment="1" applyProtection="1">
      <alignment horizontal="center" vertical="center"/>
    </xf>
    <xf numFmtId="3" fontId="118" fillId="0" borderId="26" xfId="12" applyNumberFormat="1" applyFont="1" applyFill="1" applyBorder="1" applyAlignment="1" applyProtection="1">
      <alignment horizontal="center" vertical="center"/>
    </xf>
    <xf numFmtId="3" fontId="93" fillId="0" borderId="26" xfId="12" applyNumberFormat="1" applyFont="1" applyFill="1" applyBorder="1" applyAlignment="1" applyProtection="1">
      <alignment horizontal="center" vertical="center" wrapText="1"/>
    </xf>
    <xf numFmtId="0" fontId="80" fillId="9" borderId="2" xfId="0" applyFont="1" applyFill="1" applyBorder="1" applyAlignment="1" applyProtection="1">
      <alignment horizontal="left" vertical="center" wrapText="1"/>
    </xf>
    <xf numFmtId="0" fontId="117" fillId="3" borderId="2" xfId="0" applyFont="1" applyFill="1" applyBorder="1" applyAlignment="1" applyProtection="1">
      <alignment horizontal="left" vertical="center"/>
    </xf>
    <xf numFmtId="0" fontId="117" fillId="3" borderId="2" xfId="3" applyFont="1" applyFill="1" applyBorder="1" applyAlignment="1" applyProtection="1">
      <alignment horizontal="center" vertical="center"/>
    </xf>
    <xf numFmtId="3" fontId="117" fillId="3" borderId="2" xfId="1" applyNumberFormat="1" applyFont="1" applyFill="1" applyBorder="1" applyAlignment="1" applyProtection="1">
      <alignment horizontal="center" vertical="center"/>
    </xf>
    <xf numFmtId="0" fontId="93" fillId="0" borderId="26" xfId="3" applyFont="1" applyFill="1" applyBorder="1" applyAlignment="1" applyProtection="1">
      <alignment horizontal="left" vertical="center" wrapText="1"/>
    </xf>
    <xf numFmtId="3" fontId="93" fillId="7" borderId="26" xfId="1" applyNumberFormat="1" applyFont="1" applyFill="1" applyBorder="1" applyAlignment="1" applyProtection="1">
      <alignment horizontal="center" vertical="center" wrapText="1"/>
    </xf>
    <xf numFmtId="4" fontId="93" fillId="0" borderId="26" xfId="1" applyNumberFormat="1" applyFont="1" applyFill="1" applyBorder="1" applyAlignment="1" applyProtection="1">
      <alignment horizontal="center" vertical="center" wrapText="1"/>
    </xf>
    <xf numFmtId="0" fontId="93" fillId="7" borderId="14" xfId="13" applyFont="1" applyFill="1" applyBorder="1" applyAlignment="1" applyProtection="1">
      <alignment horizontal="left" vertical="center" wrapText="1"/>
      <protection locked="0"/>
    </xf>
    <xf numFmtId="0" fontId="93" fillId="7" borderId="26" xfId="13" applyFont="1" applyFill="1" applyBorder="1" applyAlignment="1" applyProtection="1">
      <alignment horizontal="left" vertical="center" wrapText="1"/>
      <protection locked="0"/>
    </xf>
    <xf numFmtId="173" fontId="93" fillId="0" borderId="26" xfId="1" applyNumberFormat="1" applyFont="1" applyFill="1" applyBorder="1" applyAlignment="1" applyProtection="1">
      <alignment horizontal="center" vertical="center" wrapText="1"/>
    </xf>
    <xf numFmtId="164" fontId="93" fillId="7" borderId="26" xfId="1" applyNumberFormat="1" applyFont="1" applyFill="1" applyBorder="1" applyAlignment="1" applyProtection="1">
      <alignment horizontal="center" vertical="center"/>
    </xf>
    <xf numFmtId="0" fontId="93" fillId="0" borderId="2" xfId="14" applyFont="1" applyFill="1" applyBorder="1" applyAlignment="1" applyProtection="1">
      <alignment horizontal="left" vertical="center" wrapText="1"/>
    </xf>
    <xf numFmtId="3" fontId="93" fillId="7" borderId="2" xfId="1" applyNumberFormat="1" applyFont="1" applyFill="1" applyBorder="1" applyAlignment="1" applyProtection="1">
      <alignment horizontal="center" vertical="center"/>
    </xf>
    <xf numFmtId="0" fontId="117" fillId="3" borderId="2" xfId="3" applyFont="1" applyFill="1" applyBorder="1" applyAlignment="1" applyProtection="1">
      <alignment horizontal="center" vertical="center" wrapText="1"/>
    </xf>
    <xf numFmtId="0" fontId="93" fillId="0" borderId="2" xfId="3" applyFont="1" applyFill="1" applyBorder="1" applyAlignment="1" applyProtection="1">
      <alignment horizontal="left" vertical="center" wrapText="1"/>
    </xf>
    <xf numFmtId="3" fontId="93" fillId="7" borderId="2" xfId="1" applyNumberFormat="1" applyFont="1" applyFill="1" applyBorder="1" applyAlignment="1" applyProtection="1">
      <alignment horizontal="center" vertical="center" wrapText="1"/>
    </xf>
    <xf numFmtId="0" fontId="93" fillId="7" borderId="2" xfId="3" applyFont="1" applyFill="1" applyBorder="1" applyAlignment="1" applyProtection="1">
      <alignment horizontal="left" vertical="center" wrapText="1"/>
    </xf>
    <xf numFmtId="0" fontId="93" fillId="0" borderId="2" xfId="0" applyNumberFormat="1" applyFont="1" applyFill="1" applyBorder="1" applyAlignment="1" applyProtection="1">
      <alignment horizontal="left" vertical="center" wrapText="1"/>
    </xf>
    <xf numFmtId="0" fontId="93" fillId="0" borderId="26" xfId="0" applyFont="1" applyBorder="1" applyAlignment="1" applyProtection="1">
      <alignment horizontal="left" vertical="center" wrapText="1"/>
    </xf>
    <xf numFmtId="3" fontId="93" fillId="62" borderId="26" xfId="1" applyNumberFormat="1" applyFont="1" applyFill="1" applyBorder="1" applyAlignment="1" applyProtection="1">
      <alignment horizontal="center" vertical="center" wrapText="1"/>
    </xf>
    <xf numFmtId="3" fontId="93" fillId="0" borderId="26" xfId="1" applyNumberFormat="1" applyFont="1" applyBorder="1" applyAlignment="1" applyProtection="1">
      <alignment horizontal="center" vertical="center"/>
    </xf>
    <xf numFmtId="3" fontId="118" fillId="0" borderId="26" xfId="1" applyNumberFormat="1" applyFont="1" applyBorder="1" applyAlignment="1" applyProtection="1">
      <alignment horizontal="center" vertical="center"/>
    </xf>
    <xf numFmtId="2" fontId="93" fillId="0" borderId="2" xfId="0" applyNumberFormat="1" applyFont="1" applyFill="1" applyBorder="1" applyAlignment="1" applyProtection="1">
      <alignment horizontal="left" vertical="center" wrapText="1"/>
    </xf>
    <xf numFmtId="4" fontId="93" fillId="0" borderId="26" xfId="0" applyNumberFormat="1" applyFont="1" applyFill="1" applyBorder="1" applyAlignment="1" applyProtection="1">
      <alignment horizontal="left" vertical="center" wrapText="1"/>
    </xf>
    <xf numFmtId="0" fontId="93" fillId="7" borderId="26" xfId="0" applyFont="1" applyFill="1" applyBorder="1" applyAlignment="1" applyProtection="1">
      <alignment horizontal="left" vertical="center" wrapText="1"/>
    </xf>
    <xf numFmtId="164" fontId="93" fillId="7" borderId="26" xfId="1" applyNumberFormat="1" applyFont="1" applyFill="1" applyBorder="1" applyAlignment="1" applyProtection="1">
      <alignment horizontal="center" vertical="center" wrapText="1"/>
    </xf>
    <xf numFmtId="3" fontId="118" fillId="7" borderId="26" xfId="1" applyNumberFormat="1" applyFont="1" applyFill="1" applyBorder="1" applyAlignment="1" applyProtection="1">
      <alignment horizontal="center" vertical="center" wrapText="1"/>
    </xf>
    <xf numFmtId="3" fontId="93" fillId="7" borderId="26" xfId="1" applyNumberFormat="1" applyFont="1" applyFill="1" applyBorder="1" applyAlignment="1" applyProtection="1">
      <alignment horizontal="center" vertical="center"/>
    </xf>
    <xf numFmtId="3" fontId="118" fillId="7" borderId="26" xfId="1" applyNumberFormat="1" applyFont="1" applyFill="1" applyBorder="1" applyAlignment="1" applyProtection="1">
      <alignment horizontal="center" vertical="center"/>
    </xf>
    <xf numFmtId="3" fontId="93" fillId="0" borderId="2" xfId="4" applyNumberFormat="1" applyFont="1" applyFill="1" applyBorder="1" applyAlignment="1" applyProtection="1">
      <alignment horizontal="center" vertical="center"/>
    </xf>
    <xf numFmtId="3" fontId="118" fillId="0" borderId="2" xfId="4" applyNumberFormat="1" applyFont="1" applyFill="1" applyBorder="1" applyAlignment="1" applyProtection="1">
      <alignment horizontal="center" vertical="center"/>
    </xf>
    <xf numFmtId="3" fontId="93" fillId="0" borderId="2" xfId="0" applyNumberFormat="1" applyFont="1" applyFill="1" applyBorder="1" applyAlignment="1" applyProtection="1">
      <alignment horizontal="left" vertical="center" wrapText="1"/>
    </xf>
    <xf numFmtId="3" fontId="118" fillId="7" borderId="2" xfId="1" applyNumberFormat="1" applyFont="1" applyFill="1" applyBorder="1" applyAlignment="1" applyProtection="1">
      <alignment horizontal="center" vertical="center" wrapText="1"/>
    </xf>
    <xf numFmtId="4" fontId="93" fillId="7" borderId="2" xfId="1" applyNumberFormat="1" applyFont="1" applyFill="1" applyBorder="1" applyAlignment="1" applyProtection="1">
      <alignment horizontal="center" vertical="center" wrapText="1"/>
    </xf>
    <xf numFmtId="3" fontId="93" fillId="0" borderId="0" xfId="0" applyNumberFormat="1" applyFont="1" applyFill="1" applyAlignment="1" applyProtection="1">
      <alignment horizontal="center" vertical="center"/>
      <protection locked="0"/>
    </xf>
    <xf numFmtId="0" fontId="119" fillId="0" borderId="0" xfId="0" applyFont="1" applyFill="1"/>
    <xf numFmtId="0" fontId="120" fillId="0" borderId="0" xfId="0" applyFont="1"/>
    <xf numFmtId="0" fontId="94" fillId="0" borderId="0" xfId="0" applyFont="1" applyFill="1"/>
    <xf numFmtId="0" fontId="92" fillId="0" borderId="0" xfId="0" applyFont="1" applyFill="1" applyAlignment="1">
      <alignment horizontal="left"/>
    </xf>
    <xf numFmtId="3" fontId="93" fillId="0" borderId="26" xfId="4" applyNumberFormat="1" applyFont="1" applyFill="1" applyBorder="1" applyAlignment="1" applyProtection="1">
      <alignment horizontal="center" vertical="center"/>
    </xf>
    <xf numFmtId="3" fontId="118" fillId="0" borderId="26" xfId="4" applyNumberFormat="1" applyFont="1" applyFill="1" applyBorder="1" applyAlignment="1" applyProtection="1">
      <alignment horizontal="center" vertical="center"/>
    </xf>
    <xf numFmtId="3" fontId="93" fillId="0" borderId="26" xfId="4" applyNumberFormat="1" applyFont="1" applyFill="1" applyBorder="1" applyAlignment="1" applyProtection="1">
      <alignment horizontal="center" vertical="center" wrapText="1"/>
    </xf>
    <xf numFmtId="3" fontId="89" fillId="0" borderId="26" xfId="4" applyNumberFormat="1" applyFont="1" applyFill="1" applyBorder="1" applyAlignment="1" applyProtection="1">
      <alignment horizontal="center" vertical="center"/>
    </xf>
    <xf numFmtId="3" fontId="114" fillId="0" borderId="26" xfId="4" applyNumberFormat="1" applyFont="1" applyFill="1" applyBorder="1" applyAlignment="1" applyProtection="1">
      <alignment horizontal="center" vertical="center"/>
    </xf>
    <xf numFmtId="3" fontId="19" fillId="0" borderId="2" xfId="1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/>
      <protection locked="0"/>
    </xf>
    <xf numFmtId="0" fontId="94" fillId="0" borderId="0" xfId="0" applyFont="1" applyFill="1" applyAlignment="1">
      <alignment horizontal="left"/>
    </xf>
    <xf numFmtId="14" fontId="94" fillId="0" borderId="0" xfId="0" applyNumberFormat="1" applyFont="1" applyFill="1" applyAlignment="1">
      <alignment horizontal="left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0" fontId="80" fillId="3" borderId="2" xfId="0" applyFont="1" applyFill="1" applyBorder="1" applyAlignment="1" applyProtection="1">
      <alignment horizontal="center" vertical="center" wrapText="1"/>
      <protection locked="0"/>
    </xf>
    <xf numFmtId="3" fontId="80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9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13" xfId="0" applyNumberFormat="1" applyFont="1" applyFill="1" applyBorder="1" applyAlignment="1" applyProtection="1">
      <alignment horizontal="center" vertical="center" wrapText="1"/>
      <protection locked="0"/>
    </xf>
    <xf numFmtId="3" fontId="117" fillId="4" borderId="40" xfId="0" applyNumberFormat="1" applyFont="1" applyFill="1" applyBorder="1" applyAlignment="1" applyProtection="1">
      <alignment horizontal="center" vertical="center" wrapText="1"/>
      <protection locked="0"/>
    </xf>
    <xf numFmtId="3" fontId="117" fillId="4" borderId="41" xfId="0" applyNumberFormat="1" applyFont="1" applyFill="1" applyBorder="1" applyAlignment="1" applyProtection="1">
      <alignment horizontal="center" vertical="center" wrapText="1"/>
      <protection locked="0"/>
    </xf>
    <xf numFmtId="3" fontId="117" fillId="4" borderId="10" xfId="0" applyNumberFormat="1" applyFont="1" applyFill="1" applyBorder="1" applyAlignment="1" applyProtection="1">
      <alignment horizontal="center" vertical="center" wrapText="1"/>
      <protection locked="0"/>
    </xf>
    <xf numFmtId="3" fontId="117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10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19" fillId="0" borderId="0" xfId="0" applyFont="1" applyFill="1" applyAlignment="1">
      <alignment horizontal="center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left" wrapText="1"/>
      <protection locked="0"/>
    </xf>
    <xf numFmtId="3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3" fontId="91" fillId="4" borderId="40" xfId="0" applyNumberFormat="1" applyFont="1" applyFill="1" applyBorder="1" applyAlignment="1" applyProtection="1">
      <alignment horizontal="center" vertical="center" wrapText="1"/>
      <protection locked="0"/>
    </xf>
    <xf numFmtId="3" fontId="91" fillId="4" borderId="41" xfId="0" applyNumberFormat="1" applyFont="1" applyFill="1" applyBorder="1" applyAlignment="1" applyProtection="1">
      <alignment horizontal="center" vertical="center" wrapText="1"/>
      <protection locked="0"/>
    </xf>
    <xf numFmtId="3" fontId="91" fillId="4" borderId="10" xfId="0" applyNumberFormat="1" applyFont="1" applyFill="1" applyBorder="1" applyAlignment="1" applyProtection="1">
      <alignment horizontal="center" vertical="center" wrapText="1"/>
      <protection locked="0"/>
    </xf>
    <xf numFmtId="3" fontId="91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111" fillId="4" borderId="40" xfId="0" applyNumberFormat="1" applyFont="1" applyFill="1" applyBorder="1" applyAlignment="1" applyProtection="1">
      <alignment horizontal="center" vertical="center" wrapText="1"/>
      <protection locked="0"/>
    </xf>
    <xf numFmtId="3" fontId="111" fillId="4" borderId="41" xfId="0" applyNumberFormat="1" applyFont="1" applyFill="1" applyBorder="1" applyAlignment="1" applyProtection="1">
      <alignment horizontal="center" vertical="center" wrapText="1"/>
      <protection locked="0"/>
    </xf>
    <xf numFmtId="3" fontId="111" fillId="4" borderId="10" xfId="0" applyNumberFormat="1" applyFont="1" applyFill="1" applyBorder="1" applyAlignment="1" applyProtection="1">
      <alignment horizontal="center" vertical="center" wrapText="1"/>
      <protection locked="0"/>
    </xf>
    <xf numFmtId="3" fontId="111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11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11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40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41" xfId="0" applyNumberFormat="1" applyFont="1" applyFill="1" applyBorder="1" applyAlignment="1" applyProtection="1">
      <alignment horizontal="center" vertical="center" wrapText="1"/>
      <protection locked="0"/>
    </xf>
    <xf numFmtId="3" fontId="80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3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1" fillId="0" borderId="0" xfId="0" applyFont="1" applyAlignment="1">
      <alignment horizontal="left" wrapText="1"/>
    </xf>
  </cellXfs>
  <cellStyles count="1315">
    <cellStyle name=" 1" xfId="15"/>
    <cellStyle name="20% - Accent1 2" xfId="16"/>
    <cellStyle name="20% - Accent1 3" xfId="17"/>
    <cellStyle name="20% - Accent1 4" xfId="578"/>
    <cellStyle name="20% - Accent1 5" xfId="579"/>
    <cellStyle name="20% - Accent2 2" xfId="18"/>
    <cellStyle name="20% - Accent2 3" xfId="19"/>
    <cellStyle name="20% - Accent2 4" xfId="580"/>
    <cellStyle name="20% - Accent2 5" xfId="581"/>
    <cellStyle name="20% - Accent3 2" xfId="20"/>
    <cellStyle name="20% - Accent3 3" xfId="21"/>
    <cellStyle name="20% - Accent3 4" xfId="582"/>
    <cellStyle name="20% - Accent3 5" xfId="583"/>
    <cellStyle name="20% - Accent4 2" xfId="22"/>
    <cellStyle name="20% - Accent4 3" xfId="23"/>
    <cellStyle name="20% - Accent4 4" xfId="584"/>
    <cellStyle name="20% - Accent4 5" xfId="585"/>
    <cellStyle name="20% - Accent5 2" xfId="24"/>
    <cellStyle name="20% - Accent5 3" xfId="25"/>
    <cellStyle name="20% - Accent5 4" xfId="586"/>
    <cellStyle name="20% - Accent5 5" xfId="587"/>
    <cellStyle name="20% - Accent6 2" xfId="26"/>
    <cellStyle name="20% - Accent6 3" xfId="27"/>
    <cellStyle name="20% - Accent6 4" xfId="588"/>
    <cellStyle name="20% - Accent6 5" xfId="589"/>
    <cellStyle name="40% - Accent1 2" xfId="28"/>
    <cellStyle name="40% - Accent1 3" xfId="29"/>
    <cellStyle name="40% - Accent1 4" xfId="590"/>
    <cellStyle name="40% - Accent1 5" xfId="591"/>
    <cellStyle name="40% - Accent2 2" xfId="30"/>
    <cellStyle name="40% - Accent2 3" xfId="31"/>
    <cellStyle name="40% - Accent2 4" xfId="592"/>
    <cellStyle name="40% - Accent2 5" xfId="593"/>
    <cellStyle name="40% - Accent3 2" xfId="32"/>
    <cellStyle name="40% - Accent3 3" xfId="33"/>
    <cellStyle name="40% - Accent3 4" xfId="594"/>
    <cellStyle name="40% - Accent3 5" xfId="595"/>
    <cellStyle name="40% - Accent4 2" xfId="34"/>
    <cellStyle name="40% - Accent4 3" xfId="35"/>
    <cellStyle name="40% - Accent4 4" xfId="596"/>
    <cellStyle name="40% - Accent4 5" xfId="597"/>
    <cellStyle name="40% - Accent5 2" xfId="36"/>
    <cellStyle name="40% - Accent5 3" xfId="37"/>
    <cellStyle name="40% - Accent5 4" xfId="598"/>
    <cellStyle name="40% - Accent5 5" xfId="599"/>
    <cellStyle name="40% - Accent6 2" xfId="38"/>
    <cellStyle name="40% - Accent6 3" xfId="39"/>
    <cellStyle name="40% - Accent6 4" xfId="600"/>
    <cellStyle name="40% - Accent6 5" xfId="601"/>
    <cellStyle name="60% - Accent1 2" xfId="40"/>
    <cellStyle name="60% - Accent1 3" xfId="41"/>
    <cellStyle name="60% - Accent1 4" xfId="602"/>
    <cellStyle name="60% - Accent1 5" xfId="603"/>
    <cellStyle name="60% - Accent2 2" xfId="42"/>
    <cellStyle name="60% - Accent2 3" xfId="43"/>
    <cellStyle name="60% - Accent2 4" xfId="604"/>
    <cellStyle name="60% - Accent2 5" xfId="605"/>
    <cellStyle name="60% - Accent3 2" xfId="44"/>
    <cellStyle name="60% - Accent3 3" xfId="45"/>
    <cellStyle name="60% - Accent3 4" xfId="606"/>
    <cellStyle name="60% - Accent3 5" xfId="607"/>
    <cellStyle name="60% - Accent4 2" xfId="46"/>
    <cellStyle name="60% - Accent4 3" xfId="47"/>
    <cellStyle name="60% - Accent4 4" xfId="608"/>
    <cellStyle name="60% - Accent4 5" xfId="609"/>
    <cellStyle name="60% - Accent5 2" xfId="48"/>
    <cellStyle name="60% - Accent5 3" xfId="49"/>
    <cellStyle name="60% - Accent5 4" xfId="610"/>
    <cellStyle name="60% - Accent5 5" xfId="611"/>
    <cellStyle name="60% - Accent6 2" xfId="50"/>
    <cellStyle name="60% - Accent6 3" xfId="51"/>
    <cellStyle name="60% - Accent6 4" xfId="612"/>
    <cellStyle name="60% - Accent6 5" xfId="613"/>
    <cellStyle name="Accent1 - 20%" xfId="52"/>
    <cellStyle name="Accent1 - 40%" xfId="53"/>
    <cellStyle name="Accent1 - 60%" xfId="54"/>
    <cellStyle name="Accent1 2" xfId="55"/>
    <cellStyle name="Accent1 3" xfId="56"/>
    <cellStyle name="Accent1 4" xfId="57"/>
    <cellStyle name="Accent1 5" xfId="58"/>
    <cellStyle name="Accent1 6" xfId="59"/>
    <cellStyle name="Accent1 7" xfId="60"/>
    <cellStyle name="Accent2 - 20%" xfId="61"/>
    <cellStyle name="Accent2 - 40%" xfId="62"/>
    <cellStyle name="Accent2 - 60%" xfId="63"/>
    <cellStyle name="Accent2 2" xfId="64"/>
    <cellStyle name="Accent2 3" xfId="65"/>
    <cellStyle name="Accent2 4" xfId="66"/>
    <cellStyle name="Accent2 5" xfId="67"/>
    <cellStyle name="Accent2 6" xfId="68"/>
    <cellStyle name="Accent2 7" xfId="69"/>
    <cellStyle name="Accent3 - 20%" xfId="70"/>
    <cellStyle name="Accent3 - 40%" xfId="71"/>
    <cellStyle name="Accent3 - 60%" xfId="72"/>
    <cellStyle name="Accent3 2" xfId="73"/>
    <cellStyle name="Accent3 3" xfId="74"/>
    <cellStyle name="Accent3 4" xfId="75"/>
    <cellStyle name="Accent3 5" xfId="76"/>
    <cellStyle name="Accent3 6" xfId="77"/>
    <cellStyle name="Accent3 7" xfId="78"/>
    <cellStyle name="Accent4 - 20%" xfId="79"/>
    <cellStyle name="Accent4 - 40%" xfId="80"/>
    <cellStyle name="Accent4 - 60%" xfId="81"/>
    <cellStyle name="Accent4 2" xfId="82"/>
    <cellStyle name="Accent4 3" xfId="83"/>
    <cellStyle name="Accent4 4" xfId="84"/>
    <cellStyle name="Accent4 5" xfId="85"/>
    <cellStyle name="Accent4 6" xfId="86"/>
    <cellStyle name="Accent4 7" xfId="87"/>
    <cellStyle name="Accent5 - 20%" xfId="88"/>
    <cellStyle name="Accent5 - 40%" xfId="89"/>
    <cellStyle name="Accent5 - 60%" xfId="90"/>
    <cellStyle name="Accent5 2" xfId="91"/>
    <cellStyle name="Accent5 3" xfId="92"/>
    <cellStyle name="Accent5 4" xfId="93"/>
    <cellStyle name="Accent5 5" xfId="94"/>
    <cellStyle name="Accent5 6" xfId="95"/>
    <cellStyle name="Accent5 7" xfId="96"/>
    <cellStyle name="Accent6 - 20%" xfId="97"/>
    <cellStyle name="Accent6 - 40%" xfId="98"/>
    <cellStyle name="Accent6 - 60%" xfId="99"/>
    <cellStyle name="Accent6 2" xfId="100"/>
    <cellStyle name="Accent6 3" xfId="101"/>
    <cellStyle name="Accent6 4" xfId="102"/>
    <cellStyle name="Accent6 5" xfId="103"/>
    <cellStyle name="Accent6 6" xfId="104"/>
    <cellStyle name="Accent6 7" xfId="105"/>
    <cellStyle name="Aktivitāte" xfId="106"/>
    <cellStyle name="Aktivitāte 2" xfId="107"/>
    <cellStyle name="Aktivitāte 2 2" xfId="521"/>
    <cellStyle name="Aktivitāte 2 2 2" xfId="782"/>
    <cellStyle name="Aktivitāte 2 2 3" xfId="897"/>
    <cellStyle name="Aktivitāte 2 2 4" xfId="1201"/>
    <cellStyle name="Aktivitāte 3" xfId="520"/>
    <cellStyle name="Aktivitāte 3 2" xfId="781"/>
    <cellStyle name="Aktivitāte 3 3" xfId="896"/>
    <cellStyle name="Aktivitāte 3 4" xfId="1200"/>
    <cellStyle name="Bad 2" xfId="108"/>
    <cellStyle name="Bad 3" xfId="109"/>
    <cellStyle name="Bad 4" xfId="614"/>
    <cellStyle name="Bad 5" xfId="615"/>
    <cellStyle name="Calculation 2" xfId="110"/>
    <cellStyle name="Calculation 2 2" xfId="111"/>
    <cellStyle name="Calculation 2 2 2" xfId="523"/>
    <cellStyle name="Calculation 2 2 2 2" xfId="784"/>
    <cellStyle name="Calculation 2 2 2 3" xfId="899"/>
    <cellStyle name="Calculation 2 2 2 4" xfId="1203"/>
    <cellStyle name="Calculation 2 2 3" xfId="704"/>
    <cellStyle name="Calculation 2 2 3 2" xfId="835"/>
    <cellStyle name="Calculation 2 2 3 3" xfId="950"/>
    <cellStyle name="Calculation 2 2 3 4" xfId="1269"/>
    <cellStyle name="Calculation 2 2 4" xfId="751"/>
    <cellStyle name="Calculation 2 2 5" xfId="866"/>
    <cellStyle name="Calculation 2 2 6" xfId="994"/>
    <cellStyle name="Calculation 2 3" xfId="112"/>
    <cellStyle name="Calculation 2 3 2" xfId="524"/>
    <cellStyle name="Calculation 2 3 2 2" xfId="785"/>
    <cellStyle name="Calculation 2 3 2 3" xfId="900"/>
    <cellStyle name="Calculation 2 3 2 4" xfId="1204"/>
    <cellStyle name="Calculation 2 3 3" xfId="705"/>
    <cellStyle name="Calculation 2 3 3 2" xfId="836"/>
    <cellStyle name="Calculation 2 3 3 3" xfId="951"/>
    <cellStyle name="Calculation 2 3 3 4" xfId="1270"/>
    <cellStyle name="Calculation 2 3 4" xfId="752"/>
    <cellStyle name="Calculation 2 3 5" xfId="867"/>
    <cellStyle name="Calculation 2 3 6" xfId="995"/>
    <cellStyle name="Calculation 2 4" xfId="522"/>
    <cellStyle name="Calculation 2 4 2" xfId="783"/>
    <cellStyle name="Calculation 2 4 3" xfId="898"/>
    <cellStyle name="Calculation 2 4 4" xfId="1202"/>
    <cellStyle name="Calculation 2 5" xfId="703"/>
    <cellStyle name="Calculation 2 5 2" xfId="834"/>
    <cellStyle name="Calculation 2 5 3" xfId="949"/>
    <cellStyle name="Calculation 2 5 4" xfId="1268"/>
    <cellStyle name="Calculation 2 6" xfId="750"/>
    <cellStyle name="Calculation 2 7" xfId="865"/>
    <cellStyle name="Calculation 2 8" xfId="993"/>
    <cellStyle name="Calculation 3" xfId="113"/>
    <cellStyle name="Calculation 3 2" xfId="525"/>
    <cellStyle name="Calculation 3 2 2" xfId="786"/>
    <cellStyle name="Calculation 3 2 3" xfId="901"/>
    <cellStyle name="Calculation 3 2 4" xfId="1205"/>
    <cellStyle name="Calculation 3 3" xfId="706"/>
    <cellStyle name="Calculation 3 3 2" xfId="837"/>
    <cellStyle name="Calculation 3 3 3" xfId="952"/>
    <cellStyle name="Calculation 3 3 4" xfId="1271"/>
    <cellStyle name="Calculation 3 4" xfId="753"/>
    <cellStyle name="Calculation 3 5" xfId="868"/>
    <cellStyle name="Calculation 3 6" xfId="996"/>
    <cellStyle name="Calculation 4" xfId="616"/>
    <cellStyle name="Calculation 4 2" xfId="822"/>
    <cellStyle name="Calculation 4 3" xfId="937"/>
    <cellStyle name="Calculation 4 4" xfId="1250"/>
    <cellStyle name="Calculation 5" xfId="617"/>
    <cellStyle name="Calculation 5 2" xfId="823"/>
    <cellStyle name="Calculation 5 3" xfId="938"/>
    <cellStyle name="Calculation 5 4" xfId="1251"/>
    <cellStyle name="Check" xfId="114"/>
    <cellStyle name="Check Cell 2" xfId="115"/>
    <cellStyle name="Check Cell 3" xfId="116"/>
    <cellStyle name="Check Cell 4" xfId="618"/>
    <cellStyle name="Check Cell 5" xfId="619"/>
    <cellStyle name="Comma" xfId="1" builtinId="3"/>
    <cellStyle name="Comma [0] 2" xfId="117"/>
    <cellStyle name="Comma [0] 2 2" xfId="495"/>
    <cellStyle name="Comma [0] 2 2 2" xfId="1175"/>
    <cellStyle name="Comma [0] 2 3" xfId="526"/>
    <cellStyle name="Comma [0] 2 3 2" xfId="1206"/>
    <cellStyle name="Comma [0] 2 4" xfId="744"/>
    <cellStyle name="Comma [0] 2 4 2" xfId="1309"/>
    <cellStyle name="Comma [0] 2 5" xfId="997"/>
    <cellStyle name="Comma 10" xfId="12"/>
    <cellStyle name="Comma 10 2" xfId="490"/>
    <cellStyle name="Comma 10 2 2" xfId="1170"/>
    <cellStyle name="Comma 10 3" xfId="519"/>
    <cellStyle name="Comma 10 3 2" xfId="1199"/>
    <cellStyle name="Comma 10 4" xfId="743"/>
    <cellStyle name="Comma 10 4 2" xfId="1308"/>
    <cellStyle name="Comma 10 5" xfId="990"/>
    <cellStyle name="Comma 11" xfId="118"/>
    <cellStyle name="Comma 11 2" xfId="496"/>
    <cellStyle name="Comma 11 2 2" xfId="1176"/>
    <cellStyle name="Comma 11 3" xfId="527"/>
    <cellStyle name="Comma 11 3 2" xfId="1207"/>
    <cellStyle name="Comma 11 4" xfId="745"/>
    <cellStyle name="Comma 11 4 2" xfId="1310"/>
    <cellStyle name="Comma 11 5" xfId="998"/>
    <cellStyle name="Comma 12" xfId="119"/>
    <cellStyle name="Comma 12 2" xfId="497"/>
    <cellStyle name="Comma 12 2 2" xfId="1177"/>
    <cellStyle name="Comma 12 3" xfId="528"/>
    <cellStyle name="Comma 12 3 2" xfId="1208"/>
    <cellStyle name="Comma 12 4" xfId="746"/>
    <cellStyle name="Comma 12 4 2" xfId="1311"/>
    <cellStyle name="Comma 12 5" xfId="999"/>
    <cellStyle name="Comma 13" xfId="5"/>
    <cellStyle name="Comma 13 2" xfId="483"/>
    <cellStyle name="Comma 13 2 2" xfId="1163"/>
    <cellStyle name="Comma 13 3" xfId="512"/>
    <cellStyle name="Comma 13 3 2" xfId="1192"/>
    <cellStyle name="Comma 13 4" xfId="736"/>
    <cellStyle name="Comma 13 4 2" xfId="1301"/>
    <cellStyle name="Comma 13 5" xfId="983"/>
    <cellStyle name="Comma 14" xfId="481"/>
    <cellStyle name="Comma 14 2" xfId="1161"/>
    <cellStyle name="Comma 15" xfId="506"/>
    <cellStyle name="Comma 15 2" xfId="1186"/>
    <cellStyle name="Comma 16" xfId="508"/>
    <cellStyle name="Comma 16 2" xfId="1188"/>
    <cellStyle name="Comma 17" xfId="503"/>
    <cellStyle name="Comma 17 2" xfId="1183"/>
    <cellStyle name="Comma 18" xfId="507"/>
    <cellStyle name="Comma 18 2" xfId="1187"/>
    <cellStyle name="Comma 19" xfId="502"/>
    <cellStyle name="Comma 19 2" xfId="1182"/>
    <cellStyle name="Comma 2" xfId="120"/>
    <cellStyle name="Comma 2 2" xfId="498"/>
    <cellStyle name="Comma 2 2 2" xfId="1178"/>
    <cellStyle name="Comma 2 3" xfId="529"/>
    <cellStyle name="Comma 2 3 2" xfId="1209"/>
    <cellStyle name="Comma 2 4" xfId="747"/>
    <cellStyle name="Comma 2 4 2" xfId="1312"/>
    <cellStyle name="Comma 2 5" xfId="1000"/>
    <cellStyle name="Comma 20" xfId="491"/>
    <cellStyle name="Comma 20 2" xfId="1171"/>
    <cellStyle name="Comma 21" xfId="501"/>
    <cellStyle name="Comma 21 2" xfId="1181"/>
    <cellStyle name="Comma 22" xfId="492"/>
    <cellStyle name="Comma 22 2" xfId="1172"/>
    <cellStyle name="Comma 23" xfId="509"/>
    <cellStyle name="Comma 23 2" xfId="1189"/>
    <cellStyle name="Comma 24" xfId="493"/>
    <cellStyle name="Comma 24 2" xfId="1173"/>
    <cellStyle name="Comma 25" xfId="500"/>
    <cellStyle name="Comma 25 2" xfId="1180"/>
    <cellStyle name="Comma 26" xfId="494"/>
    <cellStyle name="Comma 26 2" xfId="1174"/>
    <cellStyle name="Comma 27" xfId="505"/>
    <cellStyle name="Comma 27 2" xfId="1185"/>
    <cellStyle name="Comma 28" xfId="510"/>
    <cellStyle name="Comma 28 2" xfId="1190"/>
    <cellStyle name="Comma 29" xfId="567"/>
    <cellStyle name="Comma 29 2" xfId="1247"/>
    <cellStyle name="Comma 3" xfId="121"/>
    <cellStyle name="Comma 3 2" xfId="4"/>
    <cellStyle name="Comma 3 2 2" xfId="482"/>
    <cellStyle name="Comma 3 2 2 2" xfId="1162"/>
    <cellStyle name="Comma 3 2 3" xfId="511"/>
    <cellStyle name="Comma 3 2 3 2" xfId="1191"/>
    <cellStyle name="Comma 3 2 4" xfId="735"/>
    <cellStyle name="Comma 3 2 4 2" xfId="1300"/>
    <cellStyle name="Comma 3 2 5" xfId="982"/>
    <cellStyle name="Comma 3 3" xfId="499"/>
    <cellStyle name="Comma 3 3 2" xfId="1179"/>
    <cellStyle name="Comma 3 4" xfId="530"/>
    <cellStyle name="Comma 3 4 2" xfId="1210"/>
    <cellStyle name="Comma 3 5" xfId="748"/>
    <cellStyle name="Comma 3 5 2" xfId="1313"/>
    <cellStyle name="Comma 3 6" xfId="1001"/>
    <cellStyle name="Comma 30" xfId="568"/>
    <cellStyle name="Comma 30 2" xfId="1248"/>
    <cellStyle name="Comma 31" xfId="569"/>
    <cellStyle name="Comma 31 2" xfId="1249"/>
    <cellStyle name="Comma 32" xfId="734"/>
    <cellStyle name="Comma 32 2" xfId="1299"/>
    <cellStyle name="Comma 33" xfId="980"/>
    <cellStyle name="Comma 34" xfId="1267"/>
    <cellStyle name="Comma 4" xfId="6"/>
    <cellStyle name="Comma 4 2" xfId="484"/>
    <cellStyle name="Comma 4 2 2" xfId="1164"/>
    <cellStyle name="Comma 4 3" xfId="513"/>
    <cellStyle name="Comma 4 3 2" xfId="1193"/>
    <cellStyle name="Comma 4 4" xfId="737"/>
    <cellStyle name="Comma 4 4 2" xfId="1302"/>
    <cellStyle name="Comma 4 5" xfId="984"/>
    <cellStyle name="Comma 5" xfId="7"/>
    <cellStyle name="Comma 5 2" xfId="485"/>
    <cellStyle name="Comma 5 2 2" xfId="1165"/>
    <cellStyle name="Comma 5 3" xfId="514"/>
    <cellStyle name="Comma 5 3 2" xfId="1194"/>
    <cellStyle name="Comma 5 4" xfId="738"/>
    <cellStyle name="Comma 5 4 2" xfId="1303"/>
    <cellStyle name="Comma 5 5" xfId="985"/>
    <cellStyle name="Comma 6" xfId="8"/>
    <cellStyle name="Comma 6 2" xfId="486"/>
    <cellStyle name="Comma 6 2 2" xfId="1166"/>
    <cellStyle name="Comma 6 3" xfId="515"/>
    <cellStyle name="Comma 6 3 2" xfId="1195"/>
    <cellStyle name="Comma 6 4" xfId="739"/>
    <cellStyle name="Comma 6 4 2" xfId="1304"/>
    <cellStyle name="Comma 6 5" xfId="986"/>
    <cellStyle name="Comma 7" xfId="9"/>
    <cellStyle name="Comma 7 2" xfId="487"/>
    <cellStyle name="Comma 7 2 2" xfId="1167"/>
    <cellStyle name="Comma 7 3" xfId="516"/>
    <cellStyle name="Comma 7 3 2" xfId="1196"/>
    <cellStyle name="Comma 7 4" xfId="740"/>
    <cellStyle name="Comma 7 4 2" xfId="1305"/>
    <cellStyle name="Comma 7 5" xfId="987"/>
    <cellStyle name="Comma 8" xfId="10"/>
    <cellStyle name="Comma 8 2" xfId="488"/>
    <cellStyle name="Comma 8 2 2" xfId="1168"/>
    <cellStyle name="Comma 8 3" xfId="517"/>
    <cellStyle name="Comma 8 3 2" xfId="1197"/>
    <cellStyle name="Comma 8 4" xfId="741"/>
    <cellStyle name="Comma 8 4 2" xfId="1306"/>
    <cellStyle name="Comma 8 5" xfId="988"/>
    <cellStyle name="Comma 9" xfId="11"/>
    <cellStyle name="Comma 9 2" xfId="489"/>
    <cellStyle name="Comma 9 2 2" xfId="1169"/>
    <cellStyle name="Comma 9 3" xfId="518"/>
    <cellStyle name="Comma 9 3 2" xfId="1198"/>
    <cellStyle name="Comma 9 4" xfId="742"/>
    <cellStyle name="Comma 9 4 2" xfId="1307"/>
    <cellStyle name="Comma 9 5" xfId="989"/>
    <cellStyle name="Currency 2" xfId="122"/>
    <cellStyle name="Currency 2 2" xfId="620"/>
    <cellStyle name="Currency 2 2 2" xfId="1252"/>
    <cellStyle name="Currency 3" xfId="621"/>
    <cellStyle name="Currency 3 2" xfId="622"/>
    <cellStyle name="Currency 3 2 2" xfId="1254"/>
    <cellStyle name="Currency 3 3" xfId="1253"/>
    <cellStyle name="Currency 4" xfId="623"/>
    <cellStyle name="Currency 4 2" xfId="624"/>
    <cellStyle name="Currency 4 2 2" xfId="1256"/>
    <cellStyle name="Currency 4 3" xfId="1255"/>
    <cellStyle name="Data" xfId="123"/>
    <cellStyle name="Emphasis 1" xfId="124"/>
    <cellStyle name="Emphasis 2" xfId="125"/>
    <cellStyle name="Emphasis 3" xfId="126"/>
    <cellStyle name="estimation" xfId="127"/>
    <cellStyle name="exo" xfId="128"/>
    <cellStyle name="Explanatory Text 2" xfId="129"/>
    <cellStyle name="Explanatory Text 3" xfId="130"/>
    <cellStyle name="Explanatory Text 4" xfId="625"/>
    <cellStyle name="Explanatory Text 5" xfId="626"/>
    <cellStyle name="Forecast" xfId="131"/>
    <cellStyle name="Good 2" xfId="132"/>
    <cellStyle name="Good 3" xfId="133"/>
    <cellStyle name="Good 4" xfId="627"/>
    <cellStyle name="Good 5" xfId="628"/>
    <cellStyle name="Head1" xfId="134"/>
    <cellStyle name="Heading 1 2" xfId="135"/>
    <cellStyle name="Heading 1 3" xfId="136"/>
    <cellStyle name="Heading 1 4" xfId="629"/>
    <cellStyle name="Heading 1 5" xfId="630"/>
    <cellStyle name="Heading 2 2" xfId="137"/>
    <cellStyle name="Heading 2 3" xfId="138"/>
    <cellStyle name="Heading 2 4" xfId="631"/>
    <cellStyle name="Heading 2 5" xfId="632"/>
    <cellStyle name="Heading 3 2" xfId="139"/>
    <cellStyle name="Heading 3 3" xfId="140"/>
    <cellStyle name="Heading 3 4" xfId="633"/>
    <cellStyle name="Heading 3 5" xfId="634"/>
    <cellStyle name="Heading 4 2" xfId="141"/>
    <cellStyle name="Heading 4 3" xfId="142"/>
    <cellStyle name="Heading 4 4" xfId="635"/>
    <cellStyle name="Heading 4 5" xfId="636"/>
    <cellStyle name="Historical" xfId="143"/>
    <cellStyle name="Indent0" xfId="144"/>
    <cellStyle name="Indent1" xfId="145"/>
    <cellStyle name="Indent2" xfId="146"/>
    <cellStyle name="Indent3" xfId="147"/>
    <cellStyle name="Indent4" xfId="148"/>
    <cellStyle name="Indent5" xfId="149"/>
    <cellStyle name="info" xfId="150"/>
    <cellStyle name="Input 2" xfId="151"/>
    <cellStyle name="Input 2 2" xfId="152"/>
    <cellStyle name="Input 2 2 2" xfId="532"/>
    <cellStyle name="Input 2 2 2 2" xfId="788"/>
    <cellStyle name="Input 2 2 2 3" xfId="903"/>
    <cellStyle name="Input 2 2 2 4" xfId="1212"/>
    <cellStyle name="Input 2 2 3" xfId="708"/>
    <cellStyle name="Input 2 2 3 2" xfId="839"/>
    <cellStyle name="Input 2 2 3 3" xfId="954"/>
    <cellStyle name="Input 2 2 3 4" xfId="1273"/>
    <cellStyle name="Input 2 2 4" xfId="755"/>
    <cellStyle name="Input 2 2 5" xfId="870"/>
    <cellStyle name="Input 2 2 6" xfId="1003"/>
    <cellStyle name="Input 2 3" xfId="153"/>
    <cellStyle name="Input 2 3 2" xfId="533"/>
    <cellStyle name="Input 2 3 2 2" xfId="789"/>
    <cellStyle name="Input 2 3 2 3" xfId="904"/>
    <cellStyle name="Input 2 3 2 4" xfId="1213"/>
    <cellStyle name="Input 2 3 3" xfId="709"/>
    <cellStyle name="Input 2 3 3 2" xfId="840"/>
    <cellStyle name="Input 2 3 3 3" xfId="955"/>
    <cellStyle name="Input 2 3 3 4" xfId="1274"/>
    <cellStyle name="Input 2 3 4" xfId="756"/>
    <cellStyle name="Input 2 3 5" xfId="871"/>
    <cellStyle name="Input 2 3 6" xfId="1004"/>
    <cellStyle name="Input 2 4" xfId="531"/>
    <cellStyle name="Input 2 4 2" xfId="787"/>
    <cellStyle name="Input 2 4 3" xfId="902"/>
    <cellStyle name="Input 2 4 4" xfId="1211"/>
    <cellStyle name="Input 2 5" xfId="707"/>
    <cellStyle name="Input 2 5 2" xfId="838"/>
    <cellStyle name="Input 2 5 3" xfId="953"/>
    <cellStyle name="Input 2 5 4" xfId="1272"/>
    <cellStyle name="Input 2 6" xfId="754"/>
    <cellStyle name="Input 2 7" xfId="869"/>
    <cellStyle name="Input 2 8" xfId="1002"/>
    <cellStyle name="Input 3" xfId="154"/>
    <cellStyle name="Input 3 2" xfId="534"/>
    <cellStyle name="Input 3 2 2" xfId="790"/>
    <cellStyle name="Input 3 2 3" xfId="905"/>
    <cellStyle name="Input 3 2 4" xfId="1214"/>
    <cellStyle name="Input 3 3" xfId="710"/>
    <cellStyle name="Input 3 3 2" xfId="841"/>
    <cellStyle name="Input 3 3 3" xfId="956"/>
    <cellStyle name="Input 3 3 4" xfId="1275"/>
    <cellStyle name="Input 3 4" xfId="757"/>
    <cellStyle name="Input 3 5" xfId="872"/>
    <cellStyle name="Input 3 6" xfId="1005"/>
    <cellStyle name="Input 4" xfId="637"/>
    <cellStyle name="Input 4 2" xfId="824"/>
    <cellStyle name="Input 4 3" xfId="939"/>
    <cellStyle name="Input 4 4" xfId="1257"/>
    <cellStyle name="Input 5" xfId="638"/>
    <cellStyle name="Input 5 2" xfId="825"/>
    <cellStyle name="Input 5 3" xfId="940"/>
    <cellStyle name="Input 5 4" xfId="1258"/>
    <cellStyle name="Koefic." xfId="155"/>
    <cellStyle name="Linked Cell 2" xfId="156"/>
    <cellStyle name="Linked Cell 3" xfId="157"/>
    <cellStyle name="Linked Cell 4" xfId="639"/>
    <cellStyle name="Linked Cell 5" xfId="640"/>
    <cellStyle name="Neutral 2" xfId="158"/>
    <cellStyle name="Neutral 3" xfId="159"/>
    <cellStyle name="Neutral 4" xfId="641"/>
    <cellStyle name="Neutral 5" xfId="642"/>
    <cellStyle name="Normal" xfId="0" builtinId="0"/>
    <cellStyle name="Normal 10" xfId="160"/>
    <cellStyle name="Normal 10 2" xfId="161"/>
    <cellStyle name="Normal 10 2 2" xfId="162"/>
    <cellStyle name="Normal 10 2 2 2" xfId="163"/>
    <cellStyle name="Normal 10 2 2 2 2" xfId="1009"/>
    <cellStyle name="Normal 10 2 2 3" xfId="164"/>
    <cellStyle name="Normal 10 2 2 3 2" xfId="1010"/>
    <cellStyle name="Normal 10 2 2 4" xfId="1008"/>
    <cellStyle name="Normal 10 2 3" xfId="165"/>
    <cellStyle name="Normal 10 2 3 2" xfId="1011"/>
    <cellStyle name="Normal 10 2 4" xfId="166"/>
    <cellStyle name="Normal 10 2 4 2" xfId="1012"/>
    <cellStyle name="Normal 10 2 5" xfId="1007"/>
    <cellStyle name="Normal 10 3" xfId="167"/>
    <cellStyle name="Normal 10 3 2" xfId="168"/>
    <cellStyle name="Normal 10 3 2 2" xfId="1014"/>
    <cellStyle name="Normal 10 3 3" xfId="169"/>
    <cellStyle name="Normal 10 3 3 2" xfId="1015"/>
    <cellStyle name="Normal 10 3 4" xfId="1013"/>
    <cellStyle name="Normal 10 4" xfId="170"/>
    <cellStyle name="Normal 10 4 2" xfId="1016"/>
    <cellStyle name="Normal 10 5" xfId="171"/>
    <cellStyle name="Normal 10 5 2" xfId="1017"/>
    <cellStyle name="Normal 10 6" xfId="1006"/>
    <cellStyle name="Normal 11" xfId="172"/>
    <cellStyle name="Normal 11 2" xfId="173"/>
    <cellStyle name="Normal 11 2 2" xfId="174"/>
    <cellStyle name="Normal 11 2 2 2" xfId="175"/>
    <cellStyle name="Normal 11 2 2 2 2" xfId="1021"/>
    <cellStyle name="Normal 11 2 2 3" xfId="176"/>
    <cellStyle name="Normal 11 2 2 3 2" xfId="1022"/>
    <cellStyle name="Normal 11 2 2 4" xfId="1020"/>
    <cellStyle name="Normal 11 2 3" xfId="177"/>
    <cellStyle name="Normal 11 2 3 2" xfId="1023"/>
    <cellStyle name="Normal 11 2 4" xfId="178"/>
    <cellStyle name="Normal 11 2 4 2" xfId="1024"/>
    <cellStyle name="Normal 11 2 5" xfId="1019"/>
    <cellStyle name="Normal 11 3" xfId="179"/>
    <cellStyle name="Normal 11 3 2" xfId="180"/>
    <cellStyle name="Normal 11 3 2 2" xfId="1026"/>
    <cellStyle name="Normal 11 3 3" xfId="181"/>
    <cellStyle name="Normal 11 3 3 2" xfId="1027"/>
    <cellStyle name="Normal 11 3 4" xfId="1025"/>
    <cellStyle name="Normal 11 4" xfId="182"/>
    <cellStyle name="Normal 11 4 2" xfId="1028"/>
    <cellStyle name="Normal 11 5" xfId="183"/>
    <cellStyle name="Normal 11 5 2" xfId="1029"/>
    <cellStyle name="Normal 11 6" xfId="575"/>
    <cellStyle name="Normal 11 7" xfId="1018"/>
    <cellStyle name="Normal 12" xfId="184"/>
    <cellStyle name="Normal 12 2" xfId="185"/>
    <cellStyle name="Normal 12 2 2" xfId="643"/>
    <cellStyle name="Normal 12 3" xfId="644"/>
    <cellStyle name="Normal 13" xfId="186"/>
    <cellStyle name="Normal 13 2" xfId="187"/>
    <cellStyle name="Normal 13 2 2" xfId="188"/>
    <cellStyle name="Normal 13 2 2 2" xfId="1031"/>
    <cellStyle name="Normal 13 2 3" xfId="189"/>
    <cellStyle name="Normal 13 2 3 2" xfId="1032"/>
    <cellStyle name="Normal 13 2 4" xfId="1030"/>
    <cellStyle name="Normal 13 3" xfId="576"/>
    <cellStyle name="Normal 14" xfId="190"/>
    <cellStyle name="Normal 14 2" xfId="191"/>
    <cellStyle name="Normal 14 2 2" xfId="645"/>
    <cellStyle name="Normal 14 3" xfId="646"/>
    <cellStyle name="Normal 15" xfId="192"/>
    <cellStyle name="Normal 15 2" xfId="193"/>
    <cellStyle name="Normal 15 2 2" xfId="647"/>
    <cellStyle name="Normal 15 3" xfId="194"/>
    <cellStyle name="Normal 16" xfId="195"/>
    <cellStyle name="Normal 16 2" xfId="648"/>
    <cellStyle name="Normal 17" xfId="196"/>
    <cellStyle name="Normal 17 2" xfId="649"/>
    <cellStyle name="Normal 17 2 2" xfId="650"/>
    <cellStyle name="Normal 17 3" xfId="651"/>
    <cellStyle name="Normal 17 4" xfId="1033"/>
    <cellStyle name="Normal 18" xfId="570"/>
    <cellStyle name="Normal 18 2" xfId="652"/>
    <cellStyle name="Normal 18 2 2" xfId="653"/>
    <cellStyle name="Normal 18 3" xfId="654"/>
    <cellStyle name="Normal 19" xfId="655"/>
    <cellStyle name="Normal 19 2" xfId="656"/>
    <cellStyle name="Normal 2" xfId="197"/>
    <cellStyle name="Normal 2 10" xfId="198"/>
    <cellStyle name="Normal 2 11" xfId="199"/>
    <cellStyle name="Normal 2 12" xfId="200"/>
    <cellStyle name="Normal 2 13" xfId="201"/>
    <cellStyle name="Normal 2 14" xfId="202"/>
    <cellStyle name="Normal 2 15" xfId="203"/>
    <cellStyle name="Normal 2 16" xfId="204"/>
    <cellStyle name="Normal 2 17" xfId="205"/>
    <cellStyle name="Normal 2 18" xfId="206"/>
    <cellStyle name="Normal 2 19" xfId="207"/>
    <cellStyle name="Normal 2 2" xfId="13"/>
    <cellStyle name="Normal 2 2 10" xfId="208"/>
    <cellStyle name="Normal 2 2 11" xfId="209"/>
    <cellStyle name="Normal 2 2 11 2" xfId="1035"/>
    <cellStyle name="Normal 2 2 12" xfId="991"/>
    <cellStyle name="Normal 2 2 2" xfId="210"/>
    <cellStyle name="Normal 2 2 3" xfId="211"/>
    <cellStyle name="Normal 2 2 4" xfId="212"/>
    <cellStyle name="Normal 2 2 5" xfId="213"/>
    <cellStyle name="Normal 2 2 6" xfId="214"/>
    <cellStyle name="Normal 2 2 7" xfId="215"/>
    <cellStyle name="Normal 2 2 8" xfId="216"/>
    <cellStyle name="Normal 2 2 8 2" xfId="217"/>
    <cellStyle name="Normal 2 2 8 2 2" xfId="1037"/>
    <cellStyle name="Normal 2 2 8 3" xfId="218"/>
    <cellStyle name="Normal 2 2 8 3 2" xfId="1038"/>
    <cellStyle name="Normal 2 2 8 4" xfId="1036"/>
    <cellStyle name="Normal 2 2 9" xfId="219"/>
    <cellStyle name="Normal 2 2 9 2" xfId="1039"/>
    <cellStyle name="Normal 2 20" xfId="220"/>
    <cellStyle name="Normal 2 21" xfId="221"/>
    <cellStyle name="Normal 2 22" xfId="222"/>
    <cellStyle name="Normal 2 23" xfId="223"/>
    <cellStyle name="Normal 2 24" xfId="224"/>
    <cellStyle name="Normal 2 25" xfId="225"/>
    <cellStyle name="Normal 2 26" xfId="226"/>
    <cellStyle name="Normal 2 27" xfId="227"/>
    <cellStyle name="Normal 2 28" xfId="228"/>
    <cellStyle name="Normal 2 29" xfId="229"/>
    <cellStyle name="Normal 2 3" xfId="230"/>
    <cellStyle name="Normal 2 3 2" xfId="231"/>
    <cellStyle name="Normal 2 3 2 2" xfId="232"/>
    <cellStyle name="Normal 2 3 2 2 2" xfId="233"/>
    <cellStyle name="Normal 2 3 2 2 2 2" xfId="1042"/>
    <cellStyle name="Normal 2 3 2 2 3" xfId="234"/>
    <cellStyle name="Normal 2 3 2 2 3 2" xfId="1043"/>
    <cellStyle name="Normal 2 3 2 2 4" xfId="1041"/>
    <cellStyle name="Normal 2 3 3" xfId="235"/>
    <cellStyle name="Normal 2 3 3 2" xfId="236"/>
    <cellStyle name="Normal 2 3 3 2 2" xfId="1045"/>
    <cellStyle name="Normal 2 3 3 3" xfId="237"/>
    <cellStyle name="Normal 2 3 3 3 2" xfId="1046"/>
    <cellStyle name="Normal 2 3 3 4" xfId="1044"/>
    <cellStyle name="Normal 2 3 4" xfId="238"/>
    <cellStyle name="Normal 2 3 4 2" xfId="1047"/>
    <cellStyle name="Normal 2 3 5" xfId="239"/>
    <cellStyle name="Normal 2 3 5 2" xfId="1048"/>
    <cellStyle name="Normal 2 3 6" xfId="1040"/>
    <cellStyle name="Normal 2 30" xfId="240"/>
    <cellStyle name="Normal 2 31" xfId="241"/>
    <cellStyle name="Normal 2 32" xfId="242"/>
    <cellStyle name="Normal 2 33" xfId="243"/>
    <cellStyle name="Normal 2 34" xfId="244"/>
    <cellStyle name="Normal 2 35" xfId="245"/>
    <cellStyle name="Normal 2 35 2" xfId="246"/>
    <cellStyle name="Normal 2 35 2 2" xfId="1050"/>
    <cellStyle name="Normal 2 35 3" xfId="247"/>
    <cellStyle name="Normal 2 35 3 2" xfId="1051"/>
    <cellStyle name="Normal 2 35 4" xfId="1049"/>
    <cellStyle name="Normal 2 36" xfId="248"/>
    <cellStyle name="Normal 2 36 2" xfId="1052"/>
    <cellStyle name="Normal 2 37" xfId="249"/>
    <cellStyle name="Normal 2 37 2" xfId="1053"/>
    <cellStyle name="Normal 2 38" xfId="1034"/>
    <cellStyle name="Normal 2 4" xfId="3"/>
    <cellStyle name="Normal 2 4 2" xfId="250"/>
    <cellStyle name="Normal 2 4 3" xfId="251"/>
    <cellStyle name="Normal 2 4 3 2" xfId="252"/>
    <cellStyle name="Normal 2 4 3 2 2" xfId="1055"/>
    <cellStyle name="Normal 2 4 3 3" xfId="253"/>
    <cellStyle name="Normal 2 4 3 3 2" xfId="1056"/>
    <cellStyle name="Normal 2 4 3 4" xfId="1054"/>
    <cellStyle name="Normal 2 4 4" xfId="14"/>
    <cellStyle name="Normal 2 4 4 2" xfId="254"/>
    <cellStyle name="Normal 2 4 4 2 2" xfId="1057"/>
    <cellStyle name="Normal 2 4 4 3" xfId="255"/>
    <cellStyle name="Normal 2 4 4 3 2" xfId="1058"/>
    <cellStyle name="Normal 2 4 4 4" xfId="992"/>
    <cellStyle name="Normal 2 4 5" xfId="256"/>
    <cellStyle name="Normal 2 4 5 2" xfId="1059"/>
    <cellStyle name="Normal 2 4 6" xfId="257"/>
    <cellStyle name="Normal 2 4 6 2" xfId="1060"/>
    <cellStyle name="Normal 2 4 7" xfId="981"/>
    <cellStyle name="Normal 2 5" xfId="258"/>
    <cellStyle name="Normal 2 5 2" xfId="259"/>
    <cellStyle name="Normal 2 5 2 2" xfId="260"/>
    <cellStyle name="Normal 2 5 2 2 2" xfId="1062"/>
    <cellStyle name="Normal 2 5 2 3" xfId="261"/>
    <cellStyle name="Normal 2 5 2 3 2" xfId="1063"/>
    <cellStyle name="Normal 2 5 2 4" xfId="1061"/>
    <cellStyle name="Normal 2 6" xfId="262"/>
    <cellStyle name="Normal 2 6 2" xfId="263"/>
    <cellStyle name="Normal 2 6 2 2" xfId="264"/>
    <cellStyle name="Normal 2 6 2 2 2" xfId="1066"/>
    <cellStyle name="Normal 2 6 2 3" xfId="265"/>
    <cellStyle name="Normal 2 6 2 3 2" xfId="1067"/>
    <cellStyle name="Normal 2 6 2 4" xfId="1065"/>
    <cellStyle name="Normal 2 6 3" xfId="266"/>
    <cellStyle name="Normal 2 6 3 2" xfId="1068"/>
    <cellStyle name="Normal 2 6 4" xfId="267"/>
    <cellStyle name="Normal 2 6 4 2" xfId="1069"/>
    <cellStyle name="Normal 2 6 5" xfId="1064"/>
    <cellStyle name="Normal 2 7" xfId="268"/>
    <cellStyle name="Normal 2 8" xfId="269"/>
    <cellStyle name="Normal 2 9" xfId="270"/>
    <cellStyle name="Normal 2_JAUNIE_MERKI_2010-2015_plus_100_milj _14 07 2010" xfId="271"/>
    <cellStyle name="Normal 20" xfId="657"/>
    <cellStyle name="Normal 20 2" xfId="658"/>
    <cellStyle name="Normal 20 2 2" xfId="659"/>
    <cellStyle name="Normal 20 3" xfId="660"/>
    <cellStyle name="Normal 21" xfId="661"/>
    <cellStyle name="Normal 21 2" xfId="662"/>
    <cellStyle name="Normal 21 2 2" xfId="663"/>
    <cellStyle name="Normal 21 3" xfId="664"/>
    <cellStyle name="Normal 22" xfId="665"/>
    <cellStyle name="Normal 22 2" xfId="666"/>
    <cellStyle name="Normal 22 2 2" xfId="667"/>
    <cellStyle name="Normal 22 3" xfId="668"/>
    <cellStyle name="Normal 23" xfId="669"/>
    <cellStyle name="Normal 23 2" xfId="670"/>
    <cellStyle name="Normal 24" xfId="671"/>
    <cellStyle name="Normal 24 2" xfId="672"/>
    <cellStyle name="Normal 25" xfId="673"/>
    <cellStyle name="Normal 25 2" xfId="674"/>
    <cellStyle name="Normal 26" xfId="675"/>
    <cellStyle name="Normal 26 2" xfId="676"/>
    <cellStyle name="Normal 27" xfId="677"/>
    <cellStyle name="Normal 27 2" xfId="678"/>
    <cellStyle name="Normal 28" xfId="679"/>
    <cellStyle name="Normal 28 2" xfId="680"/>
    <cellStyle name="Normal 29" xfId="681"/>
    <cellStyle name="Normal 29 2" xfId="682"/>
    <cellStyle name="Normal 3" xfId="272"/>
    <cellStyle name="Normal 3 2" xfId="273"/>
    <cellStyle name="Normal 3 2 2" xfId="274"/>
    <cellStyle name="Normal 3 2 2 2" xfId="275"/>
    <cellStyle name="Normal 3 2 2 2 2" xfId="1072"/>
    <cellStyle name="Normal 3 2 2 3" xfId="276"/>
    <cellStyle name="Normal 3 2 2 3 2" xfId="1073"/>
    <cellStyle name="Normal 3 2 2 4" xfId="1071"/>
    <cellStyle name="Normal 3 2 3" xfId="277"/>
    <cellStyle name="Normal 3 2 3 2" xfId="1074"/>
    <cellStyle name="Normal 3 2 4" xfId="278"/>
    <cellStyle name="Normal 3 2 4 2" xfId="1075"/>
    <cellStyle name="Normal 3 2 5" xfId="1070"/>
    <cellStyle name="Normal 3 3" xfId="279"/>
    <cellStyle name="Normal 3 4" xfId="280"/>
    <cellStyle name="Normal 3 4 2" xfId="281"/>
    <cellStyle name="Normal 3 4 2 2" xfId="282"/>
    <cellStyle name="Normal 3 4 2 2 2" xfId="1078"/>
    <cellStyle name="Normal 3 4 2 3" xfId="283"/>
    <cellStyle name="Normal 3 4 2 3 2" xfId="1079"/>
    <cellStyle name="Normal 3 4 2 4" xfId="1077"/>
    <cellStyle name="Normal 3 4 3" xfId="284"/>
    <cellStyle name="Normal 3 4 3 2" xfId="1080"/>
    <cellStyle name="Normal 3 4 4" xfId="285"/>
    <cellStyle name="Normal 3 4 4 2" xfId="1081"/>
    <cellStyle name="Normal 3 4 5" xfId="1076"/>
    <cellStyle name="Normal 3 5" xfId="286"/>
    <cellStyle name="Normal 3 6" xfId="287"/>
    <cellStyle name="Normal 3 7" xfId="572"/>
    <cellStyle name="Normal 30" xfId="288"/>
    <cellStyle name="Normal 30 2" xfId="289"/>
    <cellStyle name="Normal 30 3" xfId="290"/>
    <cellStyle name="Normal 30 4" xfId="291"/>
    <cellStyle name="Normal 30 8" xfId="292"/>
    <cellStyle name="Normal 30 9" xfId="293"/>
    <cellStyle name="Normal 31" xfId="683"/>
    <cellStyle name="Normal 31 2" xfId="684"/>
    <cellStyle name="Normal 32" xfId="685"/>
    <cellStyle name="Normal 33" xfId="686"/>
    <cellStyle name="Normal 34" xfId="687"/>
    <cellStyle name="Normal 39" xfId="294"/>
    <cellStyle name="Normal 39 2" xfId="295"/>
    <cellStyle name="Normal 4" xfId="296"/>
    <cellStyle name="Normal 4 2" xfId="297"/>
    <cellStyle name="Normal 4 2 2" xfId="298"/>
    <cellStyle name="Normal 4 2 2 2" xfId="299"/>
    <cellStyle name="Normal 4 2 2 2 2" xfId="1085"/>
    <cellStyle name="Normal 4 2 2 3" xfId="300"/>
    <cellStyle name="Normal 4 2 2 3 2" xfId="1086"/>
    <cellStyle name="Normal 4 2 2 4" xfId="1084"/>
    <cellStyle name="Normal 4 2 3" xfId="301"/>
    <cellStyle name="Normal 4 2 3 2" xfId="1087"/>
    <cellStyle name="Normal 4 2 4" xfId="302"/>
    <cellStyle name="Normal 4 2 4 2" xfId="1088"/>
    <cellStyle name="Normal 4 2 5" xfId="1083"/>
    <cellStyle name="Normal 4 3" xfId="303"/>
    <cellStyle name="Normal 4 3 2" xfId="304"/>
    <cellStyle name="Normal 4 4" xfId="305"/>
    <cellStyle name="Normal 4 4 2" xfId="306"/>
    <cellStyle name="Normal 4 4 2 2" xfId="1090"/>
    <cellStyle name="Normal 4 4 3" xfId="307"/>
    <cellStyle name="Normal 4 4 3 2" xfId="1091"/>
    <cellStyle name="Normal 4 4 4" xfId="1089"/>
    <cellStyle name="Normal 4 5" xfId="308"/>
    <cellStyle name="Normal 4 5 2" xfId="1092"/>
    <cellStyle name="Normal 4 6" xfId="309"/>
    <cellStyle name="Normal 4 6 2" xfId="1093"/>
    <cellStyle name="Normal 4 7" xfId="573"/>
    <cellStyle name="Normal 4 8" xfId="1082"/>
    <cellStyle name="Normal 40" xfId="310"/>
    <cellStyle name="Normal 40 2" xfId="311"/>
    <cellStyle name="Normal 44" xfId="312"/>
    <cellStyle name="Normal 44 2" xfId="313"/>
    <cellStyle name="Normal 5" xfId="314"/>
    <cellStyle name="Normal 5 2" xfId="315"/>
    <cellStyle name="Normal 5 2 2" xfId="316"/>
    <cellStyle name="Normal 5 2 2 2" xfId="317"/>
    <cellStyle name="Normal 5 2 2 2 2" xfId="1097"/>
    <cellStyle name="Normal 5 2 2 3" xfId="318"/>
    <cellStyle name="Normal 5 2 2 3 2" xfId="1098"/>
    <cellStyle name="Normal 5 2 2 4" xfId="1096"/>
    <cellStyle name="Normal 5 2 3" xfId="319"/>
    <cellStyle name="Normal 5 2 3 2" xfId="1099"/>
    <cellStyle name="Normal 5 2 4" xfId="320"/>
    <cellStyle name="Normal 5 2 4 2" xfId="1100"/>
    <cellStyle name="Normal 5 2 5" xfId="577"/>
    <cellStyle name="Normal 5 2 6" xfId="1095"/>
    <cellStyle name="Normal 5 3" xfId="321"/>
    <cellStyle name="Normal 5 3 2" xfId="322"/>
    <cellStyle name="Normal 5 4" xfId="323"/>
    <cellStyle name="Normal 5 4 2" xfId="324"/>
    <cellStyle name="Normal 5 4 2 2" xfId="1102"/>
    <cellStyle name="Normal 5 4 3" xfId="325"/>
    <cellStyle name="Normal 5 4 3 2" xfId="1103"/>
    <cellStyle name="Normal 5 4 4" xfId="1101"/>
    <cellStyle name="Normal 5 5" xfId="326"/>
    <cellStyle name="Normal 5 5 2" xfId="1104"/>
    <cellStyle name="Normal 5 6" xfId="327"/>
    <cellStyle name="Normal 5 6 2" xfId="1105"/>
    <cellStyle name="Normal 5 7" xfId="574"/>
    <cellStyle name="Normal 5 8" xfId="1094"/>
    <cellStyle name="Normal 5_JAUNIE_MERKI_2010-2015_plus_100_milj _14 07 2010" xfId="328"/>
    <cellStyle name="Normal 6" xfId="329"/>
    <cellStyle name="Normal 6 2" xfId="330"/>
    <cellStyle name="Normal 6 2 2" xfId="688"/>
    <cellStyle name="Normal 6 3" xfId="689"/>
    <cellStyle name="Normal 7" xfId="331"/>
    <cellStyle name="Normal 7 2" xfId="332"/>
    <cellStyle name="Normal 7 2 2" xfId="333"/>
    <cellStyle name="Normal 7 3" xfId="334"/>
    <cellStyle name="Normal 7 3 2" xfId="335"/>
    <cellStyle name="Normal 7 3 2 2" xfId="1108"/>
    <cellStyle name="Normal 7 3 3" xfId="336"/>
    <cellStyle name="Normal 7 3 3 2" xfId="1109"/>
    <cellStyle name="Normal 7 3 4" xfId="1107"/>
    <cellStyle name="Normal 7 4" xfId="337"/>
    <cellStyle name="Normal 7 4 2" xfId="1110"/>
    <cellStyle name="Normal 7 5" xfId="338"/>
    <cellStyle name="Normal 7 5 2" xfId="1111"/>
    <cellStyle name="Normal 7 6" xfId="1106"/>
    <cellStyle name="Normal 8" xfId="339"/>
    <cellStyle name="Normal 8 2" xfId="340"/>
    <cellStyle name="Normal 8 2 2" xfId="341"/>
    <cellStyle name="Normal 8 3" xfId="342"/>
    <cellStyle name="Normal 8 3 2" xfId="343"/>
    <cellStyle name="Normal 8 3 2 2" xfId="1114"/>
    <cellStyle name="Normal 8 3 3" xfId="344"/>
    <cellStyle name="Normal 8 3 3 2" xfId="1115"/>
    <cellStyle name="Normal 8 3 4" xfId="1113"/>
    <cellStyle name="Normal 8 4" xfId="345"/>
    <cellStyle name="Normal 8 4 2" xfId="1116"/>
    <cellStyle name="Normal 8 5" xfId="346"/>
    <cellStyle name="Normal 8 5 2" xfId="1117"/>
    <cellStyle name="Normal 8 6" xfId="1112"/>
    <cellStyle name="Normal 9" xfId="347"/>
    <cellStyle name="Normal 9 2" xfId="348"/>
    <cellStyle name="Normal 9 2 2" xfId="690"/>
    <cellStyle name="Normal 9 3" xfId="349"/>
    <cellStyle name="Normal 9 3 2" xfId="350"/>
    <cellStyle name="Normal 9 3 2 2" xfId="1120"/>
    <cellStyle name="Normal 9 3 3" xfId="351"/>
    <cellStyle name="Normal 9 3 3 2" xfId="1121"/>
    <cellStyle name="Normal 9 3 4" xfId="1119"/>
    <cellStyle name="Normal 9 4" xfId="352"/>
    <cellStyle name="Normal 9 4 2" xfId="1122"/>
    <cellStyle name="Normal 9 5" xfId="353"/>
    <cellStyle name="Normal 9 5 2" xfId="1123"/>
    <cellStyle name="Normal 9 6" xfId="1118"/>
    <cellStyle name="normálne_4c.  Príloha č. 2 AG + SK_16.05.2005" xfId="354"/>
    <cellStyle name="Note 2" xfId="355"/>
    <cellStyle name="Note 2 2" xfId="356"/>
    <cellStyle name="Note 2 2 2" xfId="536"/>
    <cellStyle name="Note 2 2 2 2" xfId="792"/>
    <cellStyle name="Note 2 2 2 3" xfId="907"/>
    <cellStyle name="Note 2 2 2 4" xfId="1216"/>
    <cellStyle name="Note 2 2 3" xfId="712"/>
    <cellStyle name="Note 2 2 3 2" xfId="843"/>
    <cellStyle name="Note 2 2 3 3" xfId="958"/>
    <cellStyle name="Note 2 2 3 4" xfId="1277"/>
    <cellStyle name="Note 2 2 4" xfId="759"/>
    <cellStyle name="Note 2 2 5" xfId="874"/>
    <cellStyle name="Note 2 2 6" xfId="1125"/>
    <cellStyle name="Note 2 3" xfId="357"/>
    <cellStyle name="Note 2 3 2" xfId="537"/>
    <cellStyle name="Note 2 3 2 2" xfId="793"/>
    <cellStyle name="Note 2 3 2 3" xfId="908"/>
    <cellStyle name="Note 2 3 2 4" xfId="1217"/>
    <cellStyle name="Note 2 3 3" xfId="713"/>
    <cellStyle name="Note 2 3 3 2" xfId="844"/>
    <cellStyle name="Note 2 3 3 3" xfId="959"/>
    <cellStyle name="Note 2 3 3 4" xfId="1278"/>
    <cellStyle name="Note 2 3 4" xfId="760"/>
    <cellStyle name="Note 2 3 5" xfId="875"/>
    <cellStyle name="Note 2 3 6" xfId="1126"/>
    <cellStyle name="Note 2 4" xfId="535"/>
    <cellStyle name="Note 2 4 2" xfId="791"/>
    <cellStyle name="Note 2 4 3" xfId="906"/>
    <cellStyle name="Note 2 4 4" xfId="1215"/>
    <cellStyle name="Note 2 5" xfId="711"/>
    <cellStyle name="Note 2 5 2" xfId="842"/>
    <cellStyle name="Note 2 5 3" xfId="957"/>
    <cellStyle name="Note 2 5 4" xfId="1276"/>
    <cellStyle name="Note 2 6" xfId="758"/>
    <cellStyle name="Note 2 7" xfId="873"/>
    <cellStyle name="Note 2 8" xfId="1124"/>
    <cellStyle name="Note 3" xfId="358"/>
    <cellStyle name="Note 3 2" xfId="538"/>
    <cellStyle name="Note 3 2 2" xfId="691"/>
    <cellStyle name="Note 3 2 2 2" xfId="826"/>
    <cellStyle name="Note 3 2 2 3" xfId="941"/>
    <cellStyle name="Note 3 2 2 4" xfId="1259"/>
    <cellStyle name="Note 3 2 3" xfId="794"/>
    <cellStyle name="Note 3 2 4" xfId="909"/>
    <cellStyle name="Note 3 2 5" xfId="1218"/>
    <cellStyle name="Note 3 3" xfId="714"/>
    <cellStyle name="Note 3 3 2" xfId="845"/>
    <cellStyle name="Note 3 3 3" xfId="960"/>
    <cellStyle name="Note 3 3 4" xfId="1279"/>
    <cellStyle name="Note 3 4" xfId="761"/>
    <cellStyle name="Note 3 5" xfId="876"/>
    <cellStyle name="Note 3 6" xfId="1127"/>
    <cellStyle name="Note 4" xfId="692"/>
    <cellStyle name="Note 4 2" xfId="693"/>
    <cellStyle name="Note 4 2 2" xfId="828"/>
    <cellStyle name="Note 4 2 3" xfId="943"/>
    <cellStyle name="Note 4 2 4" xfId="1261"/>
    <cellStyle name="Note 4 3" xfId="827"/>
    <cellStyle name="Note 4 4" xfId="942"/>
    <cellStyle name="Note 4 5" xfId="1260"/>
    <cellStyle name="Note 5" xfId="694"/>
    <cellStyle name="Note 5 2" xfId="829"/>
    <cellStyle name="Note 5 3" xfId="944"/>
    <cellStyle name="Note 5 4" xfId="1262"/>
    <cellStyle name="Output 2" xfId="359"/>
    <cellStyle name="Output 2 2" xfId="360"/>
    <cellStyle name="Output 2 2 2" xfId="540"/>
    <cellStyle name="Output 2 2 2 2" xfId="796"/>
    <cellStyle name="Output 2 2 2 3" xfId="911"/>
    <cellStyle name="Output 2 2 2 4" xfId="1220"/>
    <cellStyle name="Output 2 2 3" xfId="716"/>
    <cellStyle name="Output 2 2 3 2" xfId="847"/>
    <cellStyle name="Output 2 2 3 3" xfId="962"/>
    <cellStyle name="Output 2 2 3 4" xfId="1281"/>
    <cellStyle name="Output 2 2 4" xfId="763"/>
    <cellStyle name="Output 2 2 5" xfId="878"/>
    <cellStyle name="Output 2 2 6" xfId="1129"/>
    <cellStyle name="Output 2 3" xfId="361"/>
    <cellStyle name="Output 2 3 2" xfId="541"/>
    <cellStyle name="Output 2 3 2 2" xfId="797"/>
    <cellStyle name="Output 2 3 2 3" xfId="912"/>
    <cellStyle name="Output 2 3 2 4" xfId="1221"/>
    <cellStyle name="Output 2 3 3" xfId="717"/>
    <cellStyle name="Output 2 3 3 2" xfId="848"/>
    <cellStyle name="Output 2 3 3 3" xfId="963"/>
    <cellStyle name="Output 2 3 3 4" xfId="1282"/>
    <cellStyle name="Output 2 3 4" xfId="764"/>
    <cellStyle name="Output 2 3 5" xfId="879"/>
    <cellStyle name="Output 2 3 6" xfId="1130"/>
    <cellStyle name="Output 2 4" xfId="539"/>
    <cellStyle name="Output 2 4 2" xfId="795"/>
    <cellStyle name="Output 2 4 3" xfId="910"/>
    <cellStyle name="Output 2 4 4" xfId="1219"/>
    <cellStyle name="Output 2 5" xfId="715"/>
    <cellStyle name="Output 2 5 2" xfId="846"/>
    <cellStyle name="Output 2 5 3" xfId="961"/>
    <cellStyle name="Output 2 5 4" xfId="1280"/>
    <cellStyle name="Output 2 6" xfId="762"/>
    <cellStyle name="Output 2 7" xfId="877"/>
    <cellStyle name="Output 2 8" xfId="1128"/>
    <cellStyle name="Output 3" xfId="362"/>
    <cellStyle name="Output 3 2" xfId="542"/>
    <cellStyle name="Output 3 2 2" xfId="798"/>
    <cellStyle name="Output 3 2 3" xfId="913"/>
    <cellStyle name="Output 3 2 4" xfId="1222"/>
    <cellStyle name="Output 3 3" xfId="718"/>
    <cellStyle name="Output 3 3 2" xfId="849"/>
    <cellStyle name="Output 3 3 3" xfId="964"/>
    <cellStyle name="Output 3 3 4" xfId="1283"/>
    <cellStyle name="Output 3 4" xfId="765"/>
    <cellStyle name="Output 3 5" xfId="880"/>
    <cellStyle name="Output 3 6" xfId="1131"/>
    <cellStyle name="Output 4" xfId="695"/>
    <cellStyle name="Output 4 2" xfId="830"/>
    <cellStyle name="Output 4 3" xfId="945"/>
    <cellStyle name="Output 4 4" xfId="1263"/>
    <cellStyle name="Output 5" xfId="696"/>
    <cellStyle name="Output 5 2" xfId="831"/>
    <cellStyle name="Output 5 3" xfId="946"/>
    <cellStyle name="Output 5 4" xfId="1264"/>
    <cellStyle name="Parastais 13" xfId="363"/>
    <cellStyle name="Parastais 2" xfId="364"/>
    <cellStyle name="Parastais 2 2" xfId="365"/>
    <cellStyle name="Parastais 2 3" xfId="366"/>
    <cellStyle name="Parastais 2_FMRik_260209_marts_sad1II.variants" xfId="367"/>
    <cellStyle name="Parastais 3" xfId="368"/>
    <cellStyle name="Parastais 4" xfId="369"/>
    <cellStyle name="Parastais 4 2" xfId="370"/>
    <cellStyle name="Parastais 4 2 2" xfId="371"/>
    <cellStyle name="Parastais 4 2 2 2" xfId="1134"/>
    <cellStyle name="Parastais 4 2 3" xfId="372"/>
    <cellStyle name="Parastais 4 2 3 2" xfId="1135"/>
    <cellStyle name="Parastais 4 2 4" xfId="1133"/>
    <cellStyle name="Parastais 4 3" xfId="373"/>
    <cellStyle name="Parastais 4 3 2" xfId="1136"/>
    <cellStyle name="Parastais 4 4" xfId="374"/>
    <cellStyle name="Parastais 4 4 2" xfId="1137"/>
    <cellStyle name="Parastais 4 5" xfId="1132"/>
    <cellStyle name="Parastais 5" xfId="375"/>
    <cellStyle name="Parastais 6" xfId="376"/>
    <cellStyle name="Parastais_ APV " xfId="697"/>
    <cellStyle name="Percent" xfId="2" builtinId="5"/>
    <cellStyle name="Percent 2" xfId="377"/>
    <cellStyle name="Percent 2 2" xfId="378"/>
    <cellStyle name="Percent 3" xfId="379"/>
    <cellStyle name="Percent 3 2" xfId="380"/>
    <cellStyle name="Percent 4" xfId="381"/>
    <cellStyle name="Percent 4 2" xfId="382"/>
    <cellStyle name="Percent 4 2 2" xfId="383"/>
    <cellStyle name="Percent 4 2 2 2" xfId="384"/>
    <cellStyle name="Percent 4 2 2 3" xfId="385"/>
    <cellStyle name="Percent 4 2 2 3 2" xfId="386"/>
    <cellStyle name="Percent 4 2 2 3 3" xfId="1141"/>
    <cellStyle name="Percent 4 2 2 4" xfId="1140"/>
    <cellStyle name="Percent 4 2 3" xfId="387"/>
    <cellStyle name="Percent 4 2 4" xfId="388"/>
    <cellStyle name="Percent 4 2 4 2" xfId="389"/>
    <cellStyle name="Percent 4 2 4 3" xfId="1142"/>
    <cellStyle name="Percent 4 2 5" xfId="1139"/>
    <cellStyle name="Percent 4 3" xfId="390"/>
    <cellStyle name="Percent 4 4" xfId="391"/>
    <cellStyle name="Percent 4 4 2" xfId="392"/>
    <cellStyle name="Percent 4 4 3" xfId="1143"/>
    <cellStyle name="Percent 4 5" xfId="1138"/>
    <cellStyle name="Percent 5" xfId="393"/>
    <cellStyle name="Percent 5 2" xfId="394"/>
    <cellStyle name="Percent 5 3" xfId="1144"/>
    <cellStyle name="Percent 6" xfId="571"/>
    <cellStyle name="Pie??m." xfId="395"/>
    <cellStyle name="residual" xfId="396"/>
    <cellStyle name="SAPBEXaggData" xfId="397"/>
    <cellStyle name="SAPBEXaggData 2" xfId="398"/>
    <cellStyle name="SAPBEXaggDataEmph" xfId="399"/>
    <cellStyle name="SAPBEXaggDataEmph 2" xfId="400"/>
    <cellStyle name="SAPBEXaggDataEmph 2 2" xfId="543"/>
    <cellStyle name="SAPBEXaggDataEmph 2 2 2" xfId="799"/>
    <cellStyle name="SAPBEXaggDataEmph 2 2 3" xfId="914"/>
    <cellStyle name="SAPBEXaggDataEmph 2 2 4" xfId="1223"/>
    <cellStyle name="SAPBEXaggDataEmph 2 3" xfId="719"/>
    <cellStyle name="SAPBEXaggDataEmph 2 3 2" xfId="850"/>
    <cellStyle name="SAPBEXaggDataEmph 2 3 3" xfId="965"/>
    <cellStyle name="SAPBEXaggDataEmph 2 3 4" xfId="1284"/>
    <cellStyle name="SAPBEXaggDataEmph 2 4" xfId="766"/>
    <cellStyle name="SAPBEXaggDataEmph 2 5" xfId="881"/>
    <cellStyle name="SAPBEXaggDataEmph 2 6" xfId="1145"/>
    <cellStyle name="SAPBEXaggItem" xfId="401"/>
    <cellStyle name="SAPBEXaggItem 2" xfId="402"/>
    <cellStyle name="SAPBEXaggItemX" xfId="403"/>
    <cellStyle name="SAPBEXaggItemX 2" xfId="404"/>
    <cellStyle name="SAPBEXaggItemX 2 2" xfId="544"/>
    <cellStyle name="SAPBEXaggItemX 2 2 2" xfId="800"/>
    <cellStyle name="SAPBEXaggItemX 2 2 3" xfId="915"/>
    <cellStyle name="SAPBEXaggItemX 2 2 4" xfId="1224"/>
    <cellStyle name="SAPBEXaggItemX 2 3" xfId="720"/>
    <cellStyle name="SAPBEXaggItemX 2 3 2" xfId="851"/>
    <cellStyle name="SAPBEXaggItemX 2 3 3" xfId="966"/>
    <cellStyle name="SAPBEXaggItemX 2 3 4" xfId="1285"/>
    <cellStyle name="SAPBEXaggItemX 2 4" xfId="767"/>
    <cellStyle name="SAPBEXaggItemX 2 5" xfId="882"/>
    <cellStyle name="SAPBEXaggItemX 2 6" xfId="1146"/>
    <cellStyle name="SAPBEXchaText" xfId="405"/>
    <cellStyle name="SAPBEXchaText 2" xfId="406"/>
    <cellStyle name="SAPBEXchaText 2 2" xfId="545"/>
    <cellStyle name="SAPBEXchaText 2 2 2" xfId="801"/>
    <cellStyle name="SAPBEXchaText 2 2 3" xfId="916"/>
    <cellStyle name="SAPBEXchaText 2 2 4" xfId="1225"/>
    <cellStyle name="SAPBEXexcBad7" xfId="407"/>
    <cellStyle name="SAPBEXexcBad8" xfId="408"/>
    <cellStyle name="SAPBEXexcBad9" xfId="409"/>
    <cellStyle name="SAPBEXexcCritical4" xfId="410"/>
    <cellStyle name="SAPBEXexcCritical5" xfId="411"/>
    <cellStyle name="SAPBEXexcCritical6" xfId="412"/>
    <cellStyle name="SAPBEXexcGood1" xfId="413"/>
    <cellStyle name="SAPBEXexcGood2" xfId="414"/>
    <cellStyle name="SAPBEXexcGood3" xfId="415"/>
    <cellStyle name="SAPBEXfilterDrill" xfId="416"/>
    <cellStyle name="SAPBEXfilterItem" xfId="417"/>
    <cellStyle name="SAPBEXfilterText" xfId="418"/>
    <cellStyle name="SAPBEXfilterText 2" xfId="419"/>
    <cellStyle name="SAPBEXformats" xfId="420"/>
    <cellStyle name="SAPBEXheaderItem" xfId="421"/>
    <cellStyle name="SAPBEXheaderText" xfId="422"/>
    <cellStyle name="SAPBEXheaderText 2" xfId="423"/>
    <cellStyle name="SAPBEXHLevel0" xfId="424"/>
    <cellStyle name="SAPBEXHLevel0 2" xfId="425"/>
    <cellStyle name="SAPBEXHLevel0X" xfId="426"/>
    <cellStyle name="SAPBEXHLevel0X 2" xfId="427"/>
    <cellStyle name="SAPBEXHLevel0X 2 2" xfId="546"/>
    <cellStyle name="SAPBEXHLevel0X 2 2 2" xfId="802"/>
    <cellStyle name="SAPBEXHLevel0X 2 2 3" xfId="917"/>
    <cellStyle name="SAPBEXHLevel0X 2 2 4" xfId="1226"/>
    <cellStyle name="SAPBEXHLevel0X 2 3" xfId="721"/>
    <cellStyle name="SAPBEXHLevel0X 2 3 2" xfId="852"/>
    <cellStyle name="SAPBEXHLevel0X 2 3 3" xfId="967"/>
    <cellStyle name="SAPBEXHLevel0X 2 3 4" xfId="1286"/>
    <cellStyle name="SAPBEXHLevel0X 2 4" xfId="768"/>
    <cellStyle name="SAPBEXHLevel0X 2 5" xfId="883"/>
    <cellStyle name="SAPBEXHLevel0X 2 6" xfId="1147"/>
    <cellStyle name="SAPBEXHLevel1" xfId="428"/>
    <cellStyle name="SAPBEXHLevel1 2" xfId="429"/>
    <cellStyle name="SAPBEXHLevel1X" xfId="430"/>
    <cellStyle name="SAPBEXHLevel1X 2" xfId="431"/>
    <cellStyle name="SAPBEXHLevel1X 2 2" xfId="547"/>
    <cellStyle name="SAPBEXHLevel1X 2 2 2" xfId="803"/>
    <cellStyle name="SAPBEXHLevel1X 2 2 3" xfId="918"/>
    <cellStyle name="SAPBEXHLevel1X 2 2 4" xfId="1227"/>
    <cellStyle name="SAPBEXHLevel1X 2 3" xfId="722"/>
    <cellStyle name="SAPBEXHLevel1X 2 3 2" xfId="853"/>
    <cellStyle name="SAPBEXHLevel1X 2 3 3" xfId="968"/>
    <cellStyle name="SAPBEXHLevel1X 2 3 4" xfId="1287"/>
    <cellStyle name="SAPBEXHLevel1X 2 4" xfId="769"/>
    <cellStyle name="SAPBEXHLevel1X 2 5" xfId="884"/>
    <cellStyle name="SAPBEXHLevel1X 2 6" xfId="1148"/>
    <cellStyle name="SAPBEXHLevel2" xfId="432"/>
    <cellStyle name="SAPBEXHLevel2 2" xfId="433"/>
    <cellStyle name="SAPBEXHLevel2X" xfId="434"/>
    <cellStyle name="SAPBEXHLevel2X 2" xfId="435"/>
    <cellStyle name="SAPBEXHLevel2X 2 2" xfId="548"/>
    <cellStyle name="SAPBEXHLevel2X 2 2 2" xfId="804"/>
    <cellStyle name="SAPBEXHLevel2X 2 2 3" xfId="919"/>
    <cellStyle name="SAPBEXHLevel2X 2 2 4" xfId="1228"/>
    <cellStyle name="SAPBEXHLevel2X 2 3" xfId="723"/>
    <cellStyle name="SAPBEXHLevel2X 2 3 2" xfId="854"/>
    <cellStyle name="SAPBEXHLevel2X 2 3 3" xfId="969"/>
    <cellStyle name="SAPBEXHLevel2X 2 3 4" xfId="1288"/>
    <cellStyle name="SAPBEXHLevel2X 2 4" xfId="770"/>
    <cellStyle name="SAPBEXHLevel2X 2 5" xfId="885"/>
    <cellStyle name="SAPBEXHLevel2X 2 6" xfId="1149"/>
    <cellStyle name="SAPBEXHLevel3" xfId="436"/>
    <cellStyle name="SAPBEXHLevel3 2" xfId="437"/>
    <cellStyle name="SAPBEXHLevel3X" xfId="438"/>
    <cellStyle name="SAPBEXHLevel3X 2" xfId="439"/>
    <cellStyle name="SAPBEXHLevel3X 2 2" xfId="549"/>
    <cellStyle name="SAPBEXHLevel3X 2 2 2" xfId="805"/>
    <cellStyle name="SAPBEXHLevel3X 2 2 3" xfId="920"/>
    <cellStyle name="SAPBEXHLevel3X 2 2 4" xfId="1229"/>
    <cellStyle name="SAPBEXHLevel3X 2 3" xfId="724"/>
    <cellStyle name="SAPBEXHLevel3X 2 3 2" xfId="855"/>
    <cellStyle name="SAPBEXHLevel3X 2 3 3" xfId="970"/>
    <cellStyle name="SAPBEXHLevel3X 2 3 4" xfId="1289"/>
    <cellStyle name="SAPBEXHLevel3X 2 4" xfId="771"/>
    <cellStyle name="SAPBEXHLevel3X 2 5" xfId="886"/>
    <cellStyle name="SAPBEXHLevel3X 2 6" xfId="1150"/>
    <cellStyle name="SAPBEXinputData" xfId="440"/>
    <cellStyle name="SAPBEXinputData 2" xfId="441"/>
    <cellStyle name="SAPBEXinputData 2 2" xfId="550"/>
    <cellStyle name="SAPBEXinputData 2 2 2" xfId="806"/>
    <cellStyle name="SAPBEXinputData 2 2 3" xfId="921"/>
    <cellStyle name="SAPBEXinputData 2 2 4" xfId="1230"/>
    <cellStyle name="SAPBEXItemHeader" xfId="442"/>
    <cellStyle name="SAPBEXItemHeader 2" xfId="551"/>
    <cellStyle name="SAPBEXItemHeader 2 2" xfId="807"/>
    <cellStyle name="SAPBEXItemHeader 2 3" xfId="922"/>
    <cellStyle name="SAPBEXItemHeader 2 4" xfId="1231"/>
    <cellStyle name="SAPBEXItemHeader 3" xfId="725"/>
    <cellStyle name="SAPBEXItemHeader 3 2" xfId="856"/>
    <cellStyle name="SAPBEXItemHeader 3 3" xfId="971"/>
    <cellStyle name="SAPBEXItemHeader 3 4" xfId="1290"/>
    <cellStyle name="SAPBEXItemHeader 4" xfId="772"/>
    <cellStyle name="SAPBEXItemHeader 5" xfId="887"/>
    <cellStyle name="SAPBEXItemHeader 6" xfId="1151"/>
    <cellStyle name="SAPBEXresData" xfId="443"/>
    <cellStyle name="SAPBEXresData 2" xfId="444"/>
    <cellStyle name="SAPBEXresData 2 2" xfId="552"/>
    <cellStyle name="SAPBEXresData 2 2 2" xfId="808"/>
    <cellStyle name="SAPBEXresData 2 2 3" xfId="923"/>
    <cellStyle name="SAPBEXresData 2 2 4" xfId="1232"/>
    <cellStyle name="SAPBEXresData 2 3" xfId="726"/>
    <cellStyle name="SAPBEXresData 2 3 2" xfId="857"/>
    <cellStyle name="SAPBEXresData 2 3 3" xfId="972"/>
    <cellStyle name="SAPBEXresData 2 3 4" xfId="1291"/>
    <cellStyle name="SAPBEXresData 2 4" xfId="773"/>
    <cellStyle name="SAPBEXresData 2 5" xfId="888"/>
    <cellStyle name="SAPBEXresData 2 6" xfId="1152"/>
    <cellStyle name="SAPBEXresDataEmph" xfId="445"/>
    <cellStyle name="SAPBEXresDataEmph 2" xfId="446"/>
    <cellStyle name="SAPBEXresDataEmph 2 2" xfId="553"/>
    <cellStyle name="SAPBEXresDataEmph 2 2 2" xfId="809"/>
    <cellStyle name="SAPBEXresDataEmph 2 2 3" xfId="924"/>
    <cellStyle name="SAPBEXresDataEmph 2 2 4" xfId="1233"/>
    <cellStyle name="SAPBEXresDataEmph 2 3" xfId="727"/>
    <cellStyle name="SAPBEXresDataEmph 2 3 2" xfId="858"/>
    <cellStyle name="SAPBEXresDataEmph 2 3 3" xfId="973"/>
    <cellStyle name="SAPBEXresDataEmph 2 3 4" xfId="1292"/>
    <cellStyle name="SAPBEXresDataEmph 2 4" xfId="774"/>
    <cellStyle name="SAPBEXresDataEmph 2 5" xfId="889"/>
    <cellStyle name="SAPBEXresDataEmph 2 6" xfId="1153"/>
    <cellStyle name="SAPBEXresItem" xfId="447"/>
    <cellStyle name="SAPBEXresItem 2" xfId="448"/>
    <cellStyle name="SAPBEXresItem 2 2" xfId="554"/>
    <cellStyle name="SAPBEXresItem 2 2 2" xfId="810"/>
    <cellStyle name="SAPBEXresItem 2 2 3" xfId="925"/>
    <cellStyle name="SAPBEXresItem 2 2 4" xfId="1234"/>
    <cellStyle name="SAPBEXresItemX" xfId="449"/>
    <cellStyle name="SAPBEXresItemX 2" xfId="450"/>
    <cellStyle name="SAPBEXresItemX 2 2" xfId="555"/>
    <cellStyle name="SAPBEXresItemX 2 2 2" xfId="811"/>
    <cellStyle name="SAPBEXresItemX 2 2 3" xfId="926"/>
    <cellStyle name="SAPBEXresItemX 2 2 4" xfId="1235"/>
    <cellStyle name="SAPBEXresItemX 2 3" xfId="728"/>
    <cellStyle name="SAPBEXresItemX 2 3 2" xfId="859"/>
    <cellStyle name="SAPBEXresItemX 2 3 3" xfId="974"/>
    <cellStyle name="SAPBEXresItemX 2 3 4" xfId="1293"/>
    <cellStyle name="SAPBEXresItemX 2 4" xfId="775"/>
    <cellStyle name="SAPBEXresItemX 2 5" xfId="890"/>
    <cellStyle name="SAPBEXresItemX 2 6" xfId="1154"/>
    <cellStyle name="SAPBEXstdData" xfId="451"/>
    <cellStyle name="SAPBEXstdData 2" xfId="452"/>
    <cellStyle name="SAPBEXstdData 2 2" xfId="557"/>
    <cellStyle name="SAPBEXstdData 2 2 2" xfId="813"/>
    <cellStyle name="SAPBEXstdData 2 2 3" xfId="928"/>
    <cellStyle name="SAPBEXstdData 2 2 4" xfId="1237"/>
    <cellStyle name="SAPBEXstdData 3" xfId="556"/>
    <cellStyle name="SAPBEXstdData 3 2" xfId="812"/>
    <cellStyle name="SAPBEXstdData 3 3" xfId="927"/>
    <cellStyle name="SAPBEXstdData 3 4" xfId="1236"/>
    <cellStyle name="SAPBEXstdData_2009 g _150609" xfId="453"/>
    <cellStyle name="SAPBEXstdDataEmph" xfId="454"/>
    <cellStyle name="SAPBEXstdItem" xfId="455"/>
    <cellStyle name="SAPBEXstdItem 2" xfId="456"/>
    <cellStyle name="SAPBEXstdItem 2 2" xfId="559"/>
    <cellStyle name="SAPBEXstdItem 2 2 2" xfId="815"/>
    <cellStyle name="SAPBEXstdItem 2 2 3" xfId="930"/>
    <cellStyle name="SAPBEXstdItem 2 2 4" xfId="1239"/>
    <cellStyle name="SAPBEXstdItem 3" xfId="457"/>
    <cellStyle name="SAPBEXstdItem 4" xfId="558"/>
    <cellStyle name="SAPBEXstdItem 4 2" xfId="814"/>
    <cellStyle name="SAPBEXstdItem 4 3" xfId="929"/>
    <cellStyle name="SAPBEXstdItem 4 4" xfId="1238"/>
    <cellStyle name="SAPBEXstdItem_FMLikp03_081208_15_aprrez" xfId="458"/>
    <cellStyle name="SAPBEXstdItemX" xfId="459"/>
    <cellStyle name="SAPBEXstdItemX 2" xfId="460"/>
    <cellStyle name="SAPBEXstdItemX 2 2" xfId="560"/>
    <cellStyle name="SAPBEXstdItemX 2 2 2" xfId="816"/>
    <cellStyle name="SAPBEXstdItemX 2 2 3" xfId="931"/>
    <cellStyle name="SAPBEXstdItemX 2 2 4" xfId="1240"/>
    <cellStyle name="SAPBEXstdItemX 2 3" xfId="729"/>
    <cellStyle name="SAPBEXstdItemX 2 3 2" xfId="860"/>
    <cellStyle name="SAPBEXstdItemX 2 3 3" xfId="975"/>
    <cellStyle name="SAPBEXstdItemX 2 3 4" xfId="1294"/>
    <cellStyle name="SAPBEXstdItemX 2 4" xfId="776"/>
    <cellStyle name="SAPBEXstdItemX 2 5" xfId="891"/>
    <cellStyle name="SAPBEXstdItemX 2 6" xfId="1155"/>
    <cellStyle name="SAPBEXtitle" xfId="461"/>
    <cellStyle name="SAPBEXunassignedItem" xfId="462"/>
    <cellStyle name="SAPBEXunassignedItem 2" xfId="561"/>
    <cellStyle name="SAPBEXunassignedItem 2 2" xfId="817"/>
    <cellStyle name="SAPBEXunassignedItem 2 3" xfId="932"/>
    <cellStyle name="SAPBEXunassignedItem 2 4" xfId="1241"/>
    <cellStyle name="SAPBEXundefined" xfId="463"/>
    <cellStyle name="Sce_Title" xfId="464"/>
    <cellStyle name="Sheet Title" xfId="465"/>
    <cellStyle name="Stils 1" xfId="466"/>
    <cellStyle name="Style 1" xfId="467"/>
    <cellStyle name="Sub-title" xfId="468"/>
    <cellStyle name="TableStyleLight1" xfId="469"/>
    <cellStyle name="TableStyleLight1 2" xfId="504"/>
    <cellStyle name="TableStyleLight1 2 2" xfId="1184"/>
    <cellStyle name="TableStyleLight1 3" xfId="562"/>
    <cellStyle name="TableStyleLight1 3 2" xfId="1242"/>
    <cellStyle name="TableStyleLight1 4" xfId="749"/>
    <cellStyle name="TableStyleLight1 4 2" xfId="1314"/>
    <cellStyle name="TableStyleLight1 5" xfId="1156"/>
    <cellStyle name="Title 2" xfId="470"/>
    <cellStyle name="Title 3" xfId="471"/>
    <cellStyle name="Title 4" xfId="472"/>
    <cellStyle name="Title 5" xfId="698"/>
    <cellStyle name="Total 2" xfId="473"/>
    <cellStyle name="Total 2 2" xfId="474"/>
    <cellStyle name="Total 2 2 2" xfId="564"/>
    <cellStyle name="Total 2 2 2 2" xfId="819"/>
    <cellStyle name="Total 2 2 2 3" xfId="934"/>
    <cellStyle name="Total 2 2 2 4" xfId="1244"/>
    <cellStyle name="Total 2 2 3" xfId="731"/>
    <cellStyle name="Total 2 2 3 2" xfId="862"/>
    <cellStyle name="Total 2 2 3 3" xfId="977"/>
    <cellStyle name="Total 2 2 3 4" xfId="1296"/>
    <cellStyle name="Total 2 2 4" xfId="778"/>
    <cellStyle name="Total 2 2 5" xfId="893"/>
    <cellStyle name="Total 2 2 6" xfId="1158"/>
    <cellStyle name="Total 2 3" xfId="475"/>
    <cellStyle name="Total 2 3 2" xfId="565"/>
    <cellStyle name="Total 2 3 2 2" xfId="820"/>
    <cellStyle name="Total 2 3 2 3" xfId="935"/>
    <cellStyle name="Total 2 3 2 4" xfId="1245"/>
    <cellStyle name="Total 2 3 3" xfId="732"/>
    <cellStyle name="Total 2 3 3 2" xfId="863"/>
    <cellStyle name="Total 2 3 3 3" xfId="978"/>
    <cellStyle name="Total 2 3 3 4" xfId="1297"/>
    <cellStyle name="Total 2 3 4" xfId="779"/>
    <cellStyle name="Total 2 3 5" xfId="894"/>
    <cellStyle name="Total 2 3 6" xfId="1159"/>
    <cellStyle name="Total 2 4" xfId="563"/>
    <cellStyle name="Total 2 4 2" xfId="818"/>
    <cellStyle name="Total 2 4 3" xfId="933"/>
    <cellStyle name="Total 2 4 4" xfId="1243"/>
    <cellStyle name="Total 2 5" xfId="730"/>
    <cellStyle name="Total 2 5 2" xfId="861"/>
    <cellStyle name="Total 2 5 3" xfId="976"/>
    <cellStyle name="Total 2 5 4" xfId="1295"/>
    <cellStyle name="Total 2 6" xfId="777"/>
    <cellStyle name="Total 2 7" xfId="892"/>
    <cellStyle name="Total 2 8" xfId="1157"/>
    <cellStyle name="Total 3" xfId="476"/>
    <cellStyle name="Total 3 2" xfId="566"/>
    <cellStyle name="Total 3 2 2" xfId="821"/>
    <cellStyle name="Total 3 2 3" xfId="936"/>
    <cellStyle name="Total 3 2 4" xfId="1246"/>
    <cellStyle name="Total 3 3" xfId="733"/>
    <cellStyle name="Total 3 3 2" xfId="864"/>
    <cellStyle name="Total 3 3 3" xfId="979"/>
    <cellStyle name="Total 3 3 4" xfId="1298"/>
    <cellStyle name="Total 3 4" xfId="780"/>
    <cellStyle name="Total 3 5" xfId="895"/>
    <cellStyle name="Total 3 6" xfId="1160"/>
    <cellStyle name="Total 4" xfId="699"/>
    <cellStyle name="Total 4 2" xfId="832"/>
    <cellStyle name="Total 4 3" xfId="947"/>
    <cellStyle name="Total 4 4" xfId="1265"/>
    <cellStyle name="Total 5" xfId="700"/>
    <cellStyle name="Total 5 2" xfId="833"/>
    <cellStyle name="Total 5 3" xfId="948"/>
    <cellStyle name="Total 5 4" xfId="1266"/>
    <cellStyle name="V?st." xfId="477"/>
    <cellStyle name="Warning Text 2" xfId="478"/>
    <cellStyle name="Warning Text 3" xfId="479"/>
    <cellStyle name="Warning Text 4" xfId="701"/>
    <cellStyle name="Warning Text 5" xfId="702"/>
    <cellStyle name="Years" xfId="48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X202"/>
  <sheetViews>
    <sheetView tabSelected="1" view="pageBreakPreview" zoomScale="55" zoomScaleNormal="60" zoomScaleSheetLayoutView="55" zoomScalePageLayoutView="10" workbookViewId="0">
      <pane xSplit="2" ySplit="10" topLeftCell="C11" activePane="bottomRight" state="frozen"/>
      <selection activeCell="A3" sqref="A3"/>
      <selection pane="topRight" activeCell="C3" sqref="C3"/>
      <selection pane="bottomLeft" activeCell="A9" sqref="A9"/>
      <selection pane="bottomRight" activeCell="S199" sqref="S199"/>
    </sheetView>
  </sheetViews>
  <sheetFormatPr defaultColWidth="9" defaultRowHeight="20.25" outlineLevelRow="1"/>
  <cols>
    <col min="1" max="1" width="14.375" style="37" customWidth="1"/>
    <col min="2" max="2" width="36.5" style="38" customWidth="1"/>
    <col min="3" max="3" width="18.875" style="39" customWidth="1"/>
    <col min="4" max="4" width="18.25" style="39" customWidth="1" collapsed="1"/>
    <col min="5" max="5" width="18.375" style="39" customWidth="1" collapsed="1"/>
    <col min="6" max="7" width="18.375" style="42" hidden="1" customWidth="1"/>
    <col min="8" max="9" width="18.375" style="39" customWidth="1"/>
    <col min="10" max="11" width="18.375" style="39" hidden="1" customWidth="1"/>
    <col min="12" max="12" width="15.5" style="40" customWidth="1"/>
    <col min="13" max="13" width="15.5" style="8" customWidth="1"/>
    <col min="14" max="14" width="15.5" style="48" customWidth="1"/>
    <col min="15" max="16" width="15.5" style="48" customWidth="1" collapsed="1"/>
    <col min="17" max="18" width="15.5" style="7" customWidth="1"/>
    <col min="19" max="24" width="15.5" style="8" customWidth="1"/>
    <col min="25" max="25" width="17.375" style="43" hidden="1" customWidth="1"/>
    <col min="26" max="26" width="18.25" style="43" hidden="1" customWidth="1"/>
    <col min="27" max="28" width="18.25" style="8" hidden="1" customWidth="1"/>
    <col min="29" max="33" width="19.75" style="9" customWidth="1"/>
    <col min="34" max="35" width="18.25" style="43" hidden="1" customWidth="1"/>
    <col min="36" max="37" width="22.875" style="8" hidden="1" customWidth="1"/>
    <col min="38" max="39" width="18.875" style="8" customWidth="1"/>
    <col min="40" max="40" width="14.5" customWidth="1"/>
    <col min="41" max="41" width="18.75" customWidth="1"/>
    <col min="42" max="42" width="16" customWidth="1"/>
    <col min="43" max="43" width="13.25" customWidth="1"/>
    <col min="44" max="44" width="15.75" customWidth="1"/>
    <col min="45" max="45" width="16.5" customWidth="1"/>
    <col min="155" max="16384" width="9" style="10"/>
  </cols>
  <sheetData>
    <row r="1" spans="1:154" hidden="1">
      <c r="A1" s="1"/>
      <c r="B1" s="2"/>
      <c r="C1" s="3"/>
      <c r="D1" s="3"/>
      <c r="E1" s="3"/>
      <c r="H1" s="3"/>
      <c r="I1" s="3"/>
      <c r="J1" s="3"/>
      <c r="K1" s="3"/>
      <c r="L1" s="4"/>
      <c r="M1" s="4"/>
      <c r="N1" s="5"/>
      <c r="O1" s="4"/>
      <c r="P1" s="6"/>
    </row>
    <row r="2" spans="1:154" ht="30" hidden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</row>
    <row r="3" spans="1:154" ht="23.4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44"/>
      <c r="Z3" s="44"/>
      <c r="AA3" s="11"/>
      <c r="AB3" s="11"/>
      <c r="AC3" s="290" t="s">
        <v>380</v>
      </c>
      <c r="AD3" s="290"/>
      <c r="AE3" s="290"/>
      <c r="AF3" s="290"/>
      <c r="AG3" s="290"/>
      <c r="AH3" s="290"/>
      <c r="AI3" s="290"/>
      <c r="AJ3" s="290"/>
      <c r="AK3" s="290"/>
      <c r="AL3" s="290"/>
      <c r="AM3" s="290"/>
    </row>
    <row r="4" spans="1:154" ht="5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44"/>
      <c r="Z4" s="44"/>
      <c r="AA4" s="11"/>
      <c r="AB4" s="11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</row>
    <row r="5" spans="1:154" ht="27" customHeight="1">
      <c r="A5" s="289" t="s">
        <v>0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</row>
    <row r="6" spans="1:154" ht="23.45" customHeight="1">
      <c r="A6" s="56"/>
      <c r="B6" s="56"/>
      <c r="C6" s="56"/>
      <c r="D6" s="271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6"/>
      <c r="Y6" s="44"/>
      <c r="Z6" s="44"/>
      <c r="AA6" s="11"/>
      <c r="AB6" s="11"/>
      <c r="AC6" s="12"/>
      <c r="AD6" s="12"/>
      <c r="AE6" s="12"/>
      <c r="AF6" s="12"/>
      <c r="AG6" s="12"/>
      <c r="AH6" s="44"/>
      <c r="AI6" s="44"/>
      <c r="AJ6" s="11"/>
      <c r="AK6" s="11"/>
      <c r="AL6" s="11"/>
      <c r="AM6" s="11"/>
    </row>
    <row r="7" spans="1:154" s="13" customFormat="1" ht="40.5" customHeight="1">
      <c r="A7" s="275" t="s">
        <v>1</v>
      </c>
      <c r="B7" s="276" t="s">
        <v>2</v>
      </c>
      <c r="C7" s="276" t="s">
        <v>3</v>
      </c>
      <c r="D7" s="276" t="s">
        <v>4</v>
      </c>
      <c r="E7" s="277" t="s">
        <v>5</v>
      </c>
      <c r="F7" s="280" t="s">
        <v>6</v>
      </c>
      <c r="G7" s="281"/>
      <c r="H7" s="277" t="s">
        <v>7</v>
      </c>
      <c r="I7" s="284"/>
      <c r="J7" s="304" t="s">
        <v>8</v>
      </c>
      <c r="K7" s="305"/>
      <c r="L7" s="284" t="s">
        <v>9</v>
      </c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76"/>
      <c r="Y7" s="280" t="s">
        <v>10</v>
      </c>
      <c r="Z7" s="281"/>
      <c r="AA7" s="304" t="s">
        <v>11</v>
      </c>
      <c r="AB7" s="305"/>
      <c r="AC7" s="277" t="s">
        <v>12</v>
      </c>
      <c r="AD7" s="306"/>
      <c r="AE7" s="306"/>
      <c r="AF7" s="306"/>
      <c r="AG7" s="284"/>
      <c r="AH7" s="294" t="s">
        <v>13</v>
      </c>
      <c r="AI7" s="295"/>
      <c r="AJ7" s="298" t="s">
        <v>376</v>
      </c>
      <c r="AK7" s="299"/>
      <c r="AL7" s="302" t="s">
        <v>14</v>
      </c>
      <c r="AM7" s="303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</row>
    <row r="8" spans="1:154" s="13" customFormat="1" ht="41.25" customHeight="1">
      <c r="A8" s="275"/>
      <c r="B8" s="276"/>
      <c r="C8" s="276"/>
      <c r="D8" s="276"/>
      <c r="E8" s="278"/>
      <c r="F8" s="282"/>
      <c r="G8" s="283"/>
      <c r="H8" s="285"/>
      <c r="I8" s="286"/>
      <c r="J8" s="285"/>
      <c r="K8" s="286"/>
      <c r="L8" s="155" t="s">
        <v>15</v>
      </c>
      <c r="M8" s="156" t="s">
        <v>16</v>
      </c>
      <c r="N8" s="156" t="s">
        <v>17</v>
      </c>
      <c r="O8" s="156" t="s">
        <v>18</v>
      </c>
      <c r="P8" s="156" t="s">
        <v>19</v>
      </c>
      <c r="Q8" s="156" t="s">
        <v>20</v>
      </c>
      <c r="R8" s="156" t="s">
        <v>21</v>
      </c>
      <c r="S8" s="156" t="s">
        <v>22</v>
      </c>
      <c r="T8" s="156" t="s">
        <v>23</v>
      </c>
      <c r="U8" s="156" t="s">
        <v>24</v>
      </c>
      <c r="V8" s="156" t="s">
        <v>25</v>
      </c>
      <c r="W8" s="156" t="s">
        <v>9</v>
      </c>
      <c r="X8" s="287" t="s">
        <v>26</v>
      </c>
      <c r="Y8" s="282"/>
      <c r="Z8" s="283"/>
      <c r="AA8" s="285"/>
      <c r="AB8" s="286"/>
      <c r="AC8" s="155" t="s">
        <v>27</v>
      </c>
      <c r="AD8" s="155" t="s">
        <v>28</v>
      </c>
      <c r="AE8" s="155" t="s">
        <v>29</v>
      </c>
      <c r="AF8" s="155" t="s">
        <v>12</v>
      </c>
      <c r="AG8" s="287" t="s">
        <v>30</v>
      </c>
      <c r="AH8" s="296"/>
      <c r="AI8" s="297"/>
      <c r="AJ8" s="300"/>
      <c r="AK8" s="301"/>
      <c r="AL8" s="307" t="s">
        <v>31</v>
      </c>
      <c r="AM8" s="291" t="s">
        <v>32</v>
      </c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</row>
    <row r="9" spans="1:154" s="13" customFormat="1" ht="156" customHeight="1">
      <c r="A9" s="275"/>
      <c r="B9" s="276"/>
      <c r="C9" s="276"/>
      <c r="D9" s="276"/>
      <c r="E9" s="279"/>
      <c r="F9" s="157" t="s">
        <v>33</v>
      </c>
      <c r="G9" s="158" t="s">
        <v>32</v>
      </c>
      <c r="H9" s="159" t="s">
        <v>33</v>
      </c>
      <c r="I9" s="160" t="s">
        <v>32</v>
      </c>
      <c r="J9" s="156" t="s">
        <v>34</v>
      </c>
      <c r="K9" s="156" t="s">
        <v>35</v>
      </c>
      <c r="L9" s="156" t="s">
        <v>31</v>
      </c>
      <c r="M9" s="156" t="s">
        <v>31</v>
      </c>
      <c r="N9" s="156" t="s">
        <v>36</v>
      </c>
      <c r="O9" s="156" t="s">
        <v>31</v>
      </c>
      <c r="P9" s="161" t="s">
        <v>31</v>
      </c>
      <c r="Q9" s="156" t="s">
        <v>31</v>
      </c>
      <c r="R9" s="156" t="s">
        <v>31</v>
      </c>
      <c r="S9" s="156" t="s">
        <v>31</v>
      </c>
      <c r="T9" s="156" t="s">
        <v>31</v>
      </c>
      <c r="U9" s="156" t="s">
        <v>31</v>
      </c>
      <c r="V9" s="156" t="s">
        <v>31</v>
      </c>
      <c r="W9" s="156" t="s">
        <v>31</v>
      </c>
      <c r="X9" s="279"/>
      <c r="Y9" s="162" t="s">
        <v>31</v>
      </c>
      <c r="Z9" s="163" t="s">
        <v>26</v>
      </c>
      <c r="AA9" s="156" t="s">
        <v>37</v>
      </c>
      <c r="AB9" s="156" t="s">
        <v>38</v>
      </c>
      <c r="AC9" s="156" t="s">
        <v>31</v>
      </c>
      <c r="AD9" s="156" t="s">
        <v>31</v>
      </c>
      <c r="AE9" s="156" t="s">
        <v>31</v>
      </c>
      <c r="AF9" s="156" t="s">
        <v>31</v>
      </c>
      <c r="AG9" s="279"/>
      <c r="AH9" s="60" t="s">
        <v>31</v>
      </c>
      <c r="AI9" s="61" t="s">
        <v>30</v>
      </c>
      <c r="AJ9" s="59" t="s">
        <v>39</v>
      </c>
      <c r="AK9" s="59" t="s">
        <v>40</v>
      </c>
      <c r="AL9" s="308"/>
      <c r="AM9" s="291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</row>
    <row r="10" spans="1:154" s="13" customFormat="1" ht="19.5">
      <c r="A10" s="164">
        <v>1</v>
      </c>
      <c r="B10" s="164">
        <v>2</v>
      </c>
      <c r="C10" s="164">
        <v>3</v>
      </c>
      <c r="D10" s="164">
        <v>4</v>
      </c>
      <c r="E10" s="164">
        <v>5</v>
      </c>
      <c r="F10" s="165">
        <v>6</v>
      </c>
      <c r="G10" s="165">
        <v>7</v>
      </c>
      <c r="H10" s="164">
        <v>8</v>
      </c>
      <c r="I10" s="164">
        <v>9</v>
      </c>
      <c r="J10" s="164" t="s">
        <v>370</v>
      </c>
      <c r="K10" s="164" t="s">
        <v>371</v>
      </c>
      <c r="L10" s="164">
        <v>12</v>
      </c>
      <c r="M10" s="164">
        <v>13</v>
      </c>
      <c r="N10" s="164">
        <v>14</v>
      </c>
      <c r="O10" s="164">
        <v>15</v>
      </c>
      <c r="P10" s="164">
        <v>16</v>
      </c>
      <c r="Q10" s="164">
        <v>17</v>
      </c>
      <c r="R10" s="164">
        <v>18</v>
      </c>
      <c r="S10" s="164">
        <v>19</v>
      </c>
      <c r="T10" s="164">
        <v>20</v>
      </c>
      <c r="U10" s="164">
        <v>21</v>
      </c>
      <c r="V10" s="164">
        <v>22</v>
      </c>
      <c r="W10" s="164">
        <v>23</v>
      </c>
      <c r="X10" s="164">
        <v>24</v>
      </c>
      <c r="Y10" s="165">
        <v>26</v>
      </c>
      <c r="Z10" s="165">
        <v>27</v>
      </c>
      <c r="AA10" s="164" t="s">
        <v>372</v>
      </c>
      <c r="AB10" s="164" t="s">
        <v>373</v>
      </c>
      <c r="AC10" s="164">
        <v>31</v>
      </c>
      <c r="AD10" s="164">
        <v>32</v>
      </c>
      <c r="AE10" s="164">
        <v>33</v>
      </c>
      <c r="AF10" s="164">
        <v>34</v>
      </c>
      <c r="AG10" s="164">
        <v>35</v>
      </c>
      <c r="AH10" s="63">
        <v>37</v>
      </c>
      <c r="AI10" s="63">
        <v>38</v>
      </c>
      <c r="AJ10" s="62" t="s">
        <v>377</v>
      </c>
      <c r="AK10" s="62" t="s">
        <v>378</v>
      </c>
      <c r="AL10" s="62">
        <v>42</v>
      </c>
      <c r="AM10" s="62">
        <v>43</v>
      </c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</row>
    <row r="11" spans="1:154" s="14" customFormat="1" ht="39" customHeight="1">
      <c r="A11" s="166"/>
      <c r="B11" s="166" t="s">
        <v>41</v>
      </c>
      <c r="C11" s="167">
        <f t="shared" ref="C11:D11" si="0">C21</f>
        <v>409807622.26047194</v>
      </c>
      <c r="D11" s="167">
        <f t="shared" si="0"/>
        <v>409807623.34564394</v>
      </c>
      <c r="E11" s="167">
        <f>E21</f>
        <v>317623539.95000005</v>
      </c>
      <c r="F11" s="168">
        <v>57746290.449000001</v>
      </c>
      <c r="G11" s="168">
        <v>760467.55726000003</v>
      </c>
      <c r="H11" s="167">
        <f t="shared" ref="H11:I11" si="1">H21</f>
        <v>59523436.419893004</v>
      </c>
      <c r="I11" s="167">
        <f t="shared" si="1"/>
        <v>742991.48</v>
      </c>
      <c r="J11" s="167">
        <f t="shared" ref="J11:K13" si="2">H11-F11</f>
        <v>1777145.970893003</v>
      </c>
      <c r="K11" s="167">
        <f t="shared" si="2"/>
        <v>-17476.077260000049</v>
      </c>
      <c r="L11" s="167">
        <f t="shared" ref="L11:W11" si="3">L21</f>
        <v>3425891.3638947369</v>
      </c>
      <c r="M11" s="167">
        <f t="shared" si="3"/>
        <v>8106320.7681052629</v>
      </c>
      <c r="N11" s="167">
        <f t="shared" si="3"/>
        <v>13902881.2842</v>
      </c>
      <c r="O11" s="167">
        <f t="shared" si="3"/>
        <v>16900590.19214737</v>
      </c>
      <c r="P11" s="167">
        <f t="shared" si="3"/>
        <v>20957322.146252632</v>
      </c>
      <c r="Q11" s="167">
        <f t="shared" si="3"/>
        <v>24438095.720936842</v>
      </c>
      <c r="R11" s="167">
        <f t="shared" si="3"/>
        <v>27459385.533831581</v>
      </c>
      <c r="S11" s="167">
        <f t="shared" si="3"/>
        <v>30974646.394831579</v>
      </c>
      <c r="T11" s="167">
        <f t="shared" si="3"/>
        <v>34217428.527831577</v>
      </c>
      <c r="U11" s="167">
        <f t="shared" si="3"/>
        <v>37494523.190831587</v>
      </c>
      <c r="V11" s="167">
        <f t="shared" si="3"/>
        <v>40865864.463831581</v>
      </c>
      <c r="W11" s="167">
        <f t="shared" si="3"/>
        <v>43426304.710831583</v>
      </c>
      <c r="X11" s="167">
        <f t="shared" ref="X11" si="4">X21</f>
        <v>286893.33463303064</v>
      </c>
      <c r="Y11" s="168">
        <f>Y21</f>
        <v>44717381.681002669</v>
      </c>
      <c r="Z11" s="168">
        <f>Z21</f>
        <v>224282.43340000001</v>
      </c>
      <c r="AA11" s="167">
        <f t="shared" ref="AA11:AA28" si="5">Y11-W11</f>
        <v>1291076.9701710865</v>
      </c>
      <c r="AB11" s="167">
        <f t="shared" ref="AB11:AB28" si="6">Z11-X11</f>
        <v>-62610.901233030629</v>
      </c>
      <c r="AC11" s="167">
        <f t="shared" ref="AC11:AI11" si="7">AC21</f>
        <v>12606315.350545</v>
      </c>
      <c r="AD11" s="167">
        <f t="shared" si="7"/>
        <v>19780037.47109</v>
      </c>
      <c r="AE11" s="167">
        <f t="shared" si="7"/>
        <v>27273496.831090003</v>
      </c>
      <c r="AF11" s="167">
        <f t="shared" si="7"/>
        <v>31091959.251089998</v>
      </c>
      <c r="AG11" s="167">
        <f t="shared" si="7"/>
        <v>211513.56164</v>
      </c>
      <c r="AH11" s="65">
        <f t="shared" si="7"/>
        <v>22341991.056531385</v>
      </c>
      <c r="AI11" s="65">
        <f t="shared" si="7"/>
        <v>168966.34315594801</v>
      </c>
      <c r="AJ11" s="66">
        <f t="shared" ref="AJ11:AJ28" si="8">AH11-AF11</f>
        <v>-8749968.194558613</v>
      </c>
      <c r="AK11" s="66">
        <f t="shared" ref="AK11:AK28" si="9">AI11-AG11</f>
        <v>-42547.218484051991</v>
      </c>
      <c r="AL11" s="64">
        <f t="shared" ref="AL11:AL28" si="10">H11+W11+AF11</f>
        <v>134041700.38181457</v>
      </c>
      <c r="AM11" s="64">
        <f t="shared" ref="AM11:AM28" si="11">I11+X11+AG11</f>
        <v>1241398.3762730306</v>
      </c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</row>
    <row r="12" spans="1:154" s="14" customFormat="1" ht="39" customHeight="1">
      <c r="A12" s="166"/>
      <c r="B12" s="166" t="s">
        <v>42</v>
      </c>
      <c r="C12" s="167">
        <f t="shared" ref="C12:W12" si="12">C87</f>
        <v>1548219134.79322</v>
      </c>
      <c r="D12" s="167">
        <f t="shared" si="12"/>
        <v>1615108863.5262201</v>
      </c>
      <c r="E12" s="167">
        <f t="shared" si="12"/>
        <v>804506123.58999991</v>
      </c>
      <c r="F12" s="168">
        <v>252634604.44030002</v>
      </c>
      <c r="G12" s="168">
        <v>9867640.871983001</v>
      </c>
      <c r="H12" s="167">
        <f t="shared" ref="H12:I12" si="13">H87</f>
        <v>254200119.05000001</v>
      </c>
      <c r="I12" s="167">
        <f t="shared" si="13"/>
        <v>23565882.946433969</v>
      </c>
      <c r="J12" s="167">
        <f t="shared" si="2"/>
        <v>1565514.6096999943</v>
      </c>
      <c r="K12" s="167">
        <f t="shared" si="2"/>
        <v>13698242.074450968</v>
      </c>
      <c r="L12" s="167">
        <f t="shared" si="12"/>
        <v>10897878.830242926</v>
      </c>
      <c r="M12" s="167">
        <f t="shared" si="12"/>
        <v>42332498.683018722</v>
      </c>
      <c r="N12" s="167">
        <f t="shared" si="12"/>
        <v>70420819.76896812</v>
      </c>
      <c r="O12" s="167">
        <f t="shared" si="12"/>
        <v>93009454.584163696</v>
      </c>
      <c r="P12" s="167">
        <f t="shared" si="12"/>
        <v>108125628.44693002</v>
      </c>
      <c r="Q12" s="167">
        <f t="shared" si="12"/>
        <v>129663348.87499057</v>
      </c>
      <c r="R12" s="167">
        <f t="shared" si="12"/>
        <v>154342823.2222833</v>
      </c>
      <c r="S12" s="167">
        <f t="shared" si="12"/>
        <v>175754694.14788923</v>
      </c>
      <c r="T12" s="167">
        <f t="shared" si="12"/>
        <v>205774947.11121374</v>
      </c>
      <c r="U12" s="167">
        <f t="shared" si="12"/>
        <v>230613444.72238827</v>
      </c>
      <c r="V12" s="167">
        <f t="shared" si="12"/>
        <v>256892157.4740456</v>
      </c>
      <c r="W12" s="167">
        <f t="shared" si="12"/>
        <v>274733782.91068196</v>
      </c>
      <c r="X12" s="167">
        <f t="shared" ref="X12" si="14">X87</f>
        <v>26358485.36259</v>
      </c>
      <c r="Y12" s="168">
        <f>Y87</f>
        <v>317855867.20671302</v>
      </c>
      <c r="Z12" s="168">
        <f>Z87</f>
        <v>8078106.4470602013</v>
      </c>
      <c r="AA12" s="167">
        <f t="shared" si="5"/>
        <v>43122084.296031058</v>
      </c>
      <c r="AB12" s="167">
        <f t="shared" si="6"/>
        <v>-18280378.915529799</v>
      </c>
      <c r="AC12" s="167">
        <f t="shared" ref="AC12:AG12" si="15">AC87</f>
        <v>79655052.651257485</v>
      </c>
      <c r="AD12" s="167">
        <f t="shared" si="15"/>
        <v>146976427.18501291</v>
      </c>
      <c r="AE12" s="167">
        <f t="shared" si="15"/>
        <v>186652972.82632768</v>
      </c>
      <c r="AF12" s="167">
        <f t="shared" si="15"/>
        <v>286108671.85755771</v>
      </c>
      <c r="AG12" s="167">
        <f t="shared" si="15"/>
        <v>8438306.9085773155</v>
      </c>
      <c r="AH12" s="65">
        <f>AH87</f>
        <v>298434452.0535661</v>
      </c>
      <c r="AI12" s="65">
        <f>AI87</f>
        <v>1654989.5873118851</v>
      </c>
      <c r="AJ12" s="66">
        <f t="shared" si="8"/>
        <v>12325780.196008384</v>
      </c>
      <c r="AK12" s="66">
        <f t="shared" si="9"/>
        <v>-6783317.3212654302</v>
      </c>
      <c r="AL12" s="64">
        <f t="shared" si="10"/>
        <v>815042573.81823969</v>
      </c>
      <c r="AM12" s="64">
        <f t="shared" si="11"/>
        <v>58362675.217601284</v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</row>
    <row r="13" spans="1:154" s="14" customFormat="1" ht="21.6" customHeight="1">
      <c r="A13" s="166"/>
      <c r="B13" s="166" t="s">
        <v>43</v>
      </c>
      <c r="C13" s="167">
        <f t="shared" ref="C13:W13" si="16">C174</f>
        <v>1082161120.5546119</v>
      </c>
      <c r="D13" s="167">
        <f t="shared" si="16"/>
        <v>1082161120.5546119</v>
      </c>
      <c r="E13" s="167">
        <f t="shared" si="16"/>
        <v>536762736.77000004</v>
      </c>
      <c r="F13" s="168">
        <v>183225324.12256023</v>
      </c>
      <c r="G13" s="168">
        <v>737647.36522000004</v>
      </c>
      <c r="H13" s="167">
        <f t="shared" ref="H13:I13" si="17">H174</f>
        <v>148230176.03798199</v>
      </c>
      <c r="I13" s="167">
        <f t="shared" si="17"/>
        <v>3288542.6</v>
      </c>
      <c r="J13" s="167">
        <f t="shared" si="2"/>
        <v>-34995148.084578246</v>
      </c>
      <c r="K13" s="167">
        <f t="shared" si="2"/>
        <v>2550895.2347800001</v>
      </c>
      <c r="L13" s="167">
        <f t="shared" si="16"/>
        <v>4691444.9187319539</v>
      </c>
      <c r="M13" s="167">
        <f t="shared" si="16"/>
        <v>28743654.692003824</v>
      </c>
      <c r="N13" s="167">
        <f t="shared" si="16"/>
        <v>42652570.72795298</v>
      </c>
      <c r="O13" s="167">
        <f t="shared" si="16"/>
        <v>59867504.034952991</v>
      </c>
      <c r="P13" s="167">
        <f t="shared" si="16"/>
        <v>75575983.590452999</v>
      </c>
      <c r="Q13" s="167">
        <f t="shared" si="16"/>
        <v>97720483.318039715</v>
      </c>
      <c r="R13" s="167">
        <f t="shared" si="16"/>
        <v>117807405.33887337</v>
      </c>
      <c r="S13" s="167">
        <f t="shared" si="16"/>
        <v>143682767.30720714</v>
      </c>
      <c r="T13" s="167">
        <f t="shared" si="16"/>
        <v>172708491.82007328</v>
      </c>
      <c r="U13" s="167">
        <f t="shared" si="16"/>
        <v>199725766.70846143</v>
      </c>
      <c r="V13" s="167">
        <f t="shared" si="16"/>
        <v>219365542.87638846</v>
      </c>
      <c r="W13" s="167">
        <f t="shared" si="16"/>
        <v>239336117.94191781</v>
      </c>
      <c r="X13" s="167">
        <f t="shared" ref="X13" si="18">X174</f>
        <v>362070.60330000002</v>
      </c>
      <c r="Y13" s="168">
        <f>Y174</f>
        <v>172916325.87810001</v>
      </c>
      <c r="Z13" s="168">
        <f>Z174</f>
        <v>1767082.2830000001</v>
      </c>
      <c r="AA13" s="167">
        <f t="shared" si="5"/>
        <v>-66419792.063817799</v>
      </c>
      <c r="AB13" s="167">
        <f t="shared" si="6"/>
        <v>1405011.6797</v>
      </c>
      <c r="AC13" s="167">
        <f t="shared" ref="AC13:AG13" si="19">AC174</f>
        <v>58233161.539999992</v>
      </c>
      <c r="AD13" s="167">
        <f t="shared" si="19"/>
        <v>97703860.359999999</v>
      </c>
      <c r="AE13" s="167">
        <f t="shared" si="19"/>
        <v>125737291.56</v>
      </c>
      <c r="AF13" s="167">
        <f t="shared" si="19"/>
        <v>166339710.83000001</v>
      </c>
      <c r="AG13" s="167">
        <f t="shared" si="19"/>
        <v>231907.61798000001</v>
      </c>
      <c r="AH13" s="65">
        <f>AH174</f>
        <v>123449155.49764679</v>
      </c>
      <c r="AI13" s="65">
        <f>AI174</f>
        <v>1552628.3490072058</v>
      </c>
      <c r="AJ13" s="66">
        <f t="shared" si="8"/>
        <v>-42890555.332353219</v>
      </c>
      <c r="AK13" s="66">
        <f t="shared" si="9"/>
        <v>1320720.7310272057</v>
      </c>
      <c r="AL13" s="64">
        <f t="shared" si="10"/>
        <v>553906004.80989981</v>
      </c>
      <c r="AM13" s="64">
        <f t="shared" si="11"/>
        <v>3882520.8212800003</v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</row>
    <row r="14" spans="1:154" s="15" customFormat="1" ht="14.25" customHeight="1">
      <c r="A14" s="169"/>
      <c r="B14" s="169"/>
      <c r="C14" s="170"/>
      <c r="D14" s="170"/>
      <c r="E14" s="170"/>
      <c r="F14" s="171"/>
      <c r="G14" s="171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1"/>
      <c r="Z14" s="171"/>
      <c r="AA14" s="170">
        <f t="shared" si="5"/>
        <v>0</v>
      </c>
      <c r="AB14" s="170">
        <f t="shared" si="6"/>
        <v>0</v>
      </c>
      <c r="AC14" s="170"/>
      <c r="AD14" s="170"/>
      <c r="AE14" s="170"/>
      <c r="AF14" s="170"/>
      <c r="AG14" s="170"/>
      <c r="AH14" s="68"/>
      <c r="AI14" s="68"/>
      <c r="AJ14" s="69">
        <f t="shared" si="8"/>
        <v>0</v>
      </c>
      <c r="AK14" s="69">
        <f t="shared" si="9"/>
        <v>0</v>
      </c>
      <c r="AL14" s="67">
        <f t="shared" si="10"/>
        <v>0</v>
      </c>
      <c r="AM14" s="67">
        <f t="shared" si="11"/>
        <v>0</v>
      </c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</row>
    <row r="15" spans="1:154" s="14" customFormat="1" ht="39" customHeight="1">
      <c r="A15" s="166"/>
      <c r="B15" s="166" t="s">
        <v>44</v>
      </c>
      <c r="C15" s="167">
        <f t="shared" ref="C15:E15" si="20">C21</f>
        <v>409807622.26047194</v>
      </c>
      <c r="D15" s="167">
        <f t="shared" si="20"/>
        <v>409807623.34564394</v>
      </c>
      <c r="E15" s="167">
        <f t="shared" si="20"/>
        <v>317623539.95000005</v>
      </c>
      <c r="F15" s="168">
        <v>57746290.449000001</v>
      </c>
      <c r="G15" s="168">
        <v>760467.55726000003</v>
      </c>
      <c r="H15" s="167">
        <f t="shared" ref="H15:I15" si="21">H21</f>
        <v>59523436.419893004</v>
      </c>
      <c r="I15" s="167">
        <f t="shared" si="21"/>
        <v>742991.48</v>
      </c>
      <c r="J15" s="167">
        <f t="shared" ref="J15:K17" si="22">H15-F15</f>
        <v>1777145.970893003</v>
      </c>
      <c r="K15" s="167">
        <f t="shared" si="22"/>
        <v>-17476.077260000049</v>
      </c>
      <c r="L15" s="167">
        <f t="shared" ref="L15:W15" si="23">L21</f>
        <v>3425891.3638947369</v>
      </c>
      <c r="M15" s="167">
        <f t="shared" si="23"/>
        <v>8106320.7681052629</v>
      </c>
      <c r="N15" s="167">
        <f t="shared" si="23"/>
        <v>13902881.2842</v>
      </c>
      <c r="O15" s="167">
        <f t="shared" si="23"/>
        <v>16900590.19214737</v>
      </c>
      <c r="P15" s="167">
        <f t="shared" si="23"/>
        <v>20957322.146252632</v>
      </c>
      <c r="Q15" s="167">
        <f t="shared" si="23"/>
        <v>24438095.720936842</v>
      </c>
      <c r="R15" s="167">
        <f t="shared" si="23"/>
        <v>27459385.533831581</v>
      </c>
      <c r="S15" s="167">
        <f t="shared" si="23"/>
        <v>30974646.394831579</v>
      </c>
      <c r="T15" s="167">
        <f t="shared" si="23"/>
        <v>34217428.527831577</v>
      </c>
      <c r="U15" s="167">
        <f t="shared" si="23"/>
        <v>37494523.190831587</v>
      </c>
      <c r="V15" s="167">
        <f t="shared" si="23"/>
        <v>40865864.463831581</v>
      </c>
      <c r="W15" s="167">
        <f t="shared" si="23"/>
        <v>43426304.710831583</v>
      </c>
      <c r="X15" s="167">
        <f t="shared" ref="X15" si="24">X21</f>
        <v>286893.33463303064</v>
      </c>
      <c r="Y15" s="168">
        <f>Y21</f>
        <v>44717381.681002669</v>
      </c>
      <c r="Z15" s="168">
        <f>Z21</f>
        <v>224282.43340000001</v>
      </c>
      <c r="AA15" s="167">
        <f t="shared" si="5"/>
        <v>1291076.9701710865</v>
      </c>
      <c r="AB15" s="167">
        <f t="shared" si="6"/>
        <v>-62610.901233030629</v>
      </c>
      <c r="AC15" s="167">
        <f t="shared" ref="AC15:AI15" si="25">AC21</f>
        <v>12606315.350545</v>
      </c>
      <c r="AD15" s="167">
        <f t="shared" si="25"/>
        <v>19780037.47109</v>
      </c>
      <c r="AE15" s="167">
        <f t="shared" si="25"/>
        <v>27273496.831090003</v>
      </c>
      <c r="AF15" s="167">
        <f t="shared" si="25"/>
        <v>31091959.251089998</v>
      </c>
      <c r="AG15" s="167">
        <f t="shared" si="25"/>
        <v>211513.56164</v>
      </c>
      <c r="AH15" s="65">
        <f t="shared" si="25"/>
        <v>22341991.056531385</v>
      </c>
      <c r="AI15" s="65">
        <f t="shared" si="25"/>
        <v>168966.34315594801</v>
      </c>
      <c r="AJ15" s="66">
        <f t="shared" si="8"/>
        <v>-8749968.194558613</v>
      </c>
      <c r="AK15" s="66">
        <f t="shared" si="9"/>
        <v>-42547.218484051991</v>
      </c>
      <c r="AL15" s="64">
        <f t="shared" si="10"/>
        <v>134041700.38181457</v>
      </c>
      <c r="AM15" s="64">
        <f t="shared" si="11"/>
        <v>1241398.3762730306</v>
      </c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</row>
    <row r="16" spans="1:154" s="14" customFormat="1" ht="57" customHeight="1">
      <c r="A16" s="166"/>
      <c r="B16" s="166" t="s">
        <v>45</v>
      </c>
      <c r="C16" s="167">
        <f>C89+C119+C114</f>
        <v>373948619.68836397</v>
      </c>
      <c r="D16" s="167">
        <f>D89+D119+D114</f>
        <v>412410407.33929998</v>
      </c>
      <c r="E16" s="167">
        <f>E89+E119+E114</f>
        <v>158442312.28</v>
      </c>
      <c r="F16" s="168">
        <v>57872662.187999994</v>
      </c>
      <c r="G16" s="168">
        <v>5783392.8508200003</v>
      </c>
      <c r="H16" s="167">
        <f>H89+H119+H114</f>
        <v>49863910.75</v>
      </c>
      <c r="I16" s="167">
        <f>I89+I119+I114</f>
        <v>16561062.609999999</v>
      </c>
      <c r="J16" s="167">
        <f t="shared" si="22"/>
        <v>-8008751.4379999936</v>
      </c>
      <c r="K16" s="167">
        <f t="shared" si="22"/>
        <v>10777669.759179998</v>
      </c>
      <c r="L16" s="167">
        <f t="shared" ref="L16:X16" si="26">L89+L119+L114</f>
        <v>1294171.19</v>
      </c>
      <c r="M16" s="167">
        <f t="shared" si="26"/>
        <v>8728346.5300000012</v>
      </c>
      <c r="N16" s="167">
        <f t="shared" si="26"/>
        <v>17667411.759999998</v>
      </c>
      <c r="O16" s="167">
        <f t="shared" si="26"/>
        <v>25564471.649999999</v>
      </c>
      <c r="P16" s="167">
        <f t="shared" si="26"/>
        <v>28668134.43</v>
      </c>
      <c r="Q16" s="167">
        <f t="shared" si="26"/>
        <v>34377732.399999999</v>
      </c>
      <c r="R16" s="167">
        <f t="shared" si="26"/>
        <v>39440831.149999999</v>
      </c>
      <c r="S16" s="167">
        <f t="shared" si="26"/>
        <v>43624652.760000005</v>
      </c>
      <c r="T16" s="167">
        <f t="shared" si="26"/>
        <v>49629646.99000001</v>
      </c>
      <c r="U16" s="167">
        <f t="shared" si="26"/>
        <v>54594779.580000013</v>
      </c>
      <c r="V16" s="167">
        <f t="shared" si="26"/>
        <v>59942109.700000003</v>
      </c>
      <c r="W16" s="167">
        <f t="shared" si="26"/>
        <v>64988613.400000006</v>
      </c>
      <c r="X16" s="167">
        <f t="shared" si="26"/>
        <v>13436218.58085</v>
      </c>
      <c r="Y16" s="168">
        <f>Y89+Y119+Y114</f>
        <v>86490719.011138007</v>
      </c>
      <c r="Z16" s="168">
        <f>Z89+Z119+Z114</f>
        <v>6372556.02403</v>
      </c>
      <c r="AA16" s="167">
        <f t="shared" si="5"/>
        <v>21502105.611138001</v>
      </c>
      <c r="AB16" s="167">
        <f t="shared" si="6"/>
        <v>-7063662.5568199996</v>
      </c>
      <c r="AC16" s="167">
        <f t="shared" ref="AC16:AI16" si="27">AC89+AC119+AC114</f>
        <v>16645303.440000001</v>
      </c>
      <c r="AD16" s="167">
        <f t="shared" si="27"/>
        <v>29683572.34</v>
      </c>
      <c r="AE16" s="167">
        <f t="shared" si="27"/>
        <v>35796438.670000002</v>
      </c>
      <c r="AF16" s="167">
        <f t="shared" si="27"/>
        <v>63679461.199999996</v>
      </c>
      <c r="AG16" s="167">
        <f t="shared" si="27"/>
        <v>4175413.0645400002</v>
      </c>
      <c r="AH16" s="65">
        <f t="shared" si="27"/>
        <v>102592488.53891</v>
      </c>
      <c r="AI16" s="65">
        <f t="shared" si="27"/>
        <v>139895.83666999999</v>
      </c>
      <c r="AJ16" s="66">
        <f t="shared" si="8"/>
        <v>38913027.338910006</v>
      </c>
      <c r="AK16" s="66">
        <f t="shared" si="9"/>
        <v>-4035517.2278700001</v>
      </c>
      <c r="AL16" s="64">
        <f t="shared" si="10"/>
        <v>178531985.34999999</v>
      </c>
      <c r="AM16" s="64">
        <f t="shared" si="11"/>
        <v>34172694.255389996</v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</row>
    <row r="17" spans="1:154" s="14" customFormat="1" ht="34.5" customHeight="1">
      <c r="A17" s="166"/>
      <c r="B17" s="166" t="s">
        <v>46</v>
      </c>
      <c r="C17" s="167">
        <f t="shared" ref="C17:E17" si="28">C106+C124+C116+C145+C155+C168+C134+C138+C174</f>
        <v>2256431635.6594677</v>
      </c>
      <c r="D17" s="167">
        <f t="shared" si="28"/>
        <v>2284859576.7415318</v>
      </c>
      <c r="E17" s="167">
        <f t="shared" si="28"/>
        <v>1182826548.0799999</v>
      </c>
      <c r="F17" s="168">
        <v>377987266.37486023</v>
      </c>
      <c r="G17" s="168">
        <v>4821895.3863829998</v>
      </c>
      <c r="H17" s="167">
        <f t="shared" ref="H17:I17" si="29">H106+H124+H116+H145+H155+H168+H134+H138+H174</f>
        <v>352566384.337982</v>
      </c>
      <c r="I17" s="167">
        <f t="shared" si="29"/>
        <v>10293362.936433971</v>
      </c>
      <c r="J17" s="167">
        <f t="shared" si="22"/>
        <v>-25420882.036878228</v>
      </c>
      <c r="K17" s="167">
        <f t="shared" si="22"/>
        <v>5471467.5500509711</v>
      </c>
      <c r="L17" s="167">
        <f t="shared" ref="L17:W17" si="30">L106+L124+L116+L145+L155+L168+L134+L138+L174</f>
        <v>14295152.558974881</v>
      </c>
      <c r="M17" s="167">
        <f t="shared" si="30"/>
        <v>62347806.845022544</v>
      </c>
      <c r="N17" s="167">
        <f t="shared" si="30"/>
        <v>95405978.736921102</v>
      </c>
      <c r="O17" s="167">
        <f t="shared" si="30"/>
        <v>127312486.96911669</v>
      </c>
      <c r="P17" s="167">
        <f t="shared" si="30"/>
        <v>155033477.60738301</v>
      </c>
      <c r="Q17" s="167">
        <f t="shared" si="30"/>
        <v>193006099.79303026</v>
      </c>
      <c r="R17" s="167">
        <f t="shared" si="30"/>
        <v>232709397.41115668</v>
      </c>
      <c r="S17" s="167">
        <f t="shared" si="30"/>
        <v>275812808.69509637</v>
      </c>
      <c r="T17" s="167">
        <f t="shared" si="30"/>
        <v>328853791.94128704</v>
      </c>
      <c r="U17" s="167">
        <f t="shared" si="30"/>
        <v>375744431.85084969</v>
      </c>
      <c r="V17" s="167">
        <f t="shared" si="30"/>
        <v>416315590.65043402</v>
      </c>
      <c r="W17" s="167">
        <f t="shared" si="30"/>
        <v>449081287.45259976</v>
      </c>
      <c r="X17" s="167">
        <f t="shared" ref="X17" si="31">X106+X124+X116+X145+X155+X168+X134+X138+X174</f>
        <v>13284337.38504</v>
      </c>
      <c r="Y17" s="168">
        <f>Y106+Y124+Y116+Y145+Y155+Y168+Y134+Y138+Y174</f>
        <v>404281474.07367498</v>
      </c>
      <c r="Z17" s="168">
        <f>Z106+Z124+Z116+Z145+Z155+Z168+Z134+Z138+Z174</f>
        <v>3472632.7060301998</v>
      </c>
      <c r="AA17" s="167">
        <f t="shared" si="5"/>
        <v>-44799813.378924787</v>
      </c>
      <c r="AB17" s="167">
        <f t="shared" si="6"/>
        <v>-9811704.6790098008</v>
      </c>
      <c r="AC17" s="167">
        <f t="shared" ref="AC17:AI17" si="32">AC106+AC124+AC116+AC145+AC155+AC168+AC134+AC138+AC174</f>
        <v>121242910.75125746</v>
      </c>
      <c r="AD17" s="167">
        <f t="shared" si="32"/>
        <v>214996715.20501292</v>
      </c>
      <c r="AE17" s="167">
        <f t="shared" si="32"/>
        <v>276593825.71632767</v>
      </c>
      <c r="AF17" s="167">
        <f t="shared" si="32"/>
        <v>388768921.48755765</v>
      </c>
      <c r="AG17" s="167">
        <f t="shared" si="32"/>
        <v>4494801.4620173154</v>
      </c>
      <c r="AH17" s="65">
        <f t="shared" si="32"/>
        <v>319291119.01230294</v>
      </c>
      <c r="AI17" s="65">
        <f t="shared" si="32"/>
        <v>3067722.0996490908</v>
      </c>
      <c r="AJ17" s="66">
        <f t="shared" si="8"/>
        <v>-69477802.475254714</v>
      </c>
      <c r="AK17" s="66">
        <f t="shared" si="9"/>
        <v>-1427079.3623682247</v>
      </c>
      <c r="AL17" s="64">
        <f t="shared" si="10"/>
        <v>1190416593.2781394</v>
      </c>
      <c r="AM17" s="64">
        <f t="shared" si="11"/>
        <v>28072501.783491287</v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</row>
    <row r="18" spans="1:154" s="15" customFormat="1" ht="34.5" customHeight="1">
      <c r="A18" s="169"/>
      <c r="B18" s="169"/>
      <c r="C18" s="170"/>
      <c r="D18" s="170"/>
      <c r="E18" s="170"/>
      <c r="F18" s="171"/>
      <c r="G18" s="171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1"/>
      <c r="Z18" s="171"/>
      <c r="AA18" s="170">
        <f t="shared" si="5"/>
        <v>0</v>
      </c>
      <c r="AB18" s="170">
        <f t="shared" si="6"/>
        <v>0</v>
      </c>
      <c r="AC18" s="170"/>
      <c r="AD18" s="170"/>
      <c r="AE18" s="170"/>
      <c r="AF18" s="170"/>
      <c r="AG18" s="170"/>
      <c r="AH18" s="68"/>
      <c r="AI18" s="68"/>
      <c r="AJ18" s="69">
        <f t="shared" si="8"/>
        <v>0</v>
      </c>
      <c r="AK18" s="69">
        <f t="shared" si="9"/>
        <v>0</v>
      </c>
      <c r="AL18" s="67">
        <f t="shared" si="10"/>
        <v>0</v>
      </c>
      <c r="AM18" s="67">
        <f t="shared" si="11"/>
        <v>0</v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</row>
    <row r="19" spans="1:154" s="16" customFormat="1" ht="34.5" customHeight="1">
      <c r="A19" s="172"/>
      <c r="B19" s="172" t="s">
        <v>47</v>
      </c>
      <c r="C19" s="173">
        <f t="shared" ref="C19:E19" si="33">C11+C12+C13</f>
        <v>3040187877.608304</v>
      </c>
      <c r="D19" s="173">
        <f t="shared" si="33"/>
        <v>3107077607.426476</v>
      </c>
      <c r="E19" s="173">
        <f t="shared" si="33"/>
        <v>1658892400.3099999</v>
      </c>
      <c r="F19" s="174">
        <v>493606219.01186025</v>
      </c>
      <c r="G19" s="174">
        <v>11365755.794463001</v>
      </c>
      <c r="H19" s="173">
        <f t="shared" ref="H19:I19" si="34">H11+H12+H13</f>
        <v>461953731.50787503</v>
      </c>
      <c r="I19" s="173">
        <f t="shared" si="34"/>
        <v>27597417.026433971</v>
      </c>
      <c r="J19" s="173">
        <f>H19-F19</f>
        <v>-31652487.503985226</v>
      </c>
      <c r="K19" s="173">
        <f>I19-G19</f>
        <v>16231661.23197097</v>
      </c>
      <c r="L19" s="173">
        <f t="shared" ref="L19:V19" si="35">L11+L12+L13</f>
        <v>19015215.112869617</v>
      </c>
      <c r="M19" s="173">
        <f t="shared" si="35"/>
        <v>79182474.143127799</v>
      </c>
      <c r="N19" s="173">
        <f t="shared" si="35"/>
        <v>126976271.7811211</v>
      </c>
      <c r="O19" s="173">
        <f t="shared" si="35"/>
        <v>169777548.81126407</v>
      </c>
      <c r="P19" s="173">
        <f t="shared" si="35"/>
        <v>204658934.18363565</v>
      </c>
      <c r="Q19" s="173">
        <f t="shared" si="35"/>
        <v>251821927.91396713</v>
      </c>
      <c r="R19" s="173">
        <f t="shared" si="35"/>
        <v>299609614.09498829</v>
      </c>
      <c r="S19" s="173">
        <f t="shared" si="35"/>
        <v>350412107.8499279</v>
      </c>
      <c r="T19" s="173">
        <f t="shared" si="35"/>
        <v>412700867.4591186</v>
      </c>
      <c r="U19" s="173">
        <f t="shared" si="35"/>
        <v>467833734.62168133</v>
      </c>
      <c r="V19" s="173">
        <f t="shared" si="35"/>
        <v>517123564.81426561</v>
      </c>
      <c r="W19" s="173">
        <f>W11+W12+W13</f>
        <v>557496205.56343138</v>
      </c>
      <c r="X19" s="173">
        <f t="shared" ref="X19" si="36">X11+X12+X13</f>
        <v>27007449.300523032</v>
      </c>
      <c r="Y19" s="174">
        <f>Y11+Y12+Y13</f>
        <v>535489574.76581573</v>
      </c>
      <c r="Z19" s="174">
        <f>Z11+Z12+Z13</f>
        <v>10069471.163460203</v>
      </c>
      <c r="AA19" s="173">
        <f t="shared" si="5"/>
        <v>-22006630.797615647</v>
      </c>
      <c r="AB19" s="173">
        <f t="shared" si="6"/>
        <v>-16937978.137062829</v>
      </c>
      <c r="AC19" s="173">
        <f t="shared" ref="AC19:AI19" si="37">AC11+AC12+AC13</f>
        <v>150494529.54180247</v>
      </c>
      <c r="AD19" s="173">
        <f t="shared" si="37"/>
        <v>264460325.01610291</v>
      </c>
      <c r="AE19" s="173">
        <f t="shared" si="37"/>
        <v>339663761.21741772</v>
      </c>
      <c r="AF19" s="173">
        <f t="shared" si="37"/>
        <v>483540341.93864775</v>
      </c>
      <c r="AG19" s="173">
        <f t="shared" si="37"/>
        <v>8881728.0881973151</v>
      </c>
      <c r="AH19" s="71">
        <f t="shared" si="37"/>
        <v>444225598.60774428</v>
      </c>
      <c r="AI19" s="71">
        <f t="shared" si="37"/>
        <v>3376584.2794750389</v>
      </c>
      <c r="AJ19" s="72">
        <f t="shared" si="8"/>
        <v>-39314743.330903471</v>
      </c>
      <c r="AK19" s="72">
        <f t="shared" si="9"/>
        <v>-5505143.8087222762</v>
      </c>
      <c r="AL19" s="70">
        <f t="shared" si="10"/>
        <v>1502990279.0099542</v>
      </c>
      <c r="AM19" s="70">
        <f t="shared" si="11"/>
        <v>63486594.415154316</v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</row>
    <row r="20" spans="1:154" s="15" customFormat="1" ht="36" customHeight="1">
      <c r="A20" s="169"/>
      <c r="B20" s="169"/>
      <c r="C20" s="170"/>
      <c r="D20" s="170"/>
      <c r="E20" s="170"/>
      <c r="F20" s="171"/>
      <c r="G20" s="171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1"/>
      <c r="Z20" s="171"/>
      <c r="AA20" s="170">
        <f t="shared" si="5"/>
        <v>0</v>
      </c>
      <c r="AB20" s="170">
        <f t="shared" si="6"/>
        <v>0</v>
      </c>
      <c r="AC20" s="170"/>
      <c r="AD20" s="170"/>
      <c r="AE20" s="170"/>
      <c r="AF20" s="170"/>
      <c r="AG20" s="170"/>
      <c r="AH20" s="68"/>
      <c r="AI20" s="68"/>
      <c r="AJ20" s="69">
        <f t="shared" si="8"/>
        <v>0</v>
      </c>
      <c r="AK20" s="69">
        <f t="shared" si="9"/>
        <v>0</v>
      </c>
      <c r="AL20" s="67">
        <f t="shared" si="10"/>
        <v>0</v>
      </c>
      <c r="AM20" s="67">
        <f t="shared" si="11"/>
        <v>0</v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</row>
    <row r="21" spans="1:154" s="14" customFormat="1" ht="22.9" customHeight="1">
      <c r="A21" s="175"/>
      <c r="B21" s="175" t="s">
        <v>48</v>
      </c>
      <c r="C21" s="176">
        <f t="shared" ref="C21:E21" si="38">C31+C55+C22+C78+C74+C28+C71</f>
        <v>409807622.26047194</v>
      </c>
      <c r="D21" s="176">
        <f t="shared" si="38"/>
        <v>409807623.34564394</v>
      </c>
      <c r="E21" s="176">
        <f t="shared" si="38"/>
        <v>317623539.95000005</v>
      </c>
      <c r="F21" s="177">
        <v>57746290.449000001</v>
      </c>
      <c r="G21" s="177">
        <v>760467.55726000003</v>
      </c>
      <c r="H21" s="176">
        <f t="shared" ref="H21:I21" si="39">H31+H55+H22+H78+H74+H28+H71</f>
        <v>59523436.419893004</v>
      </c>
      <c r="I21" s="176">
        <f t="shared" si="39"/>
        <v>742991.48</v>
      </c>
      <c r="J21" s="176">
        <f t="shared" ref="J21:K28" si="40">H21-F21</f>
        <v>1777145.970893003</v>
      </c>
      <c r="K21" s="176">
        <f t="shared" si="40"/>
        <v>-17476.077260000049</v>
      </c>
      <c r="L21" s="176">
        <f t="shared" ref="L21:X21" si="41">L31+L55+L22+L78+L74+L28+L71</f>
        <v>3425891.3638947369</v>
      </c>
      <c r="M21" s="176">
        <f t="shared" si="41"/>
        <v>8106320.7681052629</v>
      </c>
      <c r="N21" s="176">
        <f t="shared" si="41"/>
        <v>13902881.2842</v>
      </c>
      <c r="O21" s="176">
        <f t="shared" si="41"/>
        <v>16900590.19214737</v>
      </c>
      <c r="P21" s="176">
        <f t="shared" si="41"/>
        <v>20957322.146252632</v>
      </c>
      <c r="Q21" s="176">
        <f t="shared" si="41"/>
        <v>24438095.720936842</v>
      </c>
      <c r="R21" s="176">
        <f t="shared" si="41"/>
        <v>27459385.533831581</v>
      </c>
      <c r="S21" s="176">
        <f t="shared" si="41"/>
        <v>30974646.394831579</v>
      </c>
      <c r="T21" s="176">
        <f t="shared" si="41"/>
        <v>34217428.527831577</v>
      </c>
      <c r="U21" s="176">
        <f t="shared" si="41"/>
        <v>37494523.190831587</v>
      </c>
      <c r="V21" s="176">
        <f t="shared" si="41"/>
        <v>40865864.463831581</v>
      </c>
      <c r="W21" s="176">
        <f t="shared" si="41"/>
        <v>43426304.710831583</v>
      </c>
      <c r="X21" s="176">
        <f t="shared" si="41"/>
        <v>286893.33463303064</v>
      </c>
      <c r="Y21" s="177">
        <f>Y31+Y55+Y22+Y78+Y74+Y28+Y71</f>
        <v>44717381.681002669</v>
      </c>
      <c r="Z21" s="177">
        <f>Z31+Z55+Z22+Z78+Z74+Z28+Z71</f>
        <v>224282.43340000001</v>
      </c>
      <c r="AA21" s="176">
        <f t="shared" si="5"/>
        <v>1291076.9701710865</v>
      </c>
      <c r="AB21" s="176">
        <f t="shared" si="6"/>
        <v>-62610.901233030629</v>
      </c>
      <c r="AC21" s="176">
        <f t="shared" ref="AC21:AI21" si="42">AC31+AC55+AC22+AC78+AC74+AC28+AC71</f>
        <v>12606315.350545</v>
      </c>
      <c r="AD21" s="176">
        <f t="shared" si="42"/>
        <v>19780037.47109</v>
      </c>
      <c r="AE21" s="176">
        <f t="shared" si="42"/>
        <v>27273496.831090003</v>
      </c>
      <c r="AF21" s="176">
        <f t="shared" si="42"/>
        <v>31091959.251089998</v>
      </c>
      <c r="AG21" s="176">
        <f t="shared" si="42"/>
        <v>211513.56164</v>
      </c>
      <c r="AH21" s="74">
        <f t="shared" si="42"/>
        <v>22341991.056531385</v>
      </c>
      <c r="AI21" s="74">
        <f t="shared" si="42"/>
        <v>168966.34315594801</v>
      </c>
      <c r="AJ21" s="75">
        <f t="shared" si="8"/>
        <v>-8749968.194558613</v>
      </c>
      <c r="AK21" s="75">
        <f t="shared" si="9"/>
        <v>-42547.218484051991</v>
      </c>
      <c r="AL21" s="73">
        <f t="shared" si="10"/>
        <v>134041700.38181457</v>
      </c>
      <c r="AM21" s="73">
        <f t="shared" si="11"/>
        <v>1241398.3762730306</v>
      </c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</row>
    <row r="22" spans="1:154" s="18" customFormat="1" ht="19.5">
      <c r="A22" s="178"/>
      <c r="B22" s="179" t="s">
        <v>49</v>
      </c>
      <c r="C22" s="180">
        <f t="shared" ref="C22:AI22" si="43">SUM(C23:C27)</f>
        <v>35793734.530819997</v>
      </c>
      <c r="D22" s="180">
        <f t="shared" si="43"/>
        <v>35793734.530819997</v>
      </c>
      <c r="E22" s="180">
        <f t="shared" si="43"/>
        <v>21618474.990000002</v>
      </c>
      <c r="F22" s="180">
        <v>6332704.6529999999</v>
      </c>
      <c r="G22" s="180">
        <v>73673.346999999994</v>
      </c>
      <c r="H22" s="180">
        <f t="shared" ref="H22:I22" si="44">SUM(H23:H27)</f>
        <v>5291988.4499999993</v>
      </c>
      <c r="I22" s="180">
        <f t="shared" si="44"/>
        <v>0</v>
      </c>
      <c r="J22" s="180">
        <f t="shared" si="40"/>
        <v>-1040716.2030000007</v>
      </c>
      <c r="K22" s="180">
        <f t="shared" si="40"/>
        <v>-73673.346999999994</v>
      </c>
      <c r="L22" s="180">
        <f t="shared" si="43"/>
        <v>489827.57</v>
      </c>
      <c r="M22" s="180">
        <f t="shared" si="43"/>
        <v>1242660.6000000001</v>
      </c>
      <c r="N22" s="180">
        <f t="shared" si="43"/>
        <v>2139715.02</v>
      </c>
      <c r="O22" s="180">
        <f t="shared" si="43"/>
        <v>2912367.33</v>
      </c>
      <c r="P22" s="180">
        <f t="shared" si="43"/>
        <v>3786824.52</v>
      </c>
      <c r="Q22" s="180">
        <f t="shared" si="43"/>
        <v>4523937.04</v>
      </c>
      <c r="R22" s="180">
        <f t="shared" si="43"/>
        <v>5141463.9400000004</v>
      </c>
      <c r="S22" s="180">
        <f t="shared" si="43"/>
        <v>5764972.3200000003</v>
      </c>
      <c r="T22" s="180">
        <f t="shared" si="43"/>
        <v>6155539</v>
      </c>
      <c r="U22" s="180">
        <f t="shared" si="43"/>
        <v>6468644.8500000006</v>
      </c>
      <c r="V22" s="180">
        <f t="shared" si="43"/>
        <v>6758783.6800000006</v>
      </c>
      <c r="W22" s="180">
        <f t="shared" si="43"/>
        <v>7246356.2600000007</v>
      </c>
      <c r="X22" s="180">
        <f t="shared" ref="X22" si="45">SUM(X23:X27)</f>
        <v>0</v>
      </c>
      <c r="Y22" s="180">
        <f t="shared" si="43"/>
        <v>5149373.1783199999</v>
      </c>
      <c r="Z22" s="180">
        <f t="shared" si="43"/>
        <v>36639.141680000001</v>
      </c>
      <c r="AA22" s="180">
        <f t="shared" si="5"/>
        <v>-2096983.0816800008</v>
      </c>
      <c r="AB22" s="180">
        <f t="shared" si="6"/>
        <v>36639.141680000001</v>
      </c>
      <c r="AC22" s="181">
        <f t="shared" ref="AC22:AG22" si="46">SUM(AC23:AC27)</f>
        <v>1316484.81</v>
      </c>
      <c r="AD22" s="181">
        <f t="shared" si="46"/>
        <v>2495730.1800000002</v>
      </c>
      <c r="AE22" s="181">
        <f t="shared" si="46"/>
        <v>4153137.43</v>
      </c>
      <c r="AF22" s="181">
        <f t="shared" si="46"/>
        <v>5002613.58</v>
      </c>
      <c r="AG22" s="181">
        <f t="shared" si="46"/>
        <v>0</v>
      </c>
      <c r="AH22" s="77">
        <f t="shared" si="43"/>
        <v>5041133.6334520504</v>
      </c>
      <c r="AI22" s="77">
        <f t="shared" si="43"/>
        <v>36469.108555947998</v>
      </c>
      <c r="AJ22" s="78">
        <f t="shared" si="8"/>
        <v>38520.053452050313</v>
      </c>
      <c r="AK22" s="78">
        <f t="shared" si="9"/>
        <v>36469.108555947998</v>
      </c>
      <c r="AL22" s="76">
        <f t="shared" si="10"/>
        <v>17540958.289999999</v>
      </c>
      <c r="AM22" s="76">
        <f t="shared" si="11"/>
        <v>0</v>
      </c>
      <c r="AN22"/>
      <c r="AO22" s="17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</row>
    <row r="23" spans="1:154" s="19" customFormat="1" ht="108" customHeight="1">
      <c r="A23" s="182" t="s">
        <v>50</v>
      </c>
      <c r="B23" s="182" t="s">
        <v>51</v>
      </c>
      <c r="C23" s="183">
        <v>21826857</v>
      </c>
      <c r="D23" s="183">
        <v>21826857</v>
      </c>
      <c r="E23" s="183">
        <v>7357300.9400000004</v>
      </c>
      <c r="F23" s="184">
        <v>6332704.6529999999</v>
      </c>
      <c r="G23" s="184">
        <v>73673.346999999994</v>
      </c>
      <c r="H23" s="183">
        <f>3864422.15+116004.57+1311561.73</f>
        <v>5291988.4499999993</v>
      </c>
      <c r="I23" s="183">
        <v>0</v>
      </c>
      <c r="J23" s="183">
        <f t="shared" si="40"/>
        <v>-1040716.2030000007</v>
      </c>
      <c r="K23" s="183">
        <f t="shared" si="40"/>
        <v>-73673.346999999994</v>
      </c>
      <c r="L23" s="183">
        <v>478219.69</v>
      </c>
      <c r="M23" s="185">
        <f>L23+674789.03</f>
        <v>1153008.72</v>
      </c>
      <c r="N23" s="185">
        <f>M23+783248.22</f>
        <v>1936256.94</v>
      </c>
      <c r="O23" s="185">
        <f>N23+675918.91</f>
        <v>2612175.85</v>
      </c>
      <c r="P23" s="185">
        <f>O23+794138.71</f>
        <v>3406314.56</v>
      </c>
      <c r="Q23" s="185">
        <f>P23+654662.44</f>
        <v>4060977</v>
      </c>
      <c r="R23" s="185">
        <f>Q23+453408.41</f>
        <v>4514385.41</v>
      </c>
      <c r="S23" s="185">
        <f>R23+324790.3</f>
        <v>4839175.71</v>
      </c>
      <c r="T23" s="185">
        <f>S23+286315.28</f>
        <v>5125490.99</v>
      </c>
      <c r="U23" s="185">
        <f>T23+154102.37</f>
        <v>5279593.3600000003</v>
      </c>
      <c r="V23" s="185">
        <f>U23+114118.83</f>
        <v>5393712.1900000004</v>
      </c>
      <c r="W23" s="185">
        <f>V23+105393</f>
        <v>5499105.1900000004</v>
      </c>
      <c r="X23" s="185"/>
      <c r="Y23" s="186">
        <v>3649373.1783199999</v>
      </c>
      <c r="Z23" s="186">
        <v>36639.141680000001</v>
      </c>
      <c r="AA23" s="185">
        <f t="shared" si="5"/>
        <v>-1849732.0116800005</v>
      </c>
      <c r="AB23" s="185">
        <f t="shared" si="6"/>
        <v>36639.141680000001</v>
      </c>
      <c r="AC23" s="183">
        <f>133451.39+324790.3+317150.6</f>
        <v>775392.29</v>
      </c>
      <c r="AD23" s="183">
        <f>AC23+154102.38+270157.43+262873.55</f>
        <v>1462525.6500000001</v>
      </c>
      <c r="AE23" s="183">
        <f>AD23+743213.14</f>
        <v>2205738.79</v>
      </c>
      <c r="AF23" s="183">
        <f>AE23</f>
        <v>2205738.79</v>
      </c>
      <c r="AG23" s="183">
        <v>0</v>
      </c>
      <c r="AH23" s="83">
        <v>3134757.7223960501</v>
      </c>
      <c r="AI23" s="81">
        <v>36469.108555947998</v>
      </c>
      <c r="AJ23" s="82">
        <f t="shared" si="8"/>
        <v>929018.93239605008</v>
      </c>
      <c r="AK23" s="82">
        <f t="shared" si="9"/>
        <v>36469.108555947998</v>
      </c>
      <c r="AL23" s="80">
        <f t="shared" si="10"/>
        <v>12996832.43</v>
      </c>
      <c r="AM23" s="80">
        <f t="shared" si="11"/>
        <v>0</v>
      </c>
      <c r="AN23" s="153"/>
      <c r="AO23" s="17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</row>
    <row r="24" spans="1:154" s="19" customFormat="1" ht="93.75">
      <c r="A24" s="182" t="s">
        <v>52</v>
      </c>
      <c r="B24" s="182" t="s">
        <v>53</v>
      </c>
      <c r="C24" s="183">
        <v>2398644.7510560001</v>
      </c>
      <c r="D24" s="183">
        <v>2398644.7510560001</v>
      </c>
      <c r="E24" s="138">
        <v>1992268.8399999999</v>
      </c>
      <c r="F24" s="187">
        <v>0</v>
      </c>
      <c r="G24" s="187">
        <v>0</v>
      </c>
      <c r="H24" s="138">
        <v>0</v>
      </c>
      <c r="I24" s="138">
        <v>0</v>
      </c>
      <c r="J24" s="138">
        <f t="shared" si="40"/>
        <v>0</v>
      </c>
      <c r="K24" s="138">
        <f t="shared" si="40"/>
        <v>0</v>
      </c>
      <c r="L24" s="183">
        <v>0</v>
      </c>
      <c r="M24" s="138">
        <f t="shared" ref="M24:W24" si="47">L24</f>
        <v>0</v>
      </c>
      <c r="N24" s="138">
        <f t="shared" si="47"/>
        <v>0</v>
      </c>
      <c r="O24" s="138">
        <f t="shared" si="47"/>
        <v>0</v>
      </c>
      <c r="P24" s="138">
        <f t="shared" si="47"/>
        <v>0</v>
      </c>
      <c r="Q24" s="138">
        <f t="shared" si="47"/>
        <v>0</v>
      </c>
      <c r="R24" s="138">
        <f t="shared" si="47"/>
        <v>0</v>
      </c>
      <c r="S24" s="138">
        <f t="shared" si="47"/>
        <v>0</v>
      </c>
      <c r="T24" s="138">
        <f t="shared" si="47"/>
        <v>0</v>
      </c>
      <c r="U24" s="138">
        <f t="shared" si="47"/>
        <v>0</v>
      </c>
      <c r="V24" s="138">
        <f t="shared" si="47"/>
        <v>0</v>
      </c>
      <c r="W24" s="138">
        <f t="shared" si="47"/>
        <v>0</v>
      </c>
      <c r="X24" s="188">
        <v>0</v>
      </c>
      <c r="Y24" s="187">
        <v>0</v>
      </c>
      <c r="Z24" s="189">
        <v>0</v>
      </c>
      <c r="AA24" s="188">
        <f t="shared" si="5"/>
        <v>0</v>
      </c>
      <c r="AB24" s="188">
        <f t="shared" si="6"/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86">
        <v>406375.91105599998</v>
      </c>
      <c r="AI24" s="87">
        <v>0</v>
      </c>
      <c r="AJ24" s="88">
        <f t="shared" si="8"/>
        <v>406375.91105599998</v>
      </c>
      <c r="AK24" s="88">
        <f t="shared" si="9"/>
        <v>0</v>
      </c>
      <c r="AL24" s="85">
        <f t="shared" si="10"/>
        <v>0</v>
      </c>
      <c r="AM24" s="85">
        <f t="shared" si="11"/>
        <v>0</v>
      </c>
      <c r="AN24" s="154"/>
      <c r="AO24" s="17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</row>
    <row r="25" spans="1:154" s="19" customFormat="1" ht="37.5">
      <c r="A25" s="182" t="s">
        <v>54</v>
      </c>
      <c r="B25" s="182" t="s">
        <v>55</v>
      </c>
      <c r="C25" s="183">
        <v>3000000</v>
      </c>
      <c r="D25" s="183">
        <v>3000000</v>
      </c>
      <c r="E25" s="138">
        <v>0</v>
      </c>
      <c r="F25" s="187">
        <v>0</v>
      </c>
      <c r="G25" s="187">
        <v>0</v>
      </c>
      <c r="H25" s="138">
        <v>0</v>
      </c>
      <c r="I25" s="138">
        <v>0</v>
      </c>
      <c r="J25" s="138">
        <f t="shared" si="40"/>
        <v>0</v>
      </c>
      <c r="K25" s="138">
        <f t="shared" si="40"/>
        <v>0</v>
      </c>
      <c r="L25" s="183">
        <v>11607.88</v>
      </c>
      <c r="M25" s="138">
        <f>L25+78044</f>
        <v>89651.88</v>
      </c>
      <c r="N25" s="138">
        <f>M25+113806.2</f>
        <v>203458.08000000002</v>
      </c>
      <c r="O25" s="138">
        <f>N25+96733.4</f>
        <v>300191.48</v>
      </c>
      <c r="P25" s="138">
        <f>O25+80318.48</f>
        <v>380509.95999999996</v>
      </c>
      <c r="Q25" s="138">
        <f>P25+82450.08</f>
        <v>462960.04</v>
      </c>
      <c r="R25" s="138">
        <f>Q25+164118.49</f>
        <v>627078.53</v>
      </c>
      <c r="S25" s="138">
        <f>R25+298718.08</f>
        <v>925796.6100000001</v>
      </c>
      <c r="T25" s="138">
        <f>S25+104251.4</f>
        <v>1030048.0100000001</v>
      </c>
      <c r="U25" s="138">
        <f>T25+159003.48</f>
        <v>1189051.4900000002</v>
      </c>
      <c r="V25" s="138">
        <f>U25+176020</f>
        <v>1365071.4900000002</v>
      </c>
      <c r="W25" s="138">
        <f>V25+382179.58</f>
        <v>1747251.0700000003</v>
      </c>
      <c r="X25" s="188">
        <v>0</v>
      </c>
      <c r="Y25" s="187">
        <v>1500000</v>
      </c>
      <c r="Z25" s="189">
        <v>0</v>
      </c>
      <c r="AA25" s="188">
        <f t="shared" si="5"/>
        <v>-247251.0700000003</v>
      </c>
      <c r="AB25" s="188">
        <f t="shared" si="6"/>
        <v>0</v>
      </c>
      <c r="AC25" s="138">
        <f>541092.52</f>
        <v>541092.52</v>
      </c>
      <c r="AD25" s="138">
        <f>AC25+492112.01</f>
        <v>1033204.53</v>
      </c>
      <c r="AE25" s="138">
        <f>AD25+914194.11</f>
        <v>1947398.6400000001</v>
      </c>
      <c r="AF25" s="138">
        <f>AE25+849476.15</f>
        <v>2796874.79</v>
      </c>
      <c r="AG25" s="138">
        <v>0</v>
      </c>
      <c r="AH25" s="86">
        <v>1500000</v>
      </c>
      <c r="AI25" s="87">
        <v>0</v>
      </c>
      <c r="AJ25" s="88">
        <f t="shared" si="8"/>
        <v>-1296874.79</v>
      </c>
      <c r="AK25" s="88">
        <f t="shared" si="9"/>
        <v>0</v>
      </c>
      <c r="AL25" s="85">
        <f t="shared" si="10"/>
        <v>4544125.8600000003</v>
      </c>
      <c r="AM25" s="85">
        <f t="shared" si="11"/>
        <v>0</v>
      </c>
      <c r="AN25" s="154"/>
      <c r="AO25" s="17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</row>
    <row r="26" spans="1:154" s="19" customFormat="1" ht="56.25">
      <c r="A26" s="182" t="s">
        <v>56</v>
      </c>
      <c r="B26" s="182" t="s">
        <v>57</v>
      </c>
      <c r="C26" s="183">
        <v>8461940</v>
      </c>
      <c r="D26" s="183">
        <v>8461940</v>
      </c>
      <c r="E26" s="138">
        <v>12167953</v>
      </c>
      <c r="F26" s="187">
        <v>0</v>
      </c>
      <c r="G26" s="187">
        <v>0</v>
      </c>
      <c r="H26" s="138">
        <v>0</v>
      </c>
      <c r="I26" s="138">
        <v>0</v>
      </c>
      <c r="J26" s="138">
        <f t="shared" si="40"/>
        <v>0</v>
      </c>
      <c r="K26" s="138">
        <f t="shared" si="40"/>
        <v>0</v>
      </c>
      <c r="L26" s="183">
        <v>0</v>
      </c>
      <c r="M26" s="138">
        <f t="shared" ref="M26:W27" si="48">L26</f>
        <v>0</v>
      </c>
      <c r="N26" s="138">
        <f t="shared" si="48"/>
        <v>0</v>
      </c>
      <c r="O26" s="138">
        <f t="shared" si="48"/>
        <v>0</v>
      </c>
      <c r="P26" s="138">
        <f t="shared" si="48"/>
        <v>0</v>
      </c>
      <c r="Q26" s="138">
        <f t="shared" si="48"/>
        <v>0</v>
      </c>
      <c r="R26" s="138">
        <f t="shared" si="48"/>
        <v>0</v>
      </c>
      <c r="S26" s="138">
        <f t="shared" si="48"/>
        <v>0</v>
      </c>
      <c r="T26" s="138">
        <f t="shared" si="48"/>
        <v>0</v>
      </c>
      <c r="U26" s="138">
        <f t="shared" si="48"/>
        <v>0</v>
      </c>
      <c r="V26" s="138">
        <f t="shared" si="48"/>
        <v>0</v>
      </c>
      <c r="W26" s="138">
        <f t="shared" si="48"/>
        <v>0</v>
      </c>
      <c r="X26" s="188">
        <v>0</v>
      </c>
      <c r="Y26" s="187">
        <v>0</v>
      </c>
      <c r="Z26" s="189">
        <v>0</v>
      </c>
      <c r="AA26" s="188">
        <f t="shared" si="5"/>
        <v>0</v>
      </c>
      <c r="AB26" s="188">
        <f t="shared" si="6"/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86">
        <v>0</v>
      </c>
      <c r="AI26" s="87">
        <v>0</v>
      </c>
      <c r="AJ26" s="88">
        <f t="shared" si="8"/>
        <v>0</v>
      </c>
      <c r="AK26" s="88">
        <f t="shared" si="9"/>
        <v>0</v>
      </c>
      <c r="AL26" s="85">
        <f t="shared" si="10"/>
        <v>0</v>
      </c>
      <c r="AM26" s="85">
        <f t="shared" si="11"/>
        <v>0</v>
      </c>
      <c r="AN26" s="154"/>
      <c r="AO26" s="17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</row>
    <row r="27" spans="1:154" s="19" customFormat="1" ht="37.5">
      <c r="A27" s="182" t="s">
        <v>58</v>
      </c>
      <c r="B27" s="182" t="s">
        <v>59</v>
      </c>
      <c r="C27" s="183">
        <v>106292.77976400001</v>
      </c>
      <c r="D27" s="183">
        <v>106292.77976399999</v>
      </c>
      <c r="E27" s="138">
        <v>100952.20999999999</v>
      </c>
      <c r="F27" s="187">
        <v>0</v>
      </c>
      <c r="G27" s="187">
        <v>0</v>
      </c>
      <c r="H27" s="138">
        <v>0</v>
      </c>
      <c r="I27" s="138">
        <v>0</v>
      </c>
      <c r="J27" s="138">
        <f t="shared" si="40"/>
        <v>0</v>
      </c>
      <c r="K27" s="138">
        <f t="shared" si="40"/>
        <v>0</v>
      </c>
      <c r="L27" s="183">
        <v>0</v>
      </c>
      <c r="M27" s="138">
        <f t="shared" si="48"/>
        <v>0</v>
      </c>
      <c r="N27" s="138">
        <f t="shared" si="48"/>
        <v>0</v>
      </c>
      <c r="O27" s="138">
        <f t="shared" si="48"/>
        <v>0</v>
      </c>
      <c r="P27" s="138">
        <f t="shared" si="48"/>
        <v>0</v>
      </c>
      <c r="Q27" s="138">
        <f t="shared" si="48"/>
        <v>0</v>
      </c>
      <c r="R27" s="138">
        <f t="shared" si="48"/>
        <v>0</v>
      </c>
      <c r="S27" s="138">
        <f t="shared" si="48"/>
        <v>0</v>
      </c>
      <c r="T27" s="138">
        <f t="shared" si="48"/>
        <v>0</v>
      </c>
      <c r="U27" s="138">
        <f t="shared" si="48"/>
        <v>0</v>
      </c>
      <c r="V27" s="138">
        <f t="shared" si="48"/>
        <v>0</v>
      </c>
      <c r="W27" s="138">
        <f t="shared" si="48"/>
        <v>0</v>
      </c>
      <c r="X27" s="188">
        <v>0</v>
      </c>
      <c r="Y27" s="187">
        <v>0</v>
      </c>
      <c r="Z27" s="189">
        <v>0</v>
      </c>
      <c r="AA27" s="188">
        <f t="shared" si="5"/>
        <v>0</v>
      </c>
      <c r="AB27" s="188">
        <f t="shared" si="6"/>
        <v>0</v>
      </c>
      <c r="AC27" s="138">
        <v>0</v>
      </c>
      <c r="AD27" s="138">
        <v>0</v>
      </c>
      <c r="AE27" s="138">
        <v>0</v>
      </c>
      <c r="AF27" s="138">
        <v>0</v>
      </c>
      <c r="AG27" s="138">
        <v>0</v>
      </c>
      <c r="AH27" s="86">
        <v>0</v>
      </c>
      <c r="AI27" s="87">
        <v>0</v>
      </c>
      <c r="AJ27" s="88">
        <f t="shared" si="8"/>
        <v>0</v>
      </c>
      <c r="AK27" s="88">
        <f t="shared" si="9"/>
        <v>0</v>
      </c>
      <c r="AL27" s="85">
        <f t="shared" si="10"/>
        <v>0</v>
      </c>
      <c r="AM27" s="85">
        <f t="shared" si="11"/>
        <v>0</v>
      </c>
      <c r="AN27" s="154"/>
      <c r="AO27" s="1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</row>
    <row r="28" spans="1:154" s="18" customFormat="1" ht="19.5">
      <c r="A28" s="178"/>
      <c r="B28" s="179" t="s">
        <v>60</v>
      </c>
      <c r="C28" s="180">
        <f t="shared" ref="C28:AI28" si="49">SUM(C29:C30)</f>
        <v>15629235</v>
      </c>
      <c r="D28" s="180">
        <f t="shared" si="49"/>
        <v>15629235</v>
      </c>
      <c r="E28" s="180">
        <f t="shared" si="49"/>
        <v>9567598.8300000001</v>
      </c>
      <c r="F28" s="180">
        <v>2677447.8499999996</v>
      </c>
      <c r="G28" s="180">
        <v>5358.5202600000002</v>
      </c>
      <c r="H28" s="180">
        <f t="shared" si="49"/>
        <v>1878136.2299999997</v>
      </c>
      <c r="I28" s="180">
        <f t="shared" si="49"/>
        <v>1370.8600000000001</v>
      </c>
      <c r="J28" s="180">
        <f t="shared" si="40"/>
        <v>-799311.61999999988</v>
      </c>
      <c r="K28" s="180">
        <f t="shared" si="40"/>
        <v>-3987.6602600000001</v>
      </c>
      <c r="L28" s="180">
        <f t="shared" si="49"/>
        <v>0</v>
      </c>
      <c r="M28" s="180">
        <f t="shared" si="49"/>
        <v>332176.92000000004</v>
      </c>
      <c r="N28" s="180">
        <f t="shared" si="49"/>
        <v>476900.36</v>
      </c>
      <c r="O28" s="180">
        <f t="shared" si="49"/>
        <v>477434.54</v>
      </c>
      <c r="P28" s="180">
        <f t="shared" si="49"/>
        <v>667470.09</v>
      </c>
      <c r="Q28" s="180">
        <f t="shared" si="49"/>
        <v>795305.79999999993</v>
      </c>
      <c r="R28" s="180">
        <f t="shared" si="49"/>
        <v>795305.79999999993</v>
      </c>
      <c r="S28" s="180">
        <f t="shared" si="49"/>
        <v>1039358.84</v>
      </c>
      <c r="T28" s="180">
        <f t="shared" si="49"/>
        <v>1169616.76</v>
      </c>
      <c r="U28" s="180">
        <f t="shared" si="49"/>
        <v>1170333.4300000002</v>
      </c>
      <c r="V28" s="180">
        <f t="shared" si="49"/>
        <v>1439990.99</v>
      </c>
      <c r="W28" s="180">
        <f t="shared" si="49"/>
        <v>1577068.17</v>
      </c>
      <c r="X28" s="180">
        <f t="shared" ref="X28" si="50">SUM(X29:X30)</f>
        <v>3934.5020099999997</v>
      </c>
      <c r="Y28" s="180">
        <f t="shared" si="49"/>
        <v>1992868.24</v>
      </c>
      <c r="Z28" s="180">
        <f t="shared" si="49"/>
        <v>4395.2617200000004</v>
      </c>
      <c r="AA28" s="180">
        <f t="shared" si="5"/>
        <v>415800.07000000007</v>
      </c>
      <c r="AB28" s="180">
        <f t="shared" si="6"/>
        <v>460.75971000000072</v>
      </c>
      <c r="AC28" s="181">
        <f t="shared" ref="AC28:AG28" si="51">SUM(AC29:AC30)</f>
        <v>648155.14</v>
      </c>
      <c r="AD28" s="181">
        <f t="shared" si="51"/>
        <v>1119705.47</v>
      </c>
      <c r="AE28" s="181">
        <f t="shared" si="51"/>
        <v>1578743.5899999999</v>
      </c>
      <c r="AF28" s="181">
        <f t="shared" si="51"/>
        <v>2360234.58</v>
      </c>
      <c r="AG28" s="181">
        <f t="shared" si="51"/>
        <v>5239.3016399999997</v>
      </c>
      <c r="AH28" s="77">
        <f t="shared" si="49"/>
        <v>1180891.73</v>
      </c>
      <c r="AI28" s="77">
        <f t="shared" si="49"/>
        <v>3582.6846</v>
      </c>
      <c r="AJ28" s="78">
        <f t="shared" si="8"/>
        <v>-1179342.8500000001</v>
      </c>
      <c r="AK28" s="78">
        <f t="shared" si="9"/>
        <v>-1656.6170399999996</v>
      </c>
      <c r="AL28" s="76">
        <f t="shared" si="10"/>
        <v>5815438.9799999995</v>
      </c>
      <c r="AM28" s="76">
        <f t="shared" si="11"/>
        <v>10544.663649999999</v>
      </c>
      <c r="AN28"/>
      <c r="AO28" s="17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</row>
    <row r="29" spans="1:154" s="19" customFormat="1" ht="101.25" customHeight="1">
      <c r="A29" s="190" t="s">
        <v>61</v>
      </c>
      <c r="B29" s="190" t="s">
        <v>62</v>
      </c>
      <c r="C29" s="97">
        <v>2781474</v>
      </c>
      <c r="D29" s="97">
        <v>2781474</v>
      </c>
      <c r="E29" s="98">
        <v>1362419</v>
      </c>
      <c r="F29" s="191">
        <v>891274</v>
      </c>
      <c r="G29" s="191">
        <v>0</v>
      </c>
      <c r="H29" s="98">
        <v>530513</v>
      </c>
      <c r="I29" s="98">
        <v>0</v>
      </c>
      <c r="J29" s="98">
        <v>-360762</v>
      </c>
      <c r="K29" s="98">
        <v>0</v>
      </c>
      <c r="L29" s="97">
        <v>0</v>
      </c>
      <c r="M29" s="99">
        <v>82415</v>
      </c>
      <c r="N29" s="99">
        <v>82415</v>
      </c>
      <c r="O29" s="99">
        <v>82415</v>
      </c>
      <c r="P29" s="99">
        <v>116655</v>
      </c>
      <c r="Q29" s="99">
        <v>116655</v>
      </c>
      <c r="R29" s="99">
        <v>116655</v>
      </c>
      <c r="S29" s="99">
        <v>180383</v>
      </c>
      <c r="T29" s="99">
        <v>180383</v>
      </c>
      <c r="U29" s="99">
        <v>180383</v>
      </c>
      <c r="V29" s="99">
        <v>269502</v>
      </c>
      <c r="W29" s="99">
        <v>269502</v>
      </c>
      <c r="X29" s="99">
        <v>0</v>
      </c>
      <c r="Y29" s="192">
        <v>527781</v>
      </c>
      <c r="Z29" s="192">
        <v>0</v>
      </c>
      <c r="AA29" s="99">
        <v>258278</v>
      </c>
      <c r="AB29" s="99">
        <v>0</v>
      </c>
      <c r="AC29" s="98">
        <v>217901</v>
      </c>
      <c r="AD29" s="98">
        <v>420479</v>
      </c>
      <c r="AE29" s="98">
        <v>619040</v>
      </c>
      <c r="AF29" s="98">
        <v>619040</v>
      </c>
      <c r="AG29" s="98">
        <v>0</v>
      </c>
      <c r="AH29" s="91">
        <v>0</v>
      </c>
      <c r="AI29" s="91">
        <v>0</v>
      </c>
      <c r="AJ29" s="92">
        <v>-619040</v>
      </c>
      <c r="AK29" s="92">
        <v>0</v>
      </c>
      <c r="AL29" s="90">
        <v>1419055</v>
      </c>
      <c r="AM29" s="90">
        <v>0</v>
      </c>
      <c r="AN29"/>
      <c r="AO29" s="17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</row>
    <row r="30" spans="1:154" s="19" customFormat="1" ht="96.75" customHeight="1">
      <c r="A30" s="190" t="s">
        <v>63</v>
      </c>
      <c r="B30" s="190" t="s">
        <v>64</v>
      </c>
      <c r="C30" s="97">
        <v>12847761</v>
      </c>
      <c r="D30" s="97">
        <v>12847761</v>
      </c>
      <c r="E30" s="98">
        <v>8205179.8300000001</v>
      </c>
      <c r="F30" s="191">
        <v>1786173.42</v>
      </c>
      <c r="G30" s="191">
        <v>5358.5202600000002</v>
      </c>
      <c r="H30" s="270">
        <f>367127.02+981867.07-1370.86</f>
        <v>1347623.2299999997</v>
      </c>
      <c r="I30" s="270">
        <f>269.48+1101.38</f>
        <v>1370.8600000000001</v>
      </c>
      <c r="J30" s="98">
        <f t="shared" ref="J30:J61" si="52">H30-F30</f>
        <v>-438550.19000000018</v>
      </c>
      <c r="K30" s="98">
        <f t="shared" ref="K30:K61" si="53">I30-G30</f>
        <v>-3987.6602600000001</v>
      </c>
      <c r="L30" s="97">
        <v>0</v>
      </c>
      <c r="M30" s="99">
        <v>249761.92000000001</v>
      </c>
      <c r="N30" s="99">
        <v>394485.36</v>
      </c>
      <c r="O30" s="99">
        <v>395019.54</v>
      </c>
      <c r="P30" s="99">
        <v>550815.09</v>
      </c>
      <c r="Q30" s="99">
        <v>678650.79999999993</v>
      </c>
      <c r="R30" s="99">
        <v>678650.79999999993</v>
      </c>
      <c r="S30" s="99">
        <v>858975.84</v>
      </c>
      <c r="T30" s="99">
        <v>989233.76</v>
      </c>
      <c r="U30" s="99">
        <v>989950.43</v>
      </c>
      <c r="V30" s="99">
        <v>1170488.99</v>
      </c>
      <c r="W30" s="99">
        <v>1307566.17</v>
      </c>
      <c r="X30" s="99">
        <v>3934.5020099999997</v>
      </c>
      <c r="Y30" s="192">
        <v>1465087.24</v>
      </c>
      <c r="Z30" s="192">
        <v>4395.2617200000004</v>
      </c>
      <c r="AA30" s="99">
        <f>Y30-W30</f>
        <v>157521.07000000007</v>
      </c>
      <c r="AB30" s="99">
        <f t="shared" ref="AB30:AB32" si="54">Z30-X30</f>
        <v>460.75971000000072</v>
      </c>
      <c r="AC30" s="98">
        <v>430254.14</v>
      </c>
      <c r="AD30" s="98">
        <v>699226.47</v>
      </c>
      <c r="AE30" s="98">
        <v>959703.59</v>
      </c>
      <c r="AF30" s="98">
        <v>1741194.5799999998</v>
      </c>
      <c r="AG30" s="98">
        <v>5239.3016399999997</v>
      </c>
      <c r="AH30" s="91">
        <v>1180891.73</v>
      </c>
      <c r="AI30" s="91">
        <v>3582.6846</v>
      </c>
      <c r="AJ30" s="92">
        <f t="shared" ref="AJ30:AK32" si="55">AH30-AF30</f>
        <v>-560302.84999999986</v>
      </c>
      <c r="AK30" s="92">
        <f t="shared" si="55"/>
        <v>-1656.6170399999996</v>
      </c>
      <c r="AL30" s="90">
        <f t="shared" ref="AL30:AL61" si="56">H30+W30+AF30</f>
        <v>4396383.9799999995</v>
      </c>
      <c r="AM30" s="90">
        <f t="shared" ref="AM30:AM61" si="57">I30+X30+AG30</f>
        <v>10544.663649999999</v>
      </c>
      <c r="AN30"/>
      <c r="AO30" s="17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</row>
    <row r="31" spans="1:154" s="20" customFormat="1" ht="48.75" customHeight="1">
      <c r="A31" s="193"/>
      <c r="B31" s="194" t="s">
        <v>65</v>
      </c>
      <c r="C31" s="181">
        <f t="shared" ref="C31:W31" si="58">SUM(C32:C54)</f>
        <v>166495471.39871198</v>
      </c>
      <c r="D31" s="181">
        <f t="shared" si="58"/>
        <v>166495472.48388398</v>
      </c>
      <c r="E31" s="181">
        <f t="shared" si="58"/>
        <v>129914895.48000002</v>
      </c>
      <c r="F31" s="181">
        <v>15421295</v>
      </c>
      <c r="G31" s="181">
        <v>582279</v>
      </c>
      <c r="H31" s="181">
        <f t="shared" si="58"/>
        <v>19837571.66</v>
      </c>
      <c r="I31" s="181">
        <f t="shared" si="58"/>
        <v>348875.38</v>
      </c>
      <c r="J31" s="181">
        <f t="shared" si="52"/>
        <v>4416276.66</v>
      </c>
      <c r="K31" s="181">
        <f t="shared" si="53"/>
        <v>-233403.62</v>
      </c>
      <c r="L31" s="181">
        <f t="shared" si="58"/>
        <v>233861.11</v>
      </c>
      <c r="M31" s="181">
        <f t="shared" si="58"/>
        <v>789395.8</v>
      </c>
      <c r="N31" s="181">
        <f t="shared" si="58"/>
        <v>3968372.7100000004</v>
      </c>
      <c r="O31" s="181">
        <f t="shared" si="58"/>
        <v>4698884.540000001</v>
      </c>
      <c r="P31" s="181">
        <f t="shared" si="58"/>
        <v>6238980.7000000011</v>
      </c>
      <c r="Q31" s="181">
        <f t="shared" si="58"/>
        <v>7309043.9900000012</v>
      </c>
      <c r="R31" s="181">
        <f t="shared" si="58"/>
        <v>8269857.29</v>
      </c>
      <c r="S31" s="181">
        <f t="shared" si="58"/>
        <v>9324601.2400000002</v>
      </c>
      <c r="T31" s="181">
        <f t="shared" si="58"/>
        <v>10497737.09</v>
      </c>
      <c r="U31" s="181">
        <f t="shared" si="58"/>
        <v>12030685.360000001</v>
      </c>
      <c r="V31" s="181">
        <f t="shared" si="58"/>
        <v>13438242.799999999</v>
      </c>
      <c r="W31" s="181">
        <f t="shared" si="58"/>
        <v>13838008.829999998</v>
      </c>
      <c r="X31" s="181">
        <f t="shared" ref="X31" si="59">SUM(X32:X54)</f>
        <v>219920.40000000002</v>
      </c>
      <c r="Y31" s="181">
        <f t="shared" ref="Y31:AH31" si="60">SUM(Y32:Y54)</f>
        <v>17283623</v>
      </c>
      <c r="Z31" s="181">
        <f>SUM(Z32:Z54)</f>
        <v>154576</v>
      </c>
      <c r="AA31" s="181">
        <f>Y31-W31</f>
        <v>3445614.1700000018</v>
      </c>
      <c r="AB31" s="181">
        <f t="shared" si="54"/>
        <v>-65344.400000000023</v>
      </c>
      <c r="AC31" s="181">
        <f t="shared" ref="AC31:AG31" si="61">SUM(AC32:AC54)</f>
        <v>6726384.0199999996</v>
      </c>
      <c r="AD31" s="181">
        <f t="shared" si="61"/>
        <v>10460294.420000002</v>
      </c>
      <c r="AE31" s="181">
        <f t="shared" si="61"/>
        <v>13612030.23</v>
      </c>
      <c r="AF31" s="181">
        <f t="shared" si="61"/>
        <v>15787025.509999998</v>
      </c>
      <c r="AG31" s="181">
        <f t="shared" si="61"/>
        <v>150860.71</v>
      </c>
      <c r="AH31" s="93">
        <f t="shared" si="60"/>
        <v>10495051</v>
      </c>
      <c r="AI31" s="93">
        <f>SUM(AI32:AI54)</f>
        <v>105319</v>
      </c>
      <c r="AJ31" s="94">
        <f t="shared" si="55"/>
        <v>-5291974.5099999979</v>
      </c>
      <c r="AK31" s="94">
        <f t="shared" si="55"/>
        <v>-45541.709999999992</v>
      </c>
      <c r="AL31" s="79">
        <f t="shared" si="56"/>
        <v>49462605.999999993</v>
      </c>
      <c r="AM31" s="79">
        <f t="shared" si="57"/>
        <v>719656.49</v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</row>
    <row r="32" spans="1:154" s="19" customFormat="1" ht="75" outlineLevel="1">
      <c r="A32" s="190" t="s">
        <v>66</v>
      </c>
      <c r="B32" s="190" t="s">
        <v>67</v>
      </c>
      <c r="C32" s="97">
        <v>0</v>
      </c>
      <c r="D32" s="97">
        <v>0</v>
      </c>
      <c r="E32" s="98">
        <v>0</v>
      </c>
      <c r="F32" s="191">
        <v>0</v>
      </c>
      <c r="G32" s="191"/>
      <c r="H32" s="98"/>
      <c r="I32" s="98"/>
      <c r="J32" s="98">
        <f t="shared" si="52"/>
        <v>0</v>
      </c>
      <c r="K32" s="98">
        <f t="shared" si="53"/>
        <v>0</v>
      </c>
      <c r="L32" s="97">
        <v>0</v>
      </c>
      <c r="M32" s="98">
        <v>0</v>
      </c>
      <c r="N32" s="98">
        <v>0</v>
      </c>
      <c r="O32" s="98">
        <v>0</v>
      </c>
      <c r="P32" s="98">
        <v>0</v>
      </c>
      <c r="Q32" s="98">
        <v>0</v>
      </c>
      <c r="R32" s="98">
        <v>0</v>
      </c>
      <c r="S32" s="98">
        <v>0</v>
      </c>
      <c r="T32" s="98">
        <v>0</v>
      </c>
      <c r="U32" s="98">
        <v>0</v>
      </c>
      <c r="V32" s="98">
        <v>0</v>
      </c>
      <c r="W32" s="98">
        <v>0</v>
      </c>
      <c r="X32" s="99">
        <v>0</v>
      </c>
      <c r="Y32" s="191">
        <v>0</v>
      </c>
      <c r="Z32" s="192"/>
      <c r="AA32" s="99">
        <f>Y32-W32</f>
        <v>0</v>
      </c>
      <c r="AB32" s="99">
        <f t="shared" si="54"/>
        <v>0</v>
      </c>
      <c r="AC32" s="98">
        <v>0</v>
      </c>
      <c r="AD32" s="98">
        <v>0</v>
      </c>
      <c r="AE32" s="98">
        <v>0</v>
      </c>
      <c r="AF32" s="98">
        <v>0</v>
      </c>
      <c r="AG32" s="98">
        <v>0</v>
      </c>
      <c r="AH32" s="89">
        <v>0</v>
      </c>
      <c r="AI32" s="91"/>
      <c r="AJ32" s="92">
        <f t="shared" si="55"/>
        <v>0</v>
      </c>
      <c r="AK32" s="92">
        <f t="shared" si="55"/>
        <v>0</v>
      </c>
      <c r="AL32" s="47">
        <f t="shared" si="56"/>
        <v>0</v>
      </c>
      <c r="AM32" s="47">
        <f t="shared" si="57"/>
        <v>0</v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</row>
    <row r="33" spans="1:154" s="19" customFormat="1" ht="66" customHeight="1">
      <c r="A33" s="190" t="s">
        <v>68</v>
      </c>
      <c r="B33" s="190" t="s">
        <v>69</v>
      </c>
      <c r="C33" s="97">
        <v>38625269.394827999</v>
      </c>
      <c r="D33" s="97">
        <v>39087271.659999996</v>
      </c>
      <c r="E33" s="96">
        <v>30100041.699999999</v>
      </c>
      <c r="F33" s="191">
        <v>3309710</v>
      </c>
      <c r="G33" s="191">
        <v>333921</v>
      </c>
      <c r="H33" s="96">
        <f>3339910.91+(578433.4+242772.91+61020.8-22325.21)+247511.4+(1358477.77-110182.03)</f>
        <v>5695619.9500000011</v>
      </c>
      <c r="I33" s="98">
        <v>78394</v>
      </c>
      <c r="J33" s="98">
        <f t="shared" si="52"/>
        <v>2385909.9500000011</v>
      </c>
      <c r="K33" s="98">
        <f t="shared" si="53"/>
        <v>-255527</v>
      </c>
      <c r="L33" s="97">
        <f>63038</f>
        <v>63038</v>
      </c>
      <c r="M33" s="98">
        <f>L33+504193.32-19766.25</f>
        <v>547465.07000000007</v>
      </c>
      <c r="N33" s="98">
        <f>M33+288365.4+35130.8</f>
        <v>870961.27000000014</v>
      </c>
      <c r="O33" s="98">
        <f>N33+37439.98+62885.4</f>
        <v>971286.65000000014</v>
      </c>
      <c r="P33" s="98">
        <f>O33+513271.23+31544.5+254714.58</f>
        <v>1770816.9600000002</v>
      </c>
      <c r="Q33" s="98">
        <f>P33+340806.63+70790.79+254714.58</f>
        <v>2437128.9600000004</v>
      </c>
      <c r="R33" s="98">
        <f>Q33+41197.51+62885.4+254714.58</f>
        <v>2795926.45</v>
      </c>
      <c r="S33" s="98">
        <f>R33+79583.86+31544.5+254714.58</f>
        <v>3161769.39</v>
      </c>
      <c r="T33" s="98">
        <f>S33+712180.05+48418.73+254714.58</f>
        <v>4177082.7500000005</v>
      </c>
      <c r="U33" s="98">
        <f>T33+290372.65+63992.3+254714.58</f>
        <v>4786162.28</v>
      </c>
      <c r="V33" s="98">
        <f>U33+298678.13+120407+254714.58</f>
        <v>5459961.9900000002</v>
      </c>
      <c r="W33" s="98">
        <f>V33+81594.68+57723+254714.6</f>
        <v>5853994.2699999996</v>
      </c>
      <c r="X33" s="98">
        <f>29196.66+5476.23+10</f>
        <v>34682.89</v>
      </c>
      <c r="Y33" s="191">
        <v>4133944</v>
      </c>
      <c r="Z33" s="192">
        <f>15234</f>
        <v>15234</v>
      </c>
      <c r="AA33" s="99">
        <f t="shared" ref="AA33:AA54" si="62">W33-Y33</f>
        <v>1720050.2699999996</v>
      </c>
      <c r="AB33" s="99">
        <f t="shared" ref="AB33:AB54" si="63">X33-Z33</f>
        <v>19448.89</v>
      </c>
      <c r="AC33" s="98">
        <f>608627.02+486878.94+99575.6+108567.89+84020+1396194.43</f>
        <v>2783863.88</v>
      </c>
      <c r="AD33" s="98">
        <f>AC33+383371.41+207876.27+59999+74195.01+700000</f>
        <v>4209305.57</v>
      </c>
      <c r="AE33" s="98">
        <f>AD33+130694.39+33267.18+26989.96+71340+40000+1000000</f>
        <v>5511597.0999999996</v>
      </c>
      <c r="AF33" s="98">
        <f>AE33+31527.42+191763.26+300000</f>
        <v>6034887.7799999993</v>
      </c>
      <c r="AG33" s="98">
        <f>29196.66+10000</f>
        <v>39196.660000000003</v>
      </c>
      <c r="AH33" s="89">
        <v>4533800</v>
      </c>
      <c r="AI33" s="91">
        <v>19042</v>
      </c>
      <c r="AJ33" s="92">
        <f t="shared" ref="AJ33:AJ54" si="64">AF33-AH33</f>
        <v>1501087.7799999993</v>
      </c>
      <c r="AK33" s="92">
        <f t="shared" ref="AK33:AK54" si="65">AG33-AI33</f>
        <v>20154.660000000003</v>
      </c>
      <c r="AL33" s="95">
        <f t="shared" si="56"/>
        <v>17584502</v>
      </c>
      <c r="AM33" s="95">
        <f t="shared" si="57"/>
        <v>152273.54999999999</v>
      </c>
      <c r="AN33"/>
      <c r="AO33" s="17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</row>
    <row r="34" spans="1:154" s="19" customFormat="1" ht="64.5" customHeight="1" outlineLevel="1">
      <c r="A34" s="190" t="s">
        <v>70</v>
      </c>
      <c r="B34" s="190" t="s">
        <v>71</v>
      </c>
      <c r="C34" s="97">
        <v>0</v>
      </c>
      <c r="D34" s="97">
        <v>0</v>
      </c>
      <c r="E34" s="96">
        <v>0</v>
      </c>
      <c r="F34" s="191">
        <v>0</v>
      </c>
      <c r="G34" s="191"/>
      <c r="H34" s="98"/>
      <c r="I34" s="98"/>
      <c r="J34" s="98">
        <f t="shared" si="52"/>
        <v>0</v>
      </c>
      <c r="K34" s="98">
        <f t="shared" si="53"/>
        <v>0</v>
      </c>
      <c r="L34" s="97">
        <v>0</v>
      </c>
      <c r="M34" s="98">
        <f t="shared" ref="M34:W35" si="66">L34</f>
        <v>0</v>
      </c>
      <c r="N34" s="98">
        <f t="shared" si="66"/>
        <v>0</v>
      </c>
      <c r="O34" s="98">
        <f t="shared" si="66"/>
        <v>0</v>
      </c>
      <c r="P34" s="98">
        <f t="shared" si="66"/>
        <v>0</v>
      </c>
      <c r="Q34" s="98">
        <f t="shared" si="66"/>
        <v>0</v>
      </c>
      <c r="R34" s="98">
        <f t="shared" si="66"/>
        <v>0</v>
      </c>
      <c r="S34" s="98">
        <f t="shared" si="66"/>
        <v>0</v>
      </c>
      <c r="T34" s="98">
        <f t="shared" si="66"/>
        <v>0</v>
      </c>
      <c r="U34" s="98">
        <f t="shared" si="66"/>
        <v>0</v>
      </c>
      <c r="V34" s="98">
        <f t="shared" si="66"/>
        <v>0</v>
      </c>
      <c r="W34" s="98">
        <f t="shared" si="66"/>
        <v>0</v>
      </c>
      <c r="X34" s="99">
        <v>0</v>
      </c>
      <c r="Y34" s="191">
        <v>0</v>
      </c>
      <c r="Z34" s="192"/>
      <c r="AA34" s="99">
        <f t="shared" si="62"/>
        <v>0</v>
      </c>
      <c r="AB34" s="99">
        <f t="shared" si="63"/>
        <v>0</v>
      </c>
      <c r="AC34" s="98">
        <v>0</v>
      </c>
      <c r="AD34" s="98">
        <v>0</v>
      </c>
      <c r="AE34" s="98">
        <v>0</v>
      </c>
      <c r="AF34" s="98">
        <v>0</v>
      </c>
      <c r="AG34" s="98">
        <v>0</v>
      </c>
      <c r="AH34" s="89">
        <v>0</v>
      </c>
      <c r="AI34" s="91"/>
      <c r="AJ34" s="92">
        <f t="shared" si="64"/>
        <v>0</v>
      </c>
      <c r="AK34" s="92">
        <f t="shared" si="65"/>
        <v>0</v>
      </c>
      <c r="AL34" s="95">
        <f t="shared" si="56"/>
        <v>0</v>
      </c>
      <c r="AM34" s="95">
        <f t="shared" si="57"/>
        <v>0</v>
      </c>
      <c r="AN34"/>
      <c r="AO34" s="17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</row>
    <row r="35" spans="1:154" s="19" customFormat="1" ht="82.5" customHeight="1">
      <c r="A35" s="190" t="s">
        <v>72</v>
      </c>
      <c r="B35" s="190" t="s">
        <v>73</v>
      </c>
      <c r="C35" s="97">
        <v>7804604</v>
      </c>
      <c r="D35" s="97">
        <v>7342601.7199999997</v>
      </c>
      <c r="E35" s="96">
        <v>5951472.71</v>
      </c>
      <c r="F35" s="191">
        <v>589848</v>
      </c>
      <c r="G35" s="191">
        <v>2622</v>
      </c>
      <c r="H35" s="98">
        <v>589848</v>
      </c>
      <c r="I35" s="98">
        <f>32972.5</f>
        <v>32972.5</v>
      </c>
      <c r="J35" s="98">
        <f t="shared" si="52"/>
        <v>0</v>
      </c>
      <c r="K35" s="98">
        <f t="shared" si="53"/>
        <v>30350.5</v>
      </c>
      <c r="L35" s="97">
        <f>12912.01</f>
        <v>12912.01</v>
      </c>
      <c r="M35" s="98">
        <f>L35</f>
        <v>12912.01</v>
      </c>
      <c r="N35" s="98">
        <f>M35+5447</f>
        <v>18359.010000000002</v>
      </c>
      <c r="O35" s="98">
        <f t="shared" si="66"/>
        <v>18359.010000000002</v>
      </c>
      <c r="P35" s="98">
        <f>O35+(156076.37-18042)</f>
        <v>156393.38</v>
      </c>
      <c r="Q35" s="98">
        <f>P35+22237.16</f>
        <v>178630.54</v>
      </c>
      <c r="R35" s="98">
        <f>Q35+19753.89</f>
        <v>198384.43</v>
      </c>
      <c r="S35" s="98">
        <f>R35+7061.23</f>
        <v>205445.66</v>
      </c>
      <c r="T35" s="98">
        <f>S35+116287.83</f>
        <v>321733.49</v>
      </c>
      <c r="U35" s="98">
        <f>T35+4885.29</f>
        <v>326618.77999999997</v>
      </c>
      <c r="V35" s="98">
        <f>U35+70451.15</f>
        <v>397069.92999999993</v>
      </c>
      <c r="W35" s="98">
        <f>V35+5733.75</f>
        <v>402803.67999999993</v>
      </c>
      <c r="X35" s="99">
        <f>18042</f>
        <v>18042</v>
      </c>
      <c r="Y35" s="191">
        <v>601845</v>
      </c>
      <c r="Z35" s="192">
        <v>2170</v>
      </c>
      <c r="AA35" s="99">
        <f t="shared" si="62"/>
        <v>-199041.32000000007</v>
      </c>
      <c r="AB35" s="99">
        <f t="shared" si="63"/>
        <v>15872</v>
      </c>
      <c r="AC35" s="98">
        <f>16851.01+71989.28+(71707.12-16775)</f>
        <v>143772.40999999997</v>
      </c>
      <c r="AD35" s="98">
        <f>AC35+8902.1+2694.68+(100000)</f>
        <v>255369.18999999997</v>
      </c>
      <c r="AE35" s="98">
        <f>AD35+36962.46+22841.55</f>
        <v>315173.19999999995</v>
      </c>
      <c r="AF35" s="98">
        <f>AE35+3549.98</f>
        <v>318723.17999999993</v>
      </c>
      <c r="AG35" s="98">
        <f>16775</f>
        <v>16775</v>
      </c>
      <c r="AH35" s="89">
        <v>179963</v>
      </c>
      <c r="AI35" s="91">
        <v>720</v>
      </c>
      <c r="AJ35" s="92">
        <f t="shared" si="64"/>
        <v>138760.17999999993</v>
      </c>
      <c r="AK35" s="92">
        <f t="shared" si="65"/>
        <v>16055</v>
      </c>
      <c r="AL35" s="95">
        <f t="shared" si="56"/>
        <v>1311374.8599999999</v>
      </c>
      <c r="AM35" s="95">
        <f t="shared" si="57"/>
        <v>67789.5</v>
      </c>
      <c r="AN35"/>
      <c r="AO35" s="17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</row>
    <row r="36" spans="1:154" s="19" customFormat="1" ht="64.5" customHeight="1">
      <c r="A36" s="190" t="s">
        <v>74</v>
      </c>
      <c r="B36" s="190" t="s">
        <v>75</v>
      </c>
      <c r="C36" s="97">
        <v>34695182</v>
      </c>
      <c r="D36" s="97">
        <v>34695182</v>
      </c>
      <c r="E36" s="96">
        <v>29605015.149999999</v>
      </c>
      <c r="F36" s="191">
        <v>1239508</v>
      </c>
      <c r="G36" s="191">
        <v>2479</v>
      </c>
      <c r="H36" s="98">
        <f>1239508</f>
        <v>1239508</v>
      </c>
      <c r="I36" s="98">
        <f>2479+57661.49</f>
        <v>60140.49</v>
      </c>
      <c r="J36" s="98">
        <f t="shared" si="52"/>
        <v>0</v>
      </c>
      <c r="K36" s="98">
        <f t="shared" si="53"/>
        <v>57661.49</v>
      </c>
      <c r="L36" s="97">
        <f>178334.1-20423</f>
        <v>157911.1</v>
      </c>
      <c r="M36" s="98">
        <f>L36+121107.62-50000</f>
        <v>229018.71999999997</v>
      </c>
      <c r="N36" s="98">
        <f>M36+506774.83-57661.49</f>
        <v>678132.06</v>
      </c>
      <c r="O36" s="98">
        <f>N36+32620.22</f>
        <v>710752.28</v>
      </c>
      <c r="P36" s="98">
        <f>O36+221526.63</f>
        <v>932278.91</v>
      </c>
      <c r="Q36" s="98">
        <f>P36+10308.63</f>
        <v>942587.54</v>
      </c>
      <c r="R36" s="98">
        <f>Q36+582261.92</f>
        <v>1524849.46</v>
      </c>
      <c r="S36" s="98">
        <f>R36+132287.58</f>
        <v>1657137.04</v>
      </c>
      <c r="T36" s="98">
        <f>S36+41534.66</f>
        <v>1698671.7</v>
      </c>
      <c r="U36" s="98">
        <f t="shared" ref="U36:W36" si="67">T36</f>
        <v>1698671.7</v>
      </c>
      <c r="V36" s="98">
        <f>U36+520696.58</f>
        <v>2219368.2799999998</v>
      </c>
      <c r="W36" s="98">
        <f t="shared" si="67"/>
        <v>2219368.2799999998</v>
      </c>
      <c r="X36" s="99">
        <v>40423</v>
      </c>
      <c r="Y36" s="191">
        <v>2433766</v>
      </c>
      <c r="Z36" s="192">
        <v>4591</v>
      </c>
      <c r="AA36" s="99">
        <f t="shared" si="62"/>
        <v>-214397.7200000002</v>
      </c>
      <c r="AB36" s="99">
        <f t="shared" si="63"/>
        <v>35832</v>
      </c>
      <c r="AC36" s="98">
        <f>49635.12+13176.4+463271.49</f>
        <v>526083.01</v>
      </c>
      <c r="AD36" s="98">
        <f>AC36+22310.05+34775.67</f>
        <v>583168.7300000001</v>
      </c>
      <c r="AE36" s="98">
        <f>AD36+127109.07+369590.85</f>
        <v>1079868.6499999999</v>
      </c>
      <c r="AF36" s="98">
        <f>AE36+355214.26</f>
        <v>1435082.91</v>
      </c>
      <c r="AG36" s="98">
        <f>32396+11987.95</f>
        <v>44383.95</v>
      </c>
      <c r="AH36" s="89">
        <v>1358116</v>
      </c>
      <c r="AI36" s="91">
        <v>2581</v>
      </c>
      <c r="AJ36" s="92">
        <f t="shared" si="64"/>
        <v>76966.909999999916</v>
      </c>
      <c r="AK36" s="92">
        <f t="shared" si="65"/>
        <v>41802.949999999997</v>
      </c>
      <c r="AL36" s="95">
        <f t="shared" si="56"/>
        <v>4893959.1899999995</v>
      </c>
      <c r="AM36" s="95">
        <f t="shared" si="57"/>
        <v>144947.44</v>
      </c>
      <c r="AN36"/>
      <c r="AO36" s="17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</row>
    <row r="37" spans="1:154" s="19" customFormat="1" ht="114" customHeight="1">
      <c r="A37" s="190" t="s">
        <v>76</v>
      </c>
      <c r="B37" s="190" t="s">
        <v>77</v>
      </c>
      <c r="C37" s="97">
        <v>1001494.997196</v>
      </c>
      <c r="D37" s="97">
        <v>1001494.997196</v>
      </c>
      <c r="E37" s="96">
        <v>719543.67</v>
      </c>
      <c r="F37" s="191">
        <v>224652</v>
      </c>
      <c r="G37" s="191">
        <v>450</v>
      </c>
      <c r="H37" s="96">
        <f>224652+54850.84</f>
        <v>279502.83999999997</v>
      </c>
      <c r="I37" s="96">
        <f>450+244.66</f>
        <v>694.66</v>
      </c>
      <c r="J37" s="98">
        <f t="shared" si="52"/>
        <v>54850.839999999967</v>
      </c>
      <c r="K37" s="98">
        <f t="shared" si="53"/>
        <v>244.65999999999997</v>
      </c>
      <c r="L37" s="97">
        <v>0</v>
      </c>
      <c r="M37" s="98">
        <f t="shared" ref="M37:W52" si="68">L37</f>
        <v>0</v>
      </c>
      <c r="N37" s="98">
        <f t="shared" si="68"/>
        <v>0</v>
      </c>
      <c r="O37" s="98">
        <f t="shared" si="68"/>
        <v>0</v>
      </c>
      <c r="P37" s="98">
        <f t="shared" si="68"/>
        <v>0</v>
      </c>
      <c r="Q37" s="98">
        <f t="shared" si="68"/>
        <v>0</v>
      </c>
      <c r="R37" s="98">
        <f t="shared" si="68"/>
        <v>0</v>
      </c>
      <c r="S37" s="98">
        <f t="shared" si="68"/>
        <v>0</v>
      </c>
      <c r="T37" s="98">
        <f t="shared" si="68"/>
        <v>0</v>
      </c>
      <c r="U37" s="98">
        <f t="shared" si="68"/>
        <v>0</v>
      </c>
      <c r="V37" s="98">
        <f t="shared" si="68"/>
        <v>0</v>
      </c>
      <c r="W37" s="98">
        <f t="shared" si="68"/>
        <v>0</v>
      </c>
      <c r="X37" s="99">
        <v>0</v>
      </c>
      <c r="Y37" s="191">
        <v>0</v>
      </c>
      <c r="Z37" s="192">
        <v>0</v>
      </c>
      <c r="AA37" s="99">
        <f t="shared" si="62"/>
        <v>0</v>
      </c>
      <c r="AB37" s="99">
        <f t="shared" si="63"/>
        <v>0</v>
      </c>
      <c r="AC37" s="98">
        <v>0</v>
      </c>
      <c r="AD37" s="98">
        <f t="shared" ref="AD37:AF41" si="69">AC37</f>
        <v>0</v>
      </c>
      <c r="AE37" s="98">
        <f t="shared" si="69"/>
        <v>0</v>
      </c>
      <c r="AF37" s="98">
        <f t="shared" si="69"/>
        <v>0</v>
      </c>
      <c r="AG37" s="98">
        <v>0</v>
      </c>
      <c r="AH37" s="89">
        <v>0</v>
      </c>
      <c r="AI37" s="91">
        <v>0</v>
      </c>
      <c r="AJ37" s="92">
        <f t="shared" si="64"/>
        <v>0</v>
      </c>
      <c r="AK37" s="92">
        <f t="shared" si="65"/>
        <v>0</v>
      </c>
      <c r="AL37" s="95">
        <f t="shared" si="56"/>
        <v>279502.83999999997</v>
      </c>
      <c r="AM37" s="95">
        <f t="shared" si="57"/>
        <v>694.66</v>
      </c>
      <c r="AN37"/>
      <c r="AO37" s="1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</row>
    <row r="38" spans="1:154" s="19" customFormat="1" ht="56.25" outlineLevel="1">
      <c r="A38" s="190" t="s">
        <v>78</v>
      </c>
      <c r="B38" s="190" t="s">
        <v>79</v>
      </c>
      <c r="C38" s="97">
        <v>0</v>
      </c>
      <c r="D38" s="97">
        <v>0</v>
      </c>
      <c r="E38" s="96">
        <v>0</v>
      </c>
      <c r="F38" s="191">
        <v>0</v>
      </c>
      <c r="G38" s="191">
        <v>0</v>
      </c>
      <c r="H38" s="98"/>
      <c r="I38" s="98"/>
      <c r="J38" s="98">
        <f t="shared" si="52"/>
        <v>0</v>
      </c>
      <c r="K38" s="98">
        <f t="shared" si="53"/>
        <v>0</v>
      </c>
      <c r="L38" s="97">
        <v>0</v>
      </c>
      <c r="M38" s="98">
        <f t="shared" si="68"/>
        <v>0</v>
      </c>
      <c r="N38" s="98">
        <f t="shared" si="68"/>
        <v>0</v>
      </c>
      <c r="O38" s="98">
        <f t="shared" si="68"/>
        <v>0</v>
      </c>
      <c r="P38" s="98">
        <f t="shared" si="68"/>
        <v>0</v>
      </c>
      <c r="Q38" s="98">
        <f t="shared" si="68"/>
        <v>0</v>
      </c>
      <c r="R38" s="98">
        <f t="shared" si="68"/>
        <v>0</v>
      </c>
      <c r="S38" s="98">
        <f t="shared" si="68"/>
        <v>0</v>
      </c>
      <c r="T38" s="98">
        <f t="shared" si="68"/>
        <v>0</v>
      </c>
      <c r="U38" s="98">
        <f t="shared" si="68"/>
        <v>0</v>
      </c>
      <c r="V38" s="98">
        <f t="shared" si="68"/>
        <v>0</v>
      </c>
      <c r="W38" s="98">
        <f t="shared" si="68"/>
        <v>0</v>
      </c>
      <c r="X38" s="98">
        <v>0</v>
      </c>
      <c r="Y38" s="191">
        <v>0</v>
      </c>
      <c r="Z38" s="191">
        <v>0</v>
      </c>
      <c r="AA38" s="99">
        <f t="shared" si="62"/>
        <v>0</v>
      </c>
      <c r="AB38" s="99">
        <f t="shared" si="63"/>
        <v>0</v>
      </c>
      <c r="AC38" s="98">
        <v>0</v>
      </c>
      <c r="AD38" s="98">
        <f t="shared" si="69"/>
        <v>0</v>
      </c>
      <c r="AE38" s="98">
        <f t="shared" si="69"/>
        <v>0</v>
      </c>
      <c r="AF38" s="98">
        <f t="shared" si="69"/>
        <v>0</v>
      </c>
      <c r="AG38" s="98">
        <v>0</v>
      </c>
      <c r="AH38" s="89">
        <v>0</v>
      </c>
      <c r="AI38" s="89">
        <v>0</v>
      </c>
      <c r="AJ38" s="92">
        <f t="shared" si="64"/>
        <v>0</v>
      </c>
      <c r="AK38" s="92">
        <f t="shared" si="65"/>
        <v>0</v>
      </c>
      <c r="AL38" s="95">
        <f t="shared" si="56"/>
        <v>0</v>
      </c>
      <c r="AM38" s="95">
        <f t="shared" si="57"/>
        <v>0</v>
      </c>
      <c r="AN38"/>
      <c r="AO38" s="17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</row>
    <row r="39" spans="1:154" s="19" customFormat="1" ht="135.75" customHeight="1">
      <c r="A39" s="190" t="s">
        <v>80</v>
      </c>
      <c r="B39" s="190" t="s">
        <v>81</v>
      </c>
      <c r="C39" s="97">
        <v>2393420</v>
      </c>
      <c r="D39" s="97">
        <v>2393420</v>
      </c>
      <c r="E39" s="96">
        <v>470669.48</v>
      </c>
      <c r="F39" s="191">
        <v>330297</v>
      </c>
      <c r="G39" s="191">
        <v>0</v>
      </c>
      <c r="H39" s="98">
        <v>306399.06</v>
      </c>
      <c r="I39" s="98"/>
      <c r="J39" s="98">
        <f t="shared" si="52"/>
        <v>-23897.940000000002</v>
      </c>
      <c r="K39" s="98">
        <f t="shared" si="53"/>
        <v>0</v>
      </c>
      <c r="L39" s="97">
        <v>0</v>
      </c>
      <c r="M39" s="98">
        <f t="shared" si="68"/>
        <v>0</v>
      </c>
      <c r="N39" s="98">
        <f>M39+293978</f>
        <v>293978</v>
      </c>
      <c r="O39" s="98">
        <f t="shared" si="68"/>
        <v>293978</v>
      </c>
      <c r="P39" s="98">
        <f t="shared" si="68"/>
        <v>293978</v>
      </c>
      <c r="Q39" s="98">
        <f>P39+305153</f>
        <v>599131</v>
      </c>
      <c r="R39" s="98">
        <f t="shared" si="68"/>
        <v>599131</v>
      </c>
      <c r="S39" s="98">
        <f t="shared" si="68"/>
        <v>599131</v>
      </c>
      <c r="T39" s="98">
        <f t="shared" si="68"/>
        <v>599131</v>
      </c>
      <c r="U39" s="98">
        <f>T39+405352</f>
        <v>1004483</v>
      </c>
      <c r="V39" s="98">
        <f t="shared" si="68"/>
        <v>1004483</v>
      </c>
      <c r="W39" s="98">
        <f t="shared" si="68"/>
        <v>1004483</v>
      </c>
      <c r="X39" s="99">
        <v>0</v>
      </c>
      <c r="Y39" s="191">
        <v>1382818</v>
      </c>
      <c r="Z39" s="192">
        <v>0</v>
      </c>
      <c r="AA39" s="99">
        <f t="shared" si="62"/>
        <v>-378335</v>
      </c>
      <c r="AB39" s="99">
        <f t="shared" si="63"/>
        <v>0</v>
      </c>
      <c r="AC39" s="98">
        <f>394966.88+216901.58</f>
        <v>611868.46</v>
      </c>
      <c r="AD39" s="98">
        <f t="shared" si="69"/>
        <v>611868.46</v>
      </c>
      <c r="AE39" s="98">
        <f t="shared" si="69"/>
        <v>611868.46</v>
      </c>
      <c r="AF39" s="98">
        <f t="shared" si="69"/>
        <v>611868.46</v>
      </c>
      <c r="AG39" s="98">
        <v>0</v>
      </c>
      <c r="AH39" s="89">
        <v>209636</v>
      </c>
      <c r="AI39" s="91">
        <v>0</v>
      </c>
      <c r="AJ39" s="92">
        <f t="shared" si="64"/>
        <v>402232.45999999996</v>
      </c>
      <c r="AK39" s="92">
        <f t="shared" si="65"/>
        <v>0</v>
      </c>
      <c r="AL39" s="95">
        <f t="shared" si="56"/>
        <v>1922750.52</v>
      </c>
      <c r="AM39" s="95">
        <f t="shared" si="57"/>
        <v>0</v>
      </c>
      <c r="AN39"/>
      <c r="AO39" s="17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</row>
    <row r="40" spans="1:154" s="19" customFormat="1" ht="114.75" customHeight="1">
      <c r="A40" s="190" t="s">
        <v>82</v>
      </c>
      <c r="B40" s="190" t="s">
        <v>83</v>
      </c>
      <c r="C40" s="97">
        <v>5425034</v>
      </c>
      <c r="D40" s="97">
        <v>5090153.55</v>
      </c>
      <c r="E40" s="96">
        <v>3667148.3200000003</v>
      </c>
      <c r="F40" s="191">
        <v>726519</v>
      </c>
      <c r="G40" s="191">
        <v>53127</v>
      </c>
      <c r="H40" s="98">
        <v>726519</v>
      </c>
      <c r="I40" s="98">
        <v>53127</v>
      </c>
      <c r="J40" s="98">
        <f t="shared" si="52"/>
        <v>0</v>
      </c>
      <c r="K40" s="98">
        <f t="shared" si="53"/>
        <v>0</v>
      </c>
      <c r="L40" s="97">
        <v>0</v>
      </c>
      <c r="M40" s="98">
        <f t="shared" si="68"/>
        <v>0</v>
      </c>
      <c r="N40" s="98">
        <f>M40+339324.82-32169</f>
        <v>307155.82</v>
      </c>
      <c r="O40" s="98">
        <f t="shared" si="68"/>
        <v>307155.82</v>
      </c>
      <c r="P40" s="98">
        <f>O40+304033.44</f>
        <v>611189.26</v>
      </c>
      <c r="Q40" s="98">
        <f t="shared" si="68"/>
        <v>611189.26</v>
      </c>
      <c r="R40" s="98">
        <f t="shared" si="68"/>
        <v>611189.26</v>
      </c>
      <c r="S40" s="98">
        <f t="shared" si="68"/>
        <v>611189.26</v>
      </c>
      <c r="T40" s="98">
        <f t="shared" si="68"/>
        <v>611189.26</v>
      </c>
      <c r="U40" s="98">
        <f t="shared" si="68"/>
        <v>611189.26</v>
      </c>
      <c r="V40" s="98">
        <f t="shared" si="68"/>
        <v>611189.26</v>
      </c>
      <c r="W40" s="98">
        <f>V40</f>
        <v>611189.26</v>
      </c>
      <c r="X40" s="99">
        <v>32169</v>
      </c>
      <c r="Y40" s="191">
        <v>890736</v>
      </c>
      <c r="Z40" s="192">
        <v>14781</v>
      </c>
      <c r="AA40" s="99">
        <f t="shared" si="62"/>
        <v>-279546.74</v>
      </c>
      <c r="AB40" s="99">
        <f t="shared" si="63"/>
        <v>17388</v>
      </c>
      <c r="AC40" s="98">
        <v>0</v>
      </c>
      <c r="AD40" s="98">
        <f t="shared" si="69"/>
        <v>0</v>
      </c>
      <c r="AE40" s="98">
        <f t="shared" si="69"/>
        <v>0</v>
      </c>
      <c r="AF40" s="98">
        <f t="shared" si="69"/>
        <v>0</v>
      </c>
      <c r="AG40" s="98">
        <v>0</v>
      </c>
      <c r="AH40" s="89">
        <v>0</v>
      </c>
      <c r="AI40" s="91">
        <v>0</v>
      </c>
      <c r="AJ40" s="92">
        <f t="shared" si="64"/>
        <v>0</v>
      </c>
      <c r="AK40" s="92">
        <f t="shared" si="65"/>
        <v>0</v>
      </c>
      <c r="AL40" s="95">
        <f t="shared" si="56"/>
        <v>1337708.26</v>
      </c>
      <c r="AM40" s="95">
        <f t="shared" si="57"/>
        <v>85296</v>
      </c>
      <c r="AN40"/>
      <c r="AO40" s="17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</row>
    <row r="41" spans="1:154" s="19" customFormat="1" ht="120.75" customHeight="1">
      <c r="A41" s="190" t="s">
        <v>84</v>
      </c>
      <c r="B41" s="190" t="s">
        <v>85</v>
      </c>
      <c r="C41" s="97">
        <v>10170874</v>
      </c>
      <c r="D41" s="97">
        <v>8849476.75</v>
      </c>
      <c r="E41" s="96">
        <v>4678258.54</v>
      </c>
      <c r="F41" s="191">
        <v>1117447</v>
      </c>
      <c r="G41" s="191">
        <v>81962</v>
      </c>
      <c r="H41" s="98">
        <f>1117447+70000+102561.34</f>
        <v>1290008.3400000001</v>
      </c>
      <c r="I41" s="98">
        <f>81962-70000</f>
        <v>11962</v>
      </c>
      <c r="J41" s="98">
        <f t="shared" si="52"/>
        <v>172561.34000000008</v>
      </c>
      <c r="K41" s="98">
        <f t="shared" si="53"/>
        <v>-70000</v>
      </c>
      <c r="L41" s="97">
        <v>0</v>
      </c>
      <c r="M41" s="98">
        <f t="shared" si="68"/>
        <v>0</v>
      </c>
      <c r="N41" s="98">
        <f>M41+1075785.61-53177+102561.34-200000</f>
        <v>925169.95000000019</v>
      </c>
      <c r="O41" s="98">
        <f>N41</f>
        <v>925169.95000000019</v>
      </c>
      <c r="P41" s="98">
        <f t="shared" si="68"/>
        <v>925169.95000000019</v>
      </c>
      <c r="Q41" s="98">
        <f>P41+66052.5</f>
        <v>991222.45000000019</v>
      </c>
      <c r="R41" s="98">
        <f t="shared" si="68"/>
        <v>991222.45000000019</v>
      </c>
      <c r="S41" s="98">
        <f t="shared" si="68"/>
        <v>991222.45000000019</v>
      </c>
      <c r="T41" s="98">
        <f t="shared" si="68"/>
        <v>991222.45000000019</v>
      </c>
      <c r="U41" s="98">
        <f>T41+842370.17-328738.72</f>
        <v>1504853.9000000001</v>
      </c>
      <c r="V41" s="98">
        <f t="shared" si="68"/>
        <v>1504853.9000000001</v>
      </c>
      <c r="W41" s="96">
        <f t="shared" si="68"/>
        <v>1504853.9000000001</v>
      </c>
      <c r="X41" s="195">
        <f>53177</f>
        <v>53177</v>
      </c>
      <c r="Y41" s="191">
        <v>2590702</v>
      </c>
      <c r="Z41" s="192">
        <v>89405</v>
      </c>
      <c r="AA41" s="99">
        <f t="shared" si="62"/>
        <v>-1085848.0999999999</v>
      </c>
      <c r="AB41" s="99">
        <f t="shared" si="63"/>
        <v>-36228</v>
      </c>
      <c r="AC41" s="98">
        <f>943650.67-26470</f>
        <v>917180.67</v>
      </c>
      <c r="AD41" s="98">
        <f>AC41+44035+235562.26</f>
        <v>1196777.9300000002</v>
      </c>
      <c r="AE41" s="98">
        <f>AD41</f>
        <v>1196777.9300000002</v>
      </c>
      <c r="AF41" s="96">
        <f t="shared" si="69"/>
        <v>1196777.9300000002</v>
      </c>
      <c r="AG41" s="96">
        <f>26470+11999</f>
        <v>38469</v>
      </c>
      <c r="AH41" s="89">
        <v>1570623</v>
      </c>
      <c r="AI41" s="91">
        <v>80731</v>
      </c>
      <c r="AJ41" s="92">
        <f t="shared" si="64"/>
        <v>-373845.06999999983</v>
      </c>
      <c r="AK41" s="92">
        <f t="shared" si="65"/>
        <v>-42262</v>
      </c>
      <c r="AL41" s="95">
        <f t="shared" si="56"/>
        <v>3991640.1700000004</v>
      </c>
      <c r="AM41" s="95">
        <f t="shared" si="57"/>
        <v>103608</v>
      </c>
      <c r="AN41"/>
      <c r="AO41" s="17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</row>
    <row r="42" spans="1:154" s="19" customFormat="1" ht="102" customHeight="1">
      <c r="A42" s="190" t="s">
        <v>86</v>
      </c>
      <c r="B42" s="190" t="s">
        <v>87</v>
      </c>
      <c r="C42" s="97">
        <v>21956827</v>
      </c>
      <c r="D42" s="97">
        <v>24158401.16</v>
      </c>
      <c r="E42" s="96">
        <v>16173482.869999999</v>
      </c>
      <c r="F42" s="191">
        <v>5331257</v>
      </c>
      <c r="G42" s="191">
        <v>7191</v>
      </c>
      <c r="H42" s="98">
        <f>5331257+865000</f>
        <v>6196257</v>
      </c>
      <c r="I42" s="98">
        <f>7191+3000</f>
        <v>10191</v>
      </c>
      <c r="J42" s="98">
        <f t="shared" si="52"/>
        <v>865000</v>
      </c>
      <c r="K42" s="98">
        <f t="shared" si="53"/>
        <v>3000</v>
      </c>
      <c r="L42" s="97">
        <v>0</v>
      </c>
      <c r="M42" s="98">
        <f t="shared" si="68"/>
        <v>0</v>
      </c>
      <c r="N42" s="98">
        <f t="shared" si="68"/>
        <v>0</v>
      </c>
      <c r="O42" s="98">
        <f>N42+454431.25-2500</f>
        <v>451931.25</v>
      </c>
      <c r="P42" s="98">
        <f t="shared" si="68"/>
        <v>451931.25</v>
      </c>
      <c r="Q42" s="98">
        <f t="shared" si="68"/>
        <v>451931.25</v>
      </c>
      <c r="R42" s="98">
        <f t="shared" si="68"/>
        <v>451931.25</v>
      </c>
      <c r="S42" s="98">
        <f>R42+549552.2</f>
        <v>1001483.45</v>
      </c>
      <c r="T42" s="98">
        <f t="shared" si="68"/>
        <v>1001483.45</v>
      </c>
      <c r="U42" s="98">
        <f t="shared" si="68"/>
        <v>1001483.45</v>
      </c>
      <c r="V42" s="98">
        <f t="shared" si="68"/>
        <v>1001483.45</v>
      </c>
      <c r="W42" s="98">
        <f t="shared" si="68"/>
        <v>1001483.45</v>
      </c>
      <c r="X42" s="99">
        <f>2500</f>
        <v>2500</v>
      </c>
      <c r="Y42" s="191">
        <v>2442706</v>
      </c>
      <c r="Z42" s="192">
        <v>1163</v>
      </c>
      <c r="AA42" s="99">
        <f t="shared" si="62"/>
        <v>-1441222.55</v>
      </c>
      <c r="AB42" s="99">
        <f t="shared" si="63"/>
        <v>1337</v>
      </c>
      <c r="AC42" s="98">
        <f>452425.25-1750+1292940.34</f>
        <v>1743615.59</v>
      </c>
      <c r="AD42" s="98">
        <f>AC42+347456.2+1292940.34</f>
        <v>3384012.13</v>
      </c>
      <c r="AE42" s="98">
        <f>AD42+1292940.35</f>
        <v>4676952.4800000004</v>
      </c>
      <c r="AF42" s="98">
        <f>AE42+1292940.36</f>
        <v>5969892.8400000008</v>
      </c>
      <c r="AG42" s="98">
        <f>1750+10000</f>
        <v>11750</v>
      </c>
      <c r="AH42" s="89">
        <v>1217504</v>
      </c>
      <c r="AI42" s="91">
        <v>1340</v>
      </c>
      <c r="AJ42" s="92">
        <f t="shared" si="64"/>
        <v>4752388.8400000008</v>
      </c>
      <c r="AK42" s="92">
        <f t="shared" si="65"/>
        <v>10410</v>
      </c>
      <c r="AL42" s="95">
        <f t="shared" si="56"/>
        <v>13167633.290000001</v>
      </c>
      <c r="AM42" s="95">
        <f t="shared" si="57"/>
        <v>24441</v>
      </c>
      <c r="AN42"/>
      <c r="AO42" s="17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</row>
    <row r="43" spans="1:154" s="19" customFormat="1" ht="93.75" outlineLevel="1">
      <c r="A43" s="190" t="s">
        <v>88</v>
      </c>
      <c r="B43" s="190" t="s">
        <v>89</v>
      </c>
      <c r="C43" s="97">
        <v>4203764</v>
      </c>
      <c r="D43" s="97">
        <v>4203764</v>
      </c>
      <c r="E43" s="96">
        <v>4146997.76</v>
      </c>
      <c r="F43" s="191">
        <v>0</v>
      </c>
      <c r="G43" s="191">
        <v>0</v>
      </c>
      <c r="H43" s="98"/>
      <c r="I43" s="98"/>
      <c r="J43" s="98">
        <f t="shared" si="52"/>
        <v>0</v>
      </c>
      <c r="K43" s="98">
        <f t="shared" si="53"/>
        <v>0</v>
      </c>
      <c r="L43" s="97">
        <v>0</v>
      </c>
      <c r="M43" s="98">
        <f t="shared" si="68"/>
        <v>0</v>
      </c>
      <c r="N43" s="98">
        <f t="shared" si="68"/>
        <v>0</v>
      </c>
      <c r="O43" s="98">
        <f t="shared" si="68"/>
        <v>0</v>
      </c>
      <c r="P43" s="98">
        <f t="shared" si="68"/>
        <v>0</v>
      </c>
      <c r="Q43" s="98">
        <f t="shared" si="68"/>
        <v>0</v>
      </c>
      <c r="R43" s="98">
        <f t="shared" si="68"/>
        <v>0</v>
      </c>
      <c r="S43" s="98">
        <f t="shared" si="68"/>
        <v>0</v>
      </c>
      <c r="T43" s="98">
        <f t="shared" si="68"/>
        <v>0</v>
      </c>
      <c r="U43" s="98">
        <f t="shared" si="68"/>
        <v>0</v>
      </c>
      <c r="V43" s="98">
        <f t="shared" si="68"/>
        <v>0</v>
      </c>
      <c r="W43" s="98">
        <f t="shared" si="68"/>
        <v>0</v>
      </c>
      <c r="X43" s="99">
        <v>0</v>
      </c>
      <c r="Y43" s="191">
        <v>0</v>
      </c>
      <c r="Z43" s="192">
        <v>0</v>
      </c>
      <c r="AA43" s="99">
        <f t="shared" si="62"/>
        <v>0</v>
      </c>
      <c r="AB43" s="99">
        <f t="shared" si="63"/>
        <v>0</v>
      </c>
      <c r="AC43" s="98">
        <v>0</v>
      </c>
      <c r="AD43" s="98">
        <f t="shared" ref="AD43:AF52" si="70">AC43</f>
        <v>0</v>
      </c>
      <c r="AE43" s="98">
        <f t="shared" si="70"/>
        <v>0</v>
      </c>
      <c r="AF43" s="98">
        <f t="shared" si="70"/>
        <v>0</v>
      </c>
      <c r="AG43" s="98">
        <v>0</v>
      </c>
      <c r="AH43" s="89">
        <v>0</v>
      </c>
      <c r="AI43" s="91">
        <v>0</v>
      </c>
      <c r="AJ43" s="92">
        <f t="shared" si="64"/>
        <v>0</v>
      </c>
      <c r="AK43" s="92">
        <f t="shared" si="65"/>
        <v>0</v>
      </c>
      <c r="AL43" s="95">
        <f t="shared" si="56"/>
        <v>0</v>
      </c>
      <c r="AM43" s="95">
        <f t="shared" si="57"/>
        <v>0</v>
      </c>
      <c r="AN43"/>
      <c r="AO43" s="17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</row>
    <row r="44" spans="1:154" s="19" customFormat="1" ht="115.5" customHeight="1" outlineLevel="1">
      <c r="A44" s="190" t="s">
        <v>90</v>
      </c>
      <c r="B44" s="190" t="s">
        <v>91</v>
      </c>
      <c r="C44" s="97">
        <v>9465542</v>
      </c>
      <c r="D44" s="97">
        <v>9112799.1300000008</v>
      </c>
      <c r="E44" s="96">
        <v>9112797.5500000007</v>
      </c>
      <c r="F44" s="191">
        <v>0</v>
      </c>
      <c r="G44" s="191">
        <v>0</v>
      </c>
      <c r="H44" s="98"/>
      <c r="I44" s="98"/>
      <c r="J44" s="98">
        <f t="shared" si="52"/>
        <v>0</v>
      </c>
      <c r="K44" s="98">
        <f t="shared" si="53"/>
        <v>0</v>
      </c>
      <c r="L44" s="97">
        <v>0</v>
      </c>
      <c r="M44" s="98">
        <f t="shared" si="68"/>
        <v>0</v>
      </c>
      <c r="N44" s="98">
        <f t="shared" si="68"/>
        <v>0</v>
      </c>
      <c r="O44" s="98">
        <f t="shared" si="68"/>
        <v>0</v>
      </c>
      <c r="P44" s="98">
        <f t="shared" si="68"/>
        <v>0</v>
      </c>
      <c r="Q44" s="98">
        <f t="shared" si="68"/>
        <v>0</v>
      </c>
      <c r="R44" s="98">
        <f t="shared" si="68"/>
        <v>0</v>
      </c>
      <c r="S44" s="98">
        <f t="shared" si="68"/>
        <v>0</v>
      </c>
      <c r="T44" s="98">
        <f t="shared" si="68"/>
        <v>0</v>
      </c>
      <c r="U44" s="98">
        <f t="shared" si="68"/>
        <v>0</v>
      </c>
      <c r="V44" s="98">
        <f t="shared" si="68"/>
        <v>0</v>
      </c>
      <c r="W44" s="98">
        <f t="shared" si="68"/>
        <v>0</v>
      </c>
      <c r="X44" s="99">
        <v>0</v>
      </c>
      <c r="Y44" s="191">
        <v>0</v>
      </c>
      <c r="Z44" s="192">
        <v>0</v>
      </c>
      <c r="AA44" s="99">
        <f t="shared" si="62"/>
        <v>0</v>
      </c>
      <c r="AB44" s="99">
        <f t="shared" si="63"/>
        <v>0</v>
      </c>
      <c r="AC44" s="98">
        <v>0</v>
      </c>
      <c r="AD44" s="98">
        <f t="shared" si="70"/>
        <v>0</v>
      </c>
      <c r="AE44" s="98">
        <f t="shared" si="70"/>
        <v>0</v>
      </c>
      <c r="AF44" s="98">
        <f t="shared" si="70"/>
        <v>0</v>
      </c>
      <c r="AG44" s="98">
        <v>0</v>
      </c>
      <c r="AH44" s="89">
        <v>0</v>
      </c>
      <c r="AI44" s="91">
        <v>0</v>
      </c>
      <c r="AJ44" s="92">
        <f t="shared" si="64"/>
        <v>0</v>
      </c>
      <c r="AK44" s="92">
        <f t="shared" si="65"/>
        <v>0</v>
      </c>
      <c r="AL44" s="95">
        <f t="shared" si="56"/>
        <v>0</v>
      </c>
      <c r="AM44" s="95">
        <f t="shared" si="57"/>
        <v>0</v>
      </c>
      <c r="AN44"/>
      <c r="AO44" s="17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</row>
    <row r="45" spans="1:154" s="19" customFormat="1" ht="114" customHeight="1">
      <c r="A45" s="190" t="s">
        <v>92</v>
      </c>
      <c r="B45" s="190" t="s">
        <v>93</v>
      </c>
      <c r="C45" s="97">
        <v>3334943</v>
      </c>
      <c r="D45" s="97">
        <v>3334943</v>
      </c>
      <c r="E45" s="96">
        <v>2066259.74</v>
      </c>
      <c r="F45" s="191">
        <v>597581</v>
      </c>
      <c r="G45" s="191">
        <v>27967</v>
      </c>
      <c r="H45" s="98">
        <f>597581+247266.27</f>
        <v>844847.27</v>
      </c>
      <c r="I45" s="98">
        <f>27967-13942</f>
        <v>14025</v>
      </c>
      <c r="J45" s="98">
        <f t="shared" si="52"/>
        <v>247266.27000000002</v>
      </c>
      <c r="K45" s="98">
        <f t="shared" si="53"/>
        <v>-13942</v>
      </c>
      <c r="L45" s="97">
        <v>0</v>
      </c>
      <c r="M45" s="98">
        <f t="shared" si="68"/>
        <v>0</v>
      </c>
      <c r="N45" s="98">
        <f>433699.03-7199-64575.53</f>
        <v>361924.5</v>
      </c>
      <c r="O45" s="98">
        <f t="shared" si="68"/>
        <v>361924.5</v>
      </c>
      <c r="P45" s="98">
        <f t="shared" si="68"/>
        <v>361924.5</v>
      </c>
      <c r="Q45" s="98">
        <f t="shared" si="68"/>
        <v>361924.5</v>
      </c>
      <c r="R45" s="98">
        <f t="shared" si="68"/>
        <v>361924.5</v>
      </c>
      <c r="S45" s="98">
        <f t="shared" si="68"/>
        <v>361924.5</v>
      </c>
      <c r="T45" s="98">
        <f t="shared" si="68"/>
        <v>361924.5</v>
      </c>
      <c r="U45" s="98">
        <f t="shared" si="68"/>
        <v>361924.5</v>
      </c>
      <c r="V45" s="98">
        <f t="shared" si="68"/>
        <v>361924.5</v>
      </c>
      <c r="W45" s="98">
        <f t="shared" si="68"/>
        <v>361924.5</v>
      </c>
      <c r="X45" s="99">
        <f>7199</f>
        <v>7199</v>
      </c>
      <c r="Y45" s="191">
        <v>609103</v>
      </c>
      <c r="Z45" s="192">
        <f>7763+2334</f>
        <v>10097</v>
      </c>
      <c r="AA45" s="99">
        <f t="shared" si="62"/>
        <v>-247178.5</v>
      </c>
      <c r="AB45" s="99">
        <f t="shared" si="63"/>
        <v>-2898</v>
      </c>
      <c r="AC45" s="98">
        <v>0</v>
      </c>
      <c r="AD45" s="98">
        <f t="shared" si="70"/>
        <v>0</v>
      </c>
      <c r="AE45" s="98">
        <f t="shared" si="70"/>
        <v>0</v>
      </c>
      <c r="AF45" s="98">
        <f t="shared" si="70"/>
        <v>0</v>
      </c>
      <c r="AG45" s="98">
        <v>0</v>
      </c>
      <c r="AH45" s="89">
        <v>0</v>
      </c>
      <c r="AI45" s="91">
        <v>0</v>
      </c>
      <c r="AJ45" s="92">
        <f t="shared" si="64"/>
        <v>0</v>
      </c>
      <c r="AK45" s="92">
        <f t="shared" si="65"/>
        <v>0</v>
      </c>
      <c r="AL45" s="95">
        <f t="shared" si="56"/>
        <v>1206771.77</v>
      </c>
      <c r="AM45" s="95">
        <f t="shared" si="57"/>
        <v>21224</v>
      </c>
      <c r="AN45"/>
      <c r="AO45" s="17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</row>
    <row r="46" spans="1:154" s="19" customFormat="1" ht="93.75" outlineLevel="1">
      <c r="A46" s="190" t="s">
        <v>94</v>
      </c>
      <c r="B46" s="190" t="s">
        <v>95</v>
      </c>
      <c r="C46" s="97">
        <v>0</v>
      </c>
      <c r="D46" s="97">
        <v>0</v>
      </c>
      <c r="E46" s="96">
        <v>0</v>
      </c>
      <c r="F46" s="191">
        <v>0</v>
      </c>
      <c r="G46" s="191"/>
      <c r="H46" s="98"/>
      <c r="I46" s="98"/>
      <c r="J46" s="98">
        <f t="shared" si="52"/>
        <v>0</v>
      </c>
      <c r="K46" s="98">
        <f t="shared" si="53"/>
        <v>0</v>
      </c>
      <c r="L46" s="97">
        <v>0</v>
      </c>
      <c r="M46" s="98">
        <f t="shared" si="68"/>
        <v>0</v>
      </c>
      <c r="N46" s="98">
        <f t="shared" si="68"/>
        <v>0</v>
      </c>
      <c r="O46" s="98">
        <f t="shared" si="68"/>
        <v>0</v>
      </c>
      <c r="P46" s="98">
        <f t="shared" si="68"/>
        <v>0</v>
      </c>
      <c r="Q46" s="98">
        <f t="shared" si="68"/>
        <v>0</v>
      </c>
      <c r="R46" s="98">
        <f t="shared" si="68"/>
        <v>0</v>
      </c>
      <c r="S46" s="98">
        <f t="shared" si="68"/>
        <v>0</v>
      </c>
      <c r="T46" s="98">
        <f t="shared" si="68"/>
        <v>0</v>
      </c>
      <c r="U46" s="98">
        <f t="shared" si="68"/>
        <v>0</v>
      </c>
      <c r="V46" s="98">
        <f t="shared" si="68"/>
        <v>0</v>
      </c>
      <c r="W46" s="98">
        <f t="shared" si="68"/>
        <v>0</v>
      </c>
      <c r="X46" s="99">
        <v>0</v>
      </c>
      <c r="Y46" s="191">
        <v>0</v>
      </c>
      <c r="Z46" s="192"/>
      <c r="AA46" s="99">
        <f t="shared" si="62"/>
        <v>0</v>
      </c>
      <c r="AB46" s="99">
        <f t="shared" si="63"/>
        <v>0</v>
      </c>
      <c r="AC46" s="98">
        <v>0</v>
      </c>
      <c r="AD46" s="98">
        <f t="shared" si="70"/>
        <v>0</v>
      </c>
      <c r="AE46" s="98">
        <f t="shared" si="70"/>
        <v>0</v>
      </c>
      <c r="AF46" s="98">
        <f t="shared" si="70"/>
        <v>0</v>
      </c>
      <c r="AG46" s="98">
        <v>0</v>
      </c>
      <c r="AH46" s="89">
        <v>0</v>
      </c>
      <c r="AI46" s="91"/>
      <c r="AJ46" s="92">
        <f t="shared" si="64"/>
        <v>0</v>
      </c>
      <c r="AK46" s="92">
        <f t="shared" si="65"/>
        <v>0</v>
      </c>
      <c r="AL46" s="95">
        <f t="shared" si="56"/>
        <v>0</v>
      </c>
      <c r="AM46" s="95">
        <f t="shared" si="57"/>
        <v>0</v>
      </c>
      <c r="AN46"/>
      <c r="AO46" s="17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</row>
    <row r="47" spans="1:154" s="19" customFormat="1" ht="64.5" customHeight="1" outlineLevel="1">
      <c r="A47" s="190" t="s">
        <v>96</v>
      </c>
      <c r="B47" s="190" t="s">
        <v>97</v>
      </c>
      <c r="C47" s="97">
        <v>0</v>
      </c>
      <c r="D47" s="97">
        <v>0</v>
      </c>
      <c r="E47" s="96">
        <v>0</v>
      </c>
      <c r="F47" s="191">
        <v>0</v>
      </c>
      <c r="G47" s="191"/>
      <c r="H47" s="98"/>
      <c r="I47" s="98"/>
      <c r="J47" s="98">
        <f t="shared" si="52"/>
        <v>0</v>
      </c>
      <c r="K47" s="98">
        <f t="shared" si="53"/>
        <v>0</v>
      </c>
      <c r="L47" s="97">
        <v>0</v>
      </c>
      <c r="M47" s="98">
        <f t="shared" si="68"/>
        <v>0</v>
      </c>
      <c r="N47" s="98">
        <f t="shared" si="68"/>
        <v>0</v>
      </c>
      <c r="O47" s="98">
        <f t="shared" si="68"/>
        <v>0</v>
      </c>
      <c r="P47" s="98">
        <f t="shared" si="68"/>
        <v>0</v>
      </c>
      <c r="Q47" s="98">
        <f t="shared" si="68"/>
        <v>0</v>
      </c>
      <c r="R47" s="98">
        <f t="shared" si="68"/>
        <v>0</v>
      </c>
      <c r="S47" s="98">
        <f t="shared" si="68"/>
        <v>0</v>
      </c>
      <c r="T47" s="98">
        <f t="shared" si="68"/>
        <v>0</v>
      </c>
      <c r="U47" s="98">
        <f t="shared" si="68"/>
        <v>0</v>
      </c>
      <c r="V47" s="98">
        <f t="shared" si="68"/>
        <v>0</v>
      </c>
      <c r="W47" s="98">
        <f t="shared" si="68"/>
        <v>0</v>
      </c>
      <c r="X47" s="99">
        <v>0</v>
      </c>
      <c r="Y47" s="191">
        <v>0</v>
      </c>
      <c r="Z47" s="192"/>
      <c r="AA47" s="99">
        <f t="shared" si="62"/>
        <v>0</v>
      </c>
      <c r="AB47" s="99">
        <f t="shared" si="63"/>
        <v>0</v>
      </c>
      <c r="AC47" s="98">
        <v>0</v>
      </c>
      <c r="AD47" s="98">
        <f t="shared" si="70"/>
        <v>0</v>
      </c>
      <c r="AE47" s="98">
        <f t="shared" si="70"/>
        <v>0</v>
      </c>
      <c r="AF47" s="98">
        <f t="shared" si="70"/>
        <v>0</v>
      </c>
      <c r="AG47" s="98">
        <v>0</v>
      </c>
      <c r="AH47" s="89">
        <v>0</v>
      </c>
      <c r="AI47" s="91"/>
      <c r="AJ47" s="92">
        <f t="shared" si="64"/>
        <v>0</v>
      </c>
      <c r="AK47" s="92">
        <f t="shared" si="65"/>
        <v>0</v>
      </c>
      <c r="AL47" s="95">
        <f t="shared" si="56"/>
        <v>0</v>
      </c>
      <c r="AM47" s="95">
        <f t="shared" si="57"/>
        <v>0</v>
      </c>
      <c r="AN47"/>
      <c r="AO47" s="1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</row>
    <row r="48" spans="1:154" s="19" customFormat="1" ht="126.75" customHeight="1">
      <c r="A48" s="190" t="s">
        <v>98</v>
      </c>
      <c r="B48" s="190" t="s">
        <v>99</v>
      </c>
      <c r="C48" s="97">
        <v>16956067.876044001</v>
      </c>
      <c r="D48" s="97">
        <v>16956067.876044001</v>
      </c>
      <c r="E48" s="96">
        <v>16908052.149999999</v>
      </c>
      <c r="F48" s="191">
        <v>2780</v>
      </c>
      <c r="G48" s="191">
        <v>0</v>
      </c>
      <c r="H48" s="98">
        <f>5845.95</f>
        <v>5845.95</v>
      </c>
      <c r="I48" s="98">
        <f>15099.43-290.7</f>
        <v>14808.73</v>
      </c>
      <c r="J48" s="98">
        <f t="shared" si="52"/>
        <v>3065.95</v>
      </c>
      <c r="K48" s="98">
        <f t="shared" si="53"/>
        <v>14808.73</v>
      </c>
      <c r="L48" s="97">
        <v>0</v>
      </c>
      <c r="M48" s="98">
        <f t="shared" si="68"/>
        <v>0</v>
      </c>
      <c r="N48" s="98">
        <f t="shared" si="68"/>
        <v>0</v>
      </c>
      <c r="O48" s="98">
        <f t="shared" si="68"/>
        <v>0</v>
      </c>
      <c r="P48" s="98">
        <f t="shared" si="68"/>
        <v>0</v>
      </c>
      <c r="Q48" s="98">
        <f t="shared" si="68"/>
        <v>0</v>
      </c>
      <c r="R48" s="98">
        <f t="shared" si="68"/>
        <v>0</v>
      </c>
      <c r="S48" s="98">
        <f t="shared" si="68"/>
        <v>0</v>
      </c>
      <c r="T48" s="98">
        <f t="shared" si="68"/>
        <v>0</v>
      </c>
      <c r="U48" s="98">
        <f t="shared" si="68"/>
        <v>0</v>
      </c>
      <c r="V48" s="98">
        <f t="shared" si="68"/>
        <v>0</v>
      </c>
      <c r="W48" s="98">
        <f t="shared" si="68"/>
        <v>0</v>
      </c>
      <c r="X48" s="99">
        <v>0</v>
      </c>
      <c r="Y48" s="191">
        <v>0</v>
      </c>
      <c r="Z48" s="192">
        <v>0</v>
      </c>
      <c r="AA48" s="99">
        <f t="shared" si="62"/>
        <v>0</v>
      </c>
      <c r="AB48" s="99">
        <f t="shared" si="63"/>
        <v>0</v>
      </c>
      <c r="AC48" s="98">
        <v>0</v>
      </c>
      <c r="AD48" s="98">
        <f t="shared" si="70"/>
        <v>0</v>
      </c>
      <c r="AE48" s="98">
        <f t="shared" si="70"/>
        <v>0</v>
      </c>
      <c r="AF48" s="98">
        <f t="shared" si="70"/>
        <v>0</v>
      </c>
      <c r="AG48" s="98">
        <v>0</v>
      </c>
      <c r="AH48" s="89">
        <v>0</v>
      </c>
      <c r="AI48" s="91">
        <v>0</v>
      </c>
      <c r="AJ48" s="92">
        <f t="shared" si="64"/>
        <v>0</v>
      </c>
      <c r="AK48" s="92">
        <f t="shared" si="65"/>
        <v>0</v>
      </c>
      <c r="AL48" s="95">
        <f t="shared" si="56"/>
        <v>5845.95</v>
      </c>
      <c r="AM48" s="95">
        <f t="shared" si="57"/>
        <v>14808.73</v>
      </c>
      <c r="AN48"/>
      <c r="AO48" s="17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</row>
    <row r="49" spans="1:154" s="19" customFormat="1" ht="56.25">
      <c r="A49" s="190" t="s">
        <v>100</v>
      </c>
      <c r="B49" s="190" t="s">
        <v>101</v>
      </c>
      <c r="C49" s="97">
        <v>0</v>
      </c>
      <c r="D49" s="97">
        <v>0</v>
      </c>
      <c r="E49" s="96">
        <v>0</v>
      </c>
      <c r="F49" s="191">
        <v>0</v>
      </c>
      <c r="G49" s="191">
        <v>0</v>
      </c>
      <c r="H49" s="98"/>
      <c r="I49" s="98"/>
      <c r="J49" s="98">
        <f t="shared" si="52"/>
        <v>0</v>
      </c>
      <c r="K49" s="98">
        <f t="shared" si="53"/>
        <v>0</v>
      </c>
      <c r="L49" s="97">
        <v>0</v>
      </c>
      <c r="M49" s="98">
        <f t="shared" si="68"/>
        <v>0</v>
      </c>
      <c r="N49" s="98">
        <f t="shared" si="68"/>
        <v>0</v>
      </c>
      <c r="O49" s="98">
        <f t="shared" si="68"/>
        <v>0</v>
      </c>
      <c r="P49" s="98">
        <f t="shared" si="68"/>
        <v>0</v>
      </c>
      <c r="Q49" s="98">
        <f t="shared" si="68"/>
        <v>0</v>
      </c>
      <c r="R49" s="98">
        <f t="shared" si="68"/>
        <v>0</v>
      </c>
      <c r="S49" s="98">
        <f t="shared" si="68"/>
        <v>0</v>
      </c>
      <c r="T49" s="98">
        <f t="shared" si="68"/>
        <v>0</v>
      </c>
      <c r="U49" s="98">
        <f t="shared" si="68"/>
        <v>0</v>
      </c>
      <c r="V49" s="98">
        <f t="shared" si="68"/>
        <v>0</v>
      </c>
      <c r="W49" s="98">
        <f t="shared" si="68"/>
        <v>0</v>
      </c>
      <c r="X49" s="99">
        <v>0</v>
      </c>
      <c r="Y49" s="191">
        <v>593754</v>
      </c>
      <c r="Z49" s="192">
        <v>0</v>
      </c>
      <c r="AA49" s="99">
        <f t="shared" si="62"/>
        <v>-593754</v>
      </c>
      <c r="AB49" s="99">
        <f t="shared" si="63"/>
        <v>0</v>
      </c>
      <c r="AC49" s="98">
        <v>0</v>
      </c>
      <c r="AD49" s="98">
        <f t="shared" si="70"/>
        <v>0</v>
      </c>
      <c r="AE49" s="98">
        <f t="shared" si="70"/>
        <v>0</v>
      </c>
      <c r="AF49" s="98">
        <f t="shared" si="70"/>
        <v>0</v>
      </c>
      <c r="AG49" s="98">
        <v>0</v>
      </c>
      <c r="AH49" s="89">
        <v>1187507</v>
      </c>
      <c r="AI49" s="91">
        <v>0</v>
      </c>
      <c r="AJ49" s="92">
        <f t="shared" si="64"/>
        <v>-1187507</v>
      </c>
      <c r="AK49" s="92">
        <f t="shared" si="65"/>
        <v>0</v>
      </c>
      <c r="AL49" s="95">
        <f t="shared" si="56"/>
        <v>0</v>
      </c>
      <c r="AM49" s="95">
        <f t="shared" si="57"/>
        <v>0</v>
      </c>
      <c r="AN49"/>
      <c r="AO49" s="17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</row>
    <row r="50" spans="1:154" s="19" customFormat="1" ht="93.75" outlineLevel="1">
      <c r="A50" s="190" t="s">
        <v>102</v>
      </c>
      <c r="B50" s="190" t="s">
        <v>103</v>
      </c>
      <c r="C50" s="97">
        <v>0</v>
      </c>
      <c r="D50" s="97">
        <v>0</v>
      </c>
      <c r="E50" s="96">
        <v>0</v>
      </c>
      <c r="F50" s="191">
        <v>0</v>
      </c>
      <c r="G50" s="191"/>
      <c r="H50" s="98"/>
      <c r="I50" s="98"/>
      <c r="J50" s="98">
        <f t="shared" si="52"/>
        <v>0</v>
      </c>
      <c r="K50" s="98">
        <f t="shared" si="53"/>
        <v>0</v>
      </c>
      <c r="L50" s="97">
        <v>0</v>
      </c>
      <c r="M50" s="98">
        <f t="shared" si="68"/>
        <v>0</v>
      </c>
      <c r="N50" s="98">
        <f t="shared" si="68"/>
        <v>0</v>
      </c>
      <c r="O50" s="98">
        <f t="shared" si="68"/>
        <v>0</v>
      </c>
      <c r="P50" s="98">
        <f t="shared" si="68"/>
        <v>0</v>
      </c>
      <c r="Q50" s="98">
        <f t="shared" si="68"/>
        <v>0</v>
      </c>
      <c r="R50" s="98">
        <f t="shared" si="68"/>
        <v>0</v>
      </c>
      <c r="S50" s="98">
        <f t="shared" si="68"/>
        <v>0</v>
      </c>
      <c r="T50" s="98">
        <f t="shared" si="68"/>
        <v>0</v>
      </c>
      <c r="U50" s="98">
        <f t="shared" si="68"/>
        <v>0</v>
      </c>
      <c r="V50" s="98">
        <f t="shared" si="68"/>
        <v>0</v>
      </c>
      <c r="W50" s="98">
        <f t="shared" si="68"/>
        <v>0</v>
      </c>
      <c r="X50" s="99">
        <v>0</v>
      </c>
      <c r="Y50" s="191">
        <v>0</v>
      </c>
      <c r="Z50" s="192"/>
      <c r="AA50" s="99">
        <f t="shared" si="62"/>
        <v>0</v>
      </c>
      <c r="AB50" s="99">
        <f t="shared" si="63"/>
        <v>0</v>
      </c>
      <c r="AC50" s="98">
        <v>0</v>
      </c>
      <c r="AD50" s="98">
        <f t="shared" si="70"/>
        <v>0</v>
      </c>
      <c r="AE50" s="98">
        <f t="shared" si="70"/>
        <v>0</v>
      </c>
      <c r="AF50" s="98">
        <f t="shared" si="70"/>
        <v>0</v>
      </c>
      <c r="AG50" s="98">
        <v>0</v>
      </c>
      <c r="AH50" s="89">
        <v>0</v>
      </c>
      <c r="AI50" s="91"/>
      <c r="AJ50" s="92">
        <f t="shared" si="64"/>
        <v>0</v>
      </c>
      <c r="AK50" s="92">
        <f t="shared" si="65"/>
        <v>0</v>
      </c>
      <c r="AL50" s="95">
        <f t="shared" si="56"/>
        <v>0</v>
      </c>
      <c r="AM50" s="95">
        <f t="shared" si="57"/>
        <v>0</v>
      </c>
      <c r="AN50"/>
      <c r="AO50" s="17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</row>
    <row r="51" spans="1:154" s="19" customFormat="1" ht="75" outlineLevel="1">
      <c r="A51" s="190" t="s">
        <v>104</v>
      </c>
      <c r="B51" s="190" t="s">
        <v>105</v>
      </c>
      <c r="C51" s="97">
        <v>0</v>
      </c>
      <c r="D51" s="97">
        <v>0</v>
      </c>
      <c r="E51" s="96">
        <v>0</v>
      </c>
      <c r="F51" s="191">
        <v>0</v>
      </c>
      <c r="G51" s="191"/>
      <c r="H51" s="98"/>
      <c r="I51" s="98"/>
      <c r="J51" s="98">
        <f t="shared" si="52"/>
        <v>0</v>
      </c>
      <c r="K51" s="98">
        <f t="shared" si="53"/>
        <v>0</v>
      </c>
      <c r="L51" s="97">
        <v>0</v>
      </c>
      <c r="M51" s="98">
        <f t="shared" si="68"/>
        <v>0</v>
      </c>
      <c r="N51" s="98">
        <f t="shared" si="68"/>
        <v>0</v>
      </c>
      <c r="O51" s="98">
        <f t="shared" si="68"/>
        <v>0</v>
      </c>
      <c r="P51" s="98">
        <f t="shared" si="68"/>
        <v>0</v>
      </c>
      <c r="Q51" s="98">
        <f t="shared" si="68"/>
        <v>0</v>
      </c>
      <c r="R51" s="98">
        <f t="shared" si="68"/>
        <v>0</v>
      </c>
      <c r="S51" s="98">
        <f t="shared" si="68"/>
        <v>0</v>
      </c>
      <c r="T51" s="98">
        <f t="shared" si="68"/>
        <v>0</v>
      </c>
      <c r="U51" s="98">
        <f t="shared" si="68"/>
        <v>0</v>
      </c>
      <c r="V51" s="98">
        <f t="shared" si="68"/>
        <v>0</v>
      </c>
      <c r="W51" s="98">
        <f t="shared" si="68"/>
        <v>0</v>
      </c>
      <c r="X51" s="99">
        <v>0</v>
      </c>
      <c r="Y51" s="191">
        <v>0</v>
      </c>
      <c r="Z51" s="192"/>
      <c r="AA51" s="99">
        <f t="shared" si="62"/>
        <v>0</v>
      </c>
      <c r="AB51" s="99">
        <f t="shared" si="63"/>
        <v>0</v>
      </c>
      <c r="AC51" s="98">
        <v>0</v>
      </c>
      <c r="AD51" s="98">
        <f t="shared" si="70"/>
        <v>0</v>
      </c>
      <c r="AE51" s="98">
        <f t="shared" si="70"/>
        <v>0</v>
      </c>
      <c r="AF51" s="98">
        <f t="shared" si="70"/>
        <v>0</v>
      </c>
      <c r="AG51" s="98">
        <v>0</v>
      </c>
      <c r="AH51" s="89">
        <v>0</v>
      </c>
      <c r="AI51" s="91"/>
      <c r="AJ51" s="92">
        <f t="shared" si="64"/>
        <v>0</v>
      </c>
      <c r="AK51" s="92">
        <f t="shared" si="65"/>
        <v>0</v>
      </c>
      <c r="AL51" s="95">
        <f t="shared" si="56"/>
        <v>0</v>
      </c>
      <c r="AM51" s="95">
        <f t="shared" si="57"/>
        <v>0</v>
      </c>
      <c r="AN51"/>
      <c r="AO51" s="17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</row>
    <row r="52" spans="1:154" s="19" customFormat="1" ht="60.75" customHeight="1">
      <c r="A52" s="190" t="s">
        <v>106</v>
      </c>
      <c r="B52" s="190" t="s">
        <v>107</v>
      </c>
      <c r="C52" s="97">
        <v>973356.13064400002</v>
      </c>
      <c r="D52" s="97">
        <v>973356.13064400002</v>
      </c>
      <c r="E52" s="96">
        <v>323046.01</v>
      </c>
      <c r="F52" s="191">
        <v>179255</v>
      </c>
      <c r="G52" s="191">
        <v>852</v>
      </c>
      <c r="H52" s="98">
        <v>219292.48</v>
      </c>
      <c r="I52" s="98">
        <v>852</v>
      </c>
      <c r="J52" s="98">
        <f t="shared" si="52"/>
        <v>40037.48000000001</v>
      </c>
      <c r="K52" s="98">
        <f t="shared" si="53"/>
        <v>0</v>
      </c>
      <c r="L52" s="97">
        <v>0</v>
      </c>
      <c r="M52" s="98">
        <f t="shared" si="68"/>
        <v>0</v>
      </c>
      <c r="N52" s="98">
        <f t="shared" si="68"/>
        <v>0</v>
      </c>
      <c r="O52" s="98">
        <f t="shared" si="68"/>
        <v>0</v>
      </c>
      <c r="P52" s="98">
        <f>O52+66246-271.51</f>
        <v>65974.490000000005</v>
      </c>
      <c r="Q52" s="98">
        <f t="shared" si="68"/>
        <v>65974.490000000005</v>
      </c>
      <c r="R52" s="98">
        <f t="shared" si="68"/>
        <v>65974.490000000005</v>
      </c>
      <c r="S52" s="98">
        <f t="shared" si="68"/>
        <v>65974.490000000005</v>
      </c>
      <c r="T52" s="98">
        <f t="shared" si="68"/>
        <v>65974.490000000005</v>
      </c>
      <c r="U52" s="98">
        <f t="shared" si="68"/>
        <v>65974.490000000005</v>
      </c>
      <c r="V52" s="98">
        <f>U52+142610</f>
        <v>208584.49</v>
      </c>
      <c r="W52" s="98">
        <f t="shared" si="68"/>
        <v>208584.49</v>
      </c>
      <c r="X52" s="99">
        <v>271.51</v>
      </c>
      <c r="Y52" s="191">
        <v>230686</v>
      </c>
      <c r="Z52" s="192">
        <v>710</v>
      </c>
      <c r="AA52" s="99">
        <f t="shared" si="62"/>
        <v>-22101.510000000009</v>
      </c>
      <c r="AB52" s="99">
        <f t="shared" si="63"/>
        <v>-438.49</v>
      </c>
      <c r="AC52" s="98">
        <v>0</v>
      </c>
      <c r="AD52" s="98">
        <f>AC52+90967-118.26+128943.67</f>
        <v>219792.41</v>
      </c>
      <c r="AE52" s="98">
        <f t="shared" si="70"/>
        <v>219792.41</v>
      </c>
      <c r="AF52" s="98">
        <f t="shared" si="70"/>
        <v>219792.41</v>
      </c>
      <c r="AG52" s="98">
        <f>118.26+167.84</f>
        <v>286.10000000000002</v>
      </c>
      <c r="AH52" s="89">
        <v>237902</v>
      </c>
      <c r="AI52" s="91">
        <v>905</v>
      </c>
      <c r="AJ52" s="92">
        <f t="shared" si="64"/>
        <v>-18109.589999999997</v>
      </c>
      <c r="AK52" s="92">
        <f t="shared" si="65"/>
        <v>-618.9</v>
      </c>
      <c r="AL52" s="95">
        <f t="shared" si="56"/>
        <v>647669.38</v>
      </c>
      <c r="AM52" s="95">
        <f t="shared" si="57"/>
        <v>1409.6100000000001</v>
      </c>
      <c r="AN52"/>
      <c r="AO52" s="17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</row>
    <row r="53" spans="1:154" s="19" customFormat="1" ht="131.25">
      <c r="A53" s="190" t="s">
        <v>108</v>
      </c>
      <c r="B53" s="190" t="s">
        <v>109</v>
      </c>
      <c r="C53" s="97">
        <v>3584300</v>
      </c>
      <c r="D53" s="97">
        <v>3584300</v>
      </c>
      <c r="E53" s="96">
        <v>1404468.8</v>
      </c>
      <c r="F53" s="191">
        <v>1170394</v>
      </c>
      <c r="G53" s="191">
        <v>10364</v>
      </c>
      <c r="H53" s="98">
        <f>1655796.23+1573.91-9350</f>
        <v>1648020.14</v>
      </c>
      <c r="I53" s="98">
        <v>10364</v>
      </c>
      <c r="J53" s="98">
        <f t="shared" si="52"/>
        <v>477626.1399999999</v>
      </c>
      <c r="K53" s="98">
        <f t="shared" si="53"/>
        <v>0</v>
      </c>
      <c r="L53" s="97">
        <v>0</v>
      </c>
      <c r="M53" s="98">
        <f t="shared" ref="M53:W54" si="71">L53</f>
        <v>0</v>
      </c>
      <c r="N53" s="98">
        <f>M53+504019.06-2159</f>
        <v>501860.06</v>
      </c>
      <c r="O53" s="98">
        <f t="shared" si="71"/>
        <v>501860.06</v>
      </c>
      <c r="P53" s="98">
        <f t="shared" si="71"/>
        <v>501860.06</v>
      </c>
      <c r="Q53" s="98">
        <f t="shared" si="71"/>
        <v>501860.06</v>
      </c>
      <c r="R53" s="98">
        <f t="shared" si="71"/>
        <v>501860.06</v>
      </c>
      <c r="S53" s="98">
        <f t="shared" si="71"/>
        <v>501860.06</v>
      </c>
      <c r="T53" s="98">
        <f t="shared" si="71"/>
        <v>501860.06</v>
      </c>
      <c r="U53" s="98">
        <f t="shared" si="71"/>
        <v>501860.06</v>
      </c>
      <c r="V53" s="98">
        <f t="shared" si="71"/>
        <v>501860.06</v>
      </c>
      <c r="W53" s="98">
        <f t="shared" si="71"/>
        <v>501860.06</v>
      </c>
      <c r="X53" s="99">
        <f>2159</f>
        <v>2159</v>
      </c>
      <c r="Y53" s="191">
        <v>991732</v>
      </c>
      <c r="Z53" s="192">
        <v>3085</v>
      </c>
      <c r="AA53" s="99">
        <f t="shared" si="62"/>
        <v>-489871.94</v>
      </c>
      <c r="AB53" s="99">
        <f t="shared" si="63"/>
        <v>-926</v>
      </c>
      <c r="AC53" s="98">
        <v>0</v>
      </c>
      <c r="AD53" s="98">
        <f t="shared" ref="AD53:AF54" si="72">AC53</f>
        <v>0</v>
      </c>
      <c r="AE53" s="98">
        <f t="shared" si="72"/>
        <v>0</v>
      </c>
      <c r="AF53" s="98">
        <f t="shared" si="72"/>
        <v>0</v>
      </c>
      <c r="AG53" s="98">
        <v>0</v>
      </c>
      <c r="AH53" s="89">
        <v>0</v>
      </c>
      <c r="AI53" s="91">
        <v>0</v>
      </c>
      <c r="AJ53" s="92">
        <f t="shared" si="64"/>
        <v>0</v>
      </c>
      <c r="AK53" s="92">
        <f t="shared" si="65"/>
        <v>0</v>
      </c>
      <c r="AL53" s="95">
        <f t="shared" si="56"/>
        <v>2149880.1999999997</v>
      </c>
      <c r="AM53" s="95">
        <f t="shared" si="57"/>
        <v>12523</v>
      </c>
      <c r="AN53"/>
      <c r="AO53" s="17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</row>
    <row r="54" spans="1:154" s="19" customFormat="1" ht="93.75">
      <c r="A54" s="190" t="s">
        <v>110</v>
      </c>
      <c r="B54" s="190" t="s">
        <v>111</v>
      </c>
      <c r="C54" s="97">
        <v>5904793</v>
      </c>
      <c r="D54" s="97">
        <v>5712240.5099999998</v>
      </c>
      <c r="E54" s="98">
        <v>4587641.03</v>
      </c>
      <c r="F54" s="191">
        <v>602047</v>
      </c>
      <c r="G54" s="191">
        <v>61344</v>
      </c>
      <c r="H54" s="98">
        <v>795903.63</v>
      </c>
      <c r="I54" s="98">
        <v>61344</v>
      </c>
      <c r="J54" s="98">
        <f t="shared" si="52"/>
        <v>193856.63</v>
      </c>
      <c r="K54" s="98">
        <f t="shared" si="53"/>
        <v>0</v>
      </c>
      <c r="L54" s="97">
        <v>0</v>
      </c>
      <c r="M54" s="98">
        <f t="shared" si="71"/>
        <v>0</v>
      </c>
      <c r="N54" s="98">
        <f>M54+10832.04</f>
        <v>10832.04</v>
      </c>
      <c r="O54" s="98">
        <f>N54+174931.98-9297-20000</f>
        <v>156467.02000000002</v>
      </c>
      <c r="P54" s="98">
        <f>O54+10996.92</f>
        <v>167463.94000000003</v>
      </c>
      <c r="Q54" s="98">
        <f t="shared" si="71"/>
        <v>167463.94000000003</v>
      </c>
      <c r="R54" s="98">
        <f t="shared" si="71"/>
        <v>167463.94000000003</v>
      </c>
      <c r="S54" s="98">
        <f t="shared" si="71"/>
        <v>167463.94000000003</v>
      </c>
      <c r="T54" s="98">
        <f t="shared" si="71"/>
        <v>167463.94000000003</v>
      </c>
      <c r="U54" s="98">
        <f t="shared" si="71"/>
        <v>167463.94000000003</v>
      </c>
      <c r="V54" s="98">
        <f t="shared" si="71"/>
        <v>167463.94000000003</v>
      </c>
      <c r="W54" s="96">
        <f t="shared" si="71"/>
        <v>167463.94000000003</v>
      </c>
      <c r="X54" s="99">
        <f>9297+20000</f>
        <v>29297</v>
      </c>
      <c r="Y54" s="191">
        <v>381831</v>
      </c>
      <c r="Z54" s="192">
        <v>13340</v>
      </c>
      <c r="AA54" s="99">
        <f t="shared" si="62"/>
        <v>-214367.05999999997</v>
      </c>
      <c r="AB54" s="99">
        <f t="shared" si="63"/>
        <v>15957</v>
      </c>
      <c r="AC54" s="98">
        <v>0</v>
      </c>
      <c r="AD54" s="98">
        <f t="shared" si="72"/>
        <v>0</v>
      </c>
      <c r="AE54" s="98">
        <f t="shared" si="72"/>
        <v>0</v>
      </c>
      <c r="AF54" s="98">
        <f t="shared" si="72"/>
        <v>0</v>
      </c>
      <c r="AG54" s="98">
        <v>0</v>
      </c>
      <c r="AH54" s="89">
        <v>0</v>
      </c>
      <c r="AI54" s="91">
        <v>0</v>
      </c>
      <c r="AJ54" s="92">
        <f t="shared" si="64"/>
        <v>0</v>
      </c>
      <c r="AK54" s="92">
        <f t="shared" si="65"/>
        <v>0</v>
      </c>
      <c r="AL54" s="47">
        <f t="shared" si="56"/>
        <v>963367.57000000007</v>
      </c>
      <c r="AM54" s="95">
        <f t="shared" si="57"/>
        <v>90641</v>
      </c>
      <c r="AN54"/>
      <c r="AO54" s="17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</row>
    <row r="55" spans="1:154" s="18" customFormat="1" ht="19.5">
      <c r="A55" s="178"/>
      <c r="B55" s="179" t="s">
        <v>112</v>
      </c>
      <c r="C55" s="180">
        <f t="shared" ref="C55:D55" si="73">SUM(C56:C70)</f>
        <v>169862412.96999598</v>
      </c>
      <c r="D55" s="180">
        <f t="shared" si="73"/>
        <v>169862412.96999598</v>
      </c>
      <c r="E55" s="180">
        <f t="shared" ref="E55:AI55" si="74">SUM(E56:E70)</f>
        <v>140361404.56999999</v>
      </c>
      <c r="F55" s="180">
        <v>29186115</v>
      </c>
      <c r="G55" s="180">
        <v>17017</v>
      </c>
      <c r="H55" s="180">
        <f t="shared" si="74"/>
        <v>29186115.059999999</v>
      </c>
      <c r="I55" s="180">
        <f t="shared" si="74"/>
        <v>182912.1</v>
      </c>
      <c r="J55" s="180">
        <f t="shared" si="52"/>
        <v>5.9999998658895493E-2</v>
      </c>
      <c r="K55" s="180">
        <f t="shared" si="53"/>
        <v>165895.1</v>
      </c>
      <c r="L55" s="180">
        <f t="shared" si="74"/>
        <v>2537743.3538947371</v>
      </c>
      <c r="M55" s="180">
        <f t="shared" si="74"/>
        <v>5411796.0281052636</v>
      </c>
      <c r="N55" s="180">
        <f t="shared" si="74"/>
        <v>6616455.7360000005</v>
      </c>
      <c r="O55" s="180">
        <f t="shared" si="74"/>
        <v>7978471.2339473683</v>
      </c>
      <c r="P55" s="180">
        <f t="shared" si="74"/>
        <v>9336566.8780526314</v>
      </c>
      <c r="Q55" s="180">
        <f t="shared" si="74"/>
        <v>10656845.182736842</v>
      </c>
      <c r="R55" s="180">
        <f t="shared" si="74"/>
        <v>12054857.095631581</v>
      </c>
      <c r="S55" s="180">
        <f t="shared" si="74"/>
        <v>13580668.956631579</v>
      </c>
      <c r="T55" s="180">
        <f t="shared" si="74"/>
        <v>14901296.709631581</v>
      </c>
      <c r="U55" s="180">
        <f t="shared" si="74"/>
        <v>16283454.85263158</v>
      </c>
      <c r="V55" s="180">
        <f t="shared" si="74"/>
        <v>17644422.13563158</v>
      </c>
      <c r="W55" s="180">
        <f t="shared" si="74"/>
        <v>18974119.60263158</v>
      </c>
      <c r="X55" s="180">
        <f t="shared" ref="X55" si="75">SUM(X56:X70)</f>
        <v>19776.682623030607</v>
      </c>
      <c r="Y55" s="180">
        <f t="shared" si="74"/>
        <v>19153498.442682672</v>
      </c>
      <c r="Z55" s="180">
        <f t="shared" si="74"/>
        <v>16652</v>
      </c>
      <c r="AA55" s="180">
        <f t="shared" ref="AA55:AA86" si="76">Y55-W55</f>
        <v>179378.84005109221</v>
      </c>
      <c r="AB55" s="180">
        <f t="shared" ref="AB55:AB86" si="77">Z55-X55</f>
        <v>-3124.6826230306069</v>
      </c>
      <c r="AC55" s="181">
        <f t="shared" ref="AC55:AG55" si="78">SUM(AC56:AC70)</f>
        <v>3315572.19</v>
      </c>
      <c r="AD55" s="181">
        <f t="shared" si="78"/>
        <v>4720628.6099999994</v>
      </c>
      <c r="AE55" s="181">
        <f t="shared" si="78"/>
        <v>6866692.0300000003</v>
      </c>
      <c r="AF55" s="181">
        <f t="shared" si="78"/>
        <v>6866692.0300000003</v>
      </c>
      <c r="AG55" s="181">
        <f t="shared" si="78"/>
        <v>2680</v>
      </c>
      <c r="AH55" s="77">
        <f t="shared" si="74"/>
        <v>4426735.1330793332</v>
      </c>
      <c r="AI55" s="77">
        <f t="shared" si="74"/>
        <v>1276</v>
      </c>
      <c r="AJ55" s="78">
        <f t="shared" ref="AJ55:AJ86" si="79">AH55-AF55</f>
        <v>-2439956.896920667</v>
      </c>
      <c r="AK55" s="78">
        <f t="shared" ref="AK55:AK86" si="80">AI55-AG55</f>
        <v>-1404</v>
      </c>
      <c r="AL55" s="76">
        <f t="shared" si="56"/>
        <v>55026926.69263158</v>
      </c>
      <c r="AM55" s="76">
        <f t="shared" si="57"/>
        <v>205368.78262303062</v>
      </c>
      <c r="AN55"/>
      <c r="AO55" s="17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</row>
    <row r="56" spans="1:154" s="19" customFormat="1" ht="90.75" customHeight="1">
      <c r="A56" s="190" t="s">
        <v>113</v>
      </c>
      <c r="B56" s="190" t="s">
        <v>114</v>
      </c>
      <c r="C56" s="196">
        <v>5441400</v>
      </c>
      <c r="D56" s="196">
        <v>5441400</v>
      </c>
      <c r="E56" s="197">
        <v>4137701.01</v>
      </c>
      <c r="F56" s="198">
        <v>1222656</v>
      </c>
      <c r="G56" s="198">
        <v>1224</v>
      </c>
      <c r="H56" s="197">
        <v>974335.99</v>
      </c>
      <c r="I56" s="197">
        <v>0</v>
      </c>
      <c r="J56" s="197">
        <f t="shared" si="52"/>
        <v>-248320.01</v>
      </c>
      <c r="K56" s="197">
        <f t="shared" si="53"/>
        <v>-1224</v>
      </c>
      <c r="L56" s="196">
        <f>213883.1*0.9</f>
        <v>192494.79</v>
      </c>
      <c r="M56" s="199">
        <v>423807.8</v>
      </c>
      <c r="N56" s="199">
        <f>572973.45*0.9</f>
        <v>515676.10499999998</v>
      </c>
      <c r="O56" s="199">
        <f>722143.48*0.9</f>
        <v>649929.13199999998</v>
      </c>
      <c r="P56" s="138">
        <f>871313.51*0.9</f>
        <v>784182.15899999999</v>
      </c>
      <c r="Q56" s="199">
        <f>1020483.55*0.9</f>
        <v>918435.19500000007</v>
      </c>
      <c r="R56" s="199">
        <f>1169653.59*0.9</f>
        <v>1052688.2310000001</v>
      </c>
      <c r="S56" s="199">
        <f>1321499.63*0.9</f>
        <v>1189349.6669999999</v>
      </c>
      <c r="T56" s="199">
        <f>(1321499.63+125906)*0.9</f>
        <v>1302665.067</v>
      </c>
      <c r="U56" s="199">
        <f>T56+125906*0.9</f>
        <v>1415980.4669999999</v>
      </c>
      <c r="V56" s="199">
        <f>U56+125906*0.9</f>
        <v>1529295.8669999999</v>
      </c>
      <c r="W56" s="199">
        <f>V56+125906*0.9</f>
        <v>1642611.2669999998</v>
      </c>
      <c r="X56" s="200">
        <f>W56*0.001</f>
        <v>1642.6112669999998</v>
      </c>
      <c r="Y56" s="201">
        <v>1022408.99</v>
      </c>
      <c r="Z56" s="202">
        <v>1023</v>
      </c>
      <c r="AA56" s="200">
        <f t="shared" si="76"/>
        <v>-620202.27699999977</v>
      </c>
      <c r="AB56" s="200">
        <f t="shared" si="77"/>
        <v>-619.61126699999977</v>
      </c>
      <c r="AC56" s="197">
        <v>237060</v>
      </c>
      <c r="AD56" s="197">
        <f>AC56</f>
        <v>237060</v>
      </c>
      <c r="AE56" s="197">
        <f>AD56</f>
        <v>237060</v>
      </c>
      <c r="AF56" s="203">
        <f>AE56</f>
        <v>237060</v>
      </c>
      <c r="AG56" s="197">
        <v>300</v>
      </c>
      <c r="AH56" s="101">
        <v>0</v>
      </c>
      <c r="AI56" s="102">
        <v>0</v>
      </c>
      <c r="AJ56" s="103">
        <f t="shared" si="79"/>
        <v>-237060</v>
      </c>
      <c r="AK56" s="103">
        <f t="shared" si="80"/>
        <v>-300</v>
      </c>
      <c r="AL56" s="100">
        <f t="shared" si="56"/>
        <v>2854007.2569999998</v>
      </c>
      <c r="AM56" s="100">
        <f t="shared" si="57"/>
        <v>1942.6112669999998</v>
      </c>
      <c r="AN56"/>
      <c r="AO56" s="17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</row>
    <row r="57" spans="1:154" s="19" customFormat="1" ht="64.5" customHeight="1">
      <c r="A57" s="190" t="s">
        <v>115</v>
      </c>
      <c r="B57" s="190" t="s">
        <v>116</v>
      </c>
      <c r="C57" s="196">
        <v>69881818.064676002</v>
      </c>
      <c r="D57" s="196">
        <v>69881818.064676002</v>
      </c>
      <c r="E57" s="197">
        <v>52554937.340000004</v>
      </c>
      <c r="F57" s="198">
        <v>10663868</v>
      </c>
      <c r="G57" s="198">
        <v>3200</v>
      </c>
      <c r="H57" s="197">
        <f>11280678+6569</f>
        <v>11287247</v>
      </c>
      <c r="I57" s="197">
        <v>3461.34</v>
      </c>
      <c r="J57" s="197">
        <f t="shared" si="52"/>
        <v>623379</v>
      </c>
      <c r="K57" s="197">
        <f t="shared" si="53"/>
        <v>261.34000000000015</v>
      </c>
      <c r="L57" s="196">
        <f>878064.49*0.9</f>
        <v>790258.04099999997</v>
      </c>
      <c r="M57" s="199">
        <f>2199024.94*0.9</f>
        <v>1979122.446</v>
      </c>
      <c r="N57" s="199">
        <f>2870874.16*0.9</f>
        <v>2583786.7440000004</v>
      </c>
      <c r="O57" s="199">
        <f>3543968.63*0.9</f>
        <v>3189571.767</v>
      </c>
      <c r="P57" s="138">
        <f>4217267.1*0.9</f>
        <v>3795540.3899999997</v>
      </c>
      <c r="Q57" s="199">
        <f>4889018.57*0.9</f>
        <v>4400116.7130000005</v>
      </c>
      <c r="R57" s="199">
        <f>5558478.44*0.9</f>
        <v>5002630.5960000008</v>
      </c>
      <c r="S57" s="199">
        <f>(6223769.01+102459)*0.9</f>
        <v>5693605.2089999998</v>
      </c>
      <c r="T57" s="199">
        <f>(6881345.88+102459*2)*0.9</f>
        <v>6377637.4919999996</v>
      </c>
      <c r="U57" s="199">
        <f>(7538922.75+102459*3)*0.9</f>
        <v>7061669.7750000004</v>
      </c>
      <c r="V57" s="199">
        <f>(8196499.62+102459*4)*0.9</f>
        <v>7745702.0580000011</v>
      </c>
      <c r="W57" s="199">
        <f>(8854076.49+102459*5)*0.9</f>
        <v>8429734.341</v>
      </c>
      <c r="X57" s="200">
        <f>ROUND(Z57/Y57*W57,0)</f>
        <v>2530</v>
      </c>
      <c r="Y57" s="201">
        <v>10093242.538446</v>
      </c>
      <c r="Z57" s="202">
        <v>3029</v>
      </c>
      <c r="AA57" s="200">
        <f t="shared" si="76"/>
        <v>1663508.1974459998</v>
      </c>
      <c r="AB57" s="200">
        <f t="shared" si="77"/>
        <v>499</v>
      </c>
      <c r="AC57" s="197">
        <v>1312914.56</v>
      </c>
      <c r="AD57" s="197">
        <v>2717970.98</v>
      </c>
      <c r="AE57" s="197">
        <f>4156511.4+102464+947000-6569-335372</f>
        <v>4864034.4000000004</v>
      </c>
      <c r="AF57" s="197">
        <f>AE57</f>
        <v>4864034.4000000004</v>
      </c>
      <c r="AG57" s="197">
        <f>ROUND(AI57/AH57*AF57,0)+124</f>
        <v>1583</v>
      </c>
      <c r="AH57" s="101">
        <v>4133389</v>
      </c>
      <c r="AI57" s="102">
        <v>1240</v>
      </c>
      <c r="AJ57" s="103">
        <f t="shared" si="79"/>
        <v>-730645.40000000037</v>
      </c>
      <c r="AK57" s="103">
        <f t="shared" si="80"/>
        <v>-343</v>
      </c>
      <c r="AL57" s="100">
        <f t="shared" si="56"/>
        <v>24581015.740999997</v>
      </c>
      <c r="AM57" s="100">
        <f t="shared" si="57"/>
        <v>7574.34</v>
      </c>
      <c r="AN57"/>
      <c r="AO57" s="1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</row>
    <row r="58" spans="1:154" s="19" customFormat="1" ht="64.5" customHeight="1">
      <c r="A58" s="190" t="s">
        <v>117</v>
      </c>
      <c r="B58" s="190" t="s">
        <v>118</v>
      </c>
      <c r="C58" s="196">
        <v>3070747.4611200001</v>
      </c>
      <c r="D58" s="196">
        <v>3070747.4611200001</v>
      </c>
      <c r="E58" s="197">
        <v>3070746.28</v>
      </c>
      <c r="F58" s="198">
        <v>0</v>
      </c>
      <c r="G58" s="198">
        <v>0</v>
      </c>
      <c r="H58" s="197">
        <v>0</v>
      </c>
      <c r="I58" s="197">
        <v>0</v>
      </c>
      <c r="J58" s="197">
        <f t="shared" si="52"/>
        <v>0</v>
      </c>
      <c r="K58" s="197">
        <f t="shared" si="53"/>
        <v>0</v>
      </c>
      <c r="L58" s="196">
        <v>0</v>
      </c>
      <c r="M58" s="199">
        <v>0</v>
      </c>
      <c r="N58" s="199">
        <v>0</v>
      </c>
      <c r="O58" s="199">
        <v>0</v>
      </c>
      <c r="P58" s="138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200">
        <v>0</v>
      </c>
      <c r="Y58" s="201">
        <v>0</v>
      </c>
      <c r="Z58" s="202">
        <v>0</v>
      </c>
      <c r="AA58" s="200">
        <f t="shared" si="76"/>
        <v>0</v>
      </c>
      <c r="AB58" s="200">
        <f t="shared" si="77"/>
        <v>0</v>
      </c>
      <c r="AC58" s="197">
        <v>0</v>
      </c>
      <c r="AD58" s="197">
        <v>0</v>
      </c>
      <c r="AE58" s="197">
        <v>0</v>
      </c>
      <c r="AF58" s="197">
        <v>0</v>
      </c>
      <c r="AG58" s="197">
        <v>0</v>
      </c>
      <c r="AH58" s="101">
        <v>0</v>
      </c>
      <c r="AI58" s="102">
        <v>0</v>
      </c>
      <c r="AJ58" s="103">
        <f t="shared" si="79"/>
        <v>0</v>
      </c>
      <c r="AK58" s="103">
        <f t="shared" si="80"/>
        <v>0</v>
      </c>
      <c r="AL58" s="100">
        <f t="shared" si="56"/>
        <v>0</v>
      </c>
      <c r="AM58" s="100">
        <f t="shared" si="57"/>
        <v>0</v>
      </c>
      <c r="AN58"/>
      <c r="AO58" s="17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</row>
    <row r="59" spans="1:154" s="19" customFormat="1" ht="56.25">
      <c r="A59" s="190" t="s">
        <v>119</v>
      </c>
      <c r="B59" s="190" t="s">
        <v>120</v>
      </c>
      <c r="C59" s="196">
        <v>519738.31688400003</v>
      </c>
      <c r="D59" s="196">
        <v>519738.31688400003</v>
      </c>
      <c r="E59" s="197">
        <v>536499.61</v>
      </c>
      <c r="F59" s="198">
        <v>0</v>
      </c>
      <c r="G59" s="198">
        <v>0</v>
      </c>
      <c r="H59" s="197">
        <v>0</v>
      </c>
      <c r="I59" s="197">
        <v>0</v>
      </c>
      <c r="J59" s="197">
        <f t="shared" si="52"/>
        <v>0</v>
      </c>
      <c r="K59" s="197">
        <f t="shared" si="53"/>
        <v>0</v>
      </c>
      <c r="L59" s="196">
        <v>0</v>
      </c>
      <c r="M59" s="199">
        <v>0</v>
      </c>
      <c r="N59" s="199">
        <v>0</v>
      </c>
      <c r="O59" s="199">
        <v>0</v>
      </c>
      <c r="P59" s="138">
        <v>0</v>
      </c>
      <c r="Q59" s="199">
        <v>0</v>
      </c>
      <c r="R59" s="199">
        <v>0</v>
      </c>
      <c r="S59" s="199">
        <v>0</v>
      </c>
      <c r="T59" s="199">
        <v>0</v>
      </c>
      <c r="U59" s="199">
        <v>0</v>
      </c>
      <c r="V59" s="199">
        <v>0</v>
      </c>
      <c r="W59" s="199">
        <v>0</v>
      </c>
      <c r="X59" s="200">
        <v>0</v>
      </c>
      <c r="Y59" s="201">
        <v>0</v>
      </c>
      <c r="Z59" s="202">
        <v>0</v>
      </c>
      <c r="AA59" s="200">
        <f t="shared" si="76"/>
        <v>0</v>
      </c>
      <c r="AB59" s="200">
        <f t="shared" si="77"/>
        <v>0</v>
      </c>
      <c r="AC59" s="197">
        <v>0</v>
      </c>
      <c r="AD59" s="197">
        <v>0</v>
      </c>
      <c r="AE59" s="197">
        <v>0</v>
      </c>
      <c r="AF59" s="197">
        <v>0</v>
      </c>
      <c r="AG59" s="197">
        <v>0</v>
      </c>
      <c r="AH59" s="101">
        <v>0</v>
      </c>
      <c r="AI59" s="102">
        <v>0</v>
      </c>
      <c r="AJ59" s="103">
        <f t="shared" si="79"/>
        <v>0</v>
      </c>
      <c r="AK59" s="103">
        <f t="shared" si="80"/>
        <v>0</v>
      </c>
      <c r="AL59" s="100">
        <f t="shared" si="56"/>
        <v>0</v>
      </c>
      <c r="AM59" s="100">
        <f t="shared" si="57"/>
        <v>0</v>
      </c>
      <c r="AN59"/>
      <c r="AO59" s="17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</row>
    <row r="60" spans="1:154" s="19" customFormat="1" ht="120.75" customHeight="1">
      <c r="A60" s="190" t="s">
        <v>121</v>
      </c>
      <c r="B60" s="190" t="s">
        <v>122</v>
      </c>
      <c r="C60" s="196">
        <v>5685350.5280999998</v>
      </c>
      <c r="D60" s="196">
        <v>5685350.5280999998</v>
      </c>
      <c r="E60" s="197">
        <v>5193313.92</v>
      </c>
      <c r="F60" s="198">
        <v>0</v>
      </c>
      <c r="G60" s="198">
        <v>0</v>
      </c>
      <c r="H60" s="197">
        <v>0</v>
      </c>
      <c r="I60" s="197">
        <v>0</v>
      </c>
      <c r="J60" s="197">
        <f t="shared" si="52"/>
        <v>0</v>
      </c>
      <c r="K60" s="197">
        <f t="shared" si="53"/>
        <v>0</v>
      </c>
      <c r="L60" s="196">
        <f>487136.25-175465</f>
        <v>311671.25</v>
      </c>
      <c r="M60" s="199">
        <f t="shared" ref="M60:W60" si="81">L60</f>
        <v>311671.25</v>
      </c>
      <c r="N60" s="199">
        <f t="shared" si="81"/>
        <v>311671.25</v>
      </c>
      <c r="O60" s="203">
        <f t="shared" si="81"/>
        <v>311671.25</v>
      </c>
      <c r="P60" s="204">
        <f t="shared" si="81"/>
        <v>311671.25</v>
      </c>
      <c r="Q60" s="203">
        <f t="shared" si="81"/>
        <v>311671.25</v>
      </c>
      <c r="R60" s="203">
        <f t="shared" si="81"/>
        <v>311671.25</v>
      </c>
      <c r="S60" s="203">
        <f t="shared" si="81"/>
        <v>311671.25</v>
      </c>
      <c r="T60" s="203">
        <f t="shared" si="81"/>
        <v>311671.25</v>
      </c>
      <c r="U60" s="203">
        <f t="shared" si="81"/>
        <v>311671.25</v>
      </c>
      <c r="V60" s="203">
        <f t="shared" si="81"/>
        <v>311671.25</v>
      </c>
      <c r="W60" s="203">
        <f t="shared" si="81"/>
        <v>311671.25</v>
      </c>
      <c r="X60" s="200">
        <v>0</v>
      </c>
      <c r="Y60" s="201">
        <v>491544.60810000001</v>
      </c>
      <c r="Z60" s="202">
        <v>492</v>
      </c>
      <c r="AA60" s="200">
        <f t="shared" si="76"/>
        <v>179873.35810000001</v>
      </c>
      <c r="AB60" s="200">
        <f t="shared" si="77"/>
        <v>492</v>
      </c>
      <c r="AC60" s="197">
        <v>0</v>
      </c>
      <c r="AD60" s="197">
        <v>0</v>
      </c>
      <c r="AE60" s="197">
        <v>0</v>
      </c>
      <c r="AF60" s="197">
        <v>0</v>
      </c>
      <c r="AG60" s="197">
        <v>0</v>
      </c>
      <c r="AH60" s="101">
        <v>0</v>
      </c>
      <c r="AI60" s="102">
        <v>0</v>
      </c>
      <c r="AJ60" s="103">
        <f t="shared" si="79"/>
        <v>0</v>
      </c>
      <c r="AK60" s="103">
        <f t="shared" si="80"/>
        <v>0</v>
      </c>
      <c r="AL60" s="100">
        <f t="shared" si="56"/>
        <v>311671.25</v>
      </c>
      <c r="AM60" s="100">
        <f t="shared" si="57"/>
        <v>0</v>
      </c>
      <c r="AN60"/>
      <c r="AO60" s="17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</row>
    <row r="61" spans="1:154" s="19" customFormat="1" ht="64.5" customHeight="1">
      <c r="A61" s="190" t="s">
        <v>123</v>
      </c>
      <c r="B61" s="190" t="s">
        <v>124</v>
      </c>
      <c r="C61" s="196">
        <v>1970593.5412079999</v>
      </c>
      <c r="D61" s="196">
        <v>1970593.5412079999</v>
      </c>
      <c r="E61" s="197">
        <v>1420448.56</v>
      </c>
      <c r="F61" s="198">
        <v>412133</v>
      </c>
      <c r="G61" s="198">
        <v>124</v>
      </c>
      <c r="H61" s="197">
        <v>302662.56</v>
      </c>
      <c r="I61" s="197">
        <v>0</v>
      </c>
      <c r="J61" s="197">
        <f t="shared" si="52"/>
        <v>-109470.44</v>
      </c>
      <c r="K61" s="197">
        <f t="shared" si="53"/>
        <v>-124</v>
      </c>
      <c r="L61" s="196">
        <f>72675*0.9</f>
        <v>65407.5</v>
      </c>
      <c r="M61" s="199">
        <f>139275.66*0.9</f>
        <v>125348.09400000001</v>
      </c>
      <c r="N61" s="199">
        <f>141943.98*0.9</f>
        <v>127749.58200000001</v>
      </c>
      <c r="O61" s="199">
        <f>147178.7*0.9</f>
        <v>132460.83000000002</v>
      </c>
      <c r="P61" s="138">
        <f>157238.19*0.9</f>
        <v>141514.37100000001</v>
      </c>
      <c r="Q61" s="199">
        <f>170116.71*0.9</f>
        <v>153105.03899999999</v>
      </c>
      <c r="R61" s="199">
        <f>184441.04*0.9</f>
        <v>165996.93600000002</v>
      </c>
      <c r="S61" s="199">
        <f>196197.56*0.9</f>
        <v>176577.804</v>
      </c>
      <c r="T61" s="199">
        <f>197564.1*0.9</f>
        <v>177807.69</v>
      </c>
      <c r="U61" s="199">
        <f>202776.04*0.9</f>
        <v>182498.43600000002</v>
      </c>
      <c r="V61" s="199">
        <f>213172.98*0.9</f>
        <v>191855.682</v>
      </c>
      <c r="W61" s="199">
        <f>224617.98*0.9</f>
        <v>202156.182</v>
      </c>
      <c r="X61" s="200">
        <f>ROUND(Z61/Y61*W61,0)</f>
        <v>60</v>
      </c>
      <c r="Y61" s="201">
        <v>137846.98120800001</v>
      </c>
      <c r="Z61" s="202">
        <v>41</v>
      </c>
      <c r="AA61" s="200">
        <f t="shared" si="76"/>
        <v>-64309.200791999989</v>
      </c>
      <c r="AB61" s="200">
        <f t="shared" si="77"/>
        <v>-19</v>
      </c>
      <c r="AC61" s="197">
        <f>18378.46+26844-19661</f>
        <v>25561.46</v>
      </c>
      <c r="AD61" s="197">
        <f t="shared" ref="AD61:AF62" si="82">AC61</f>
        <v>25561.46</v>
      </c>
      <c r="AE61" s="197">
        <f t="shared" si="82"/>
        <v>25561.46</v>
      </c>
      <c r="AF61" s="203">
        <f t="shared" si="82"/>
        <v>25561.46</v>
      </c>
      <c r="AG61" s="197">
        <v>44</v>
      </c>
      <c r="AH61" s="101">
        <v>0</v>
      </c>
      <c r="AI61" s="102">
        <v>0</v>
      </c>
      <c r="AJ61" s="103">
        <f t="shared" si="79"/>
        <v>-25561.46</v>
      </c>
      <c r="AK61" s="103">
        <f t="shared" si="80"/>
        <v>-44</v>
      </c>
      <c r="AL61" s="100">
        <f t="shared" si="56"/>
        <v>530380.20199999993</v>
      </c>
      <c r="AM61" s="100">
        <f t="shared" si="57"/>
        <v>104</v>
      </c>
      <c r="AN61"/>
      <c r="AO61" s="17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</row>
    <row r="62" spans="1:154" s="19" customFormat="1" ht="134.25" customHeight="1">
      <c r="A62" s="190" t="s">
        <v>125</v>
      </c>
      <c r="B62" s="190" t="s">
        <v>126</v>
      </c>
      <c r="C62" s="196">
        <v>48697755.119052</v>
      </c>
      <c r="D62" s="196">
        <v>48697755.119052</v>
      </c>
      <c r="E62" s="197">
        <v>47897455.270000003</v>
      </c>
      <c r="F62" s="198">
        <v>9891314</v>
      </c>
      <c r="G62" s="198">
        <v>7919</v>
      </c>
      <c r="H62" s="197">
        <v>10207856</v>
      </c>
      <c r="I62" s="197">
        <v>12584.48</v>
      </c>
      <c r="J62" s="197">
        <f t="shared" ref="J62:J93" si="83">H62-F62</f>
        <v>316542</v>
      </c>
      <c r="K62" s="197">
        <f t="shared" ref="K62:K93" si="84">I62-G62</f>
        <v>4665.4799999999996</v>
      </c>
      <c r="L62" s="196">
        <f>807376.58*0.9</f>
        <v>726638.92200000002</v>
      </c>
      <c r="M62" s="199">
        <f>1630717.81*0.9</f>
        <v>1467646.0290000001</v>
      </c>
      <c r="N62" s="199">
        <f t="shared" ref="N62:W62" si="85">M62+363293*0.9</f>
        <v>1794609.7290000001</v>
      </c>
      <c r="O62" s="199">
        <f t="shared" si="85"/>
        <v>2121573.429</v>
      </c>
      <c r="P62" s="204">
        <f t="shared" si="85"/>
        <v>2448537.1290000002</v>
      </c>
      <c r="Q62" s="203">
        <f t="shared" si="85"/>
        <v>2775500.8290000004</v>
      </c>
      <c r="R62" s="203">
        <f t="shared" si="85"/>
        <v>3102464.5290000006</v>
      </c>
      <c r="S62" s="203">
        <f t="shared" si="85"/>
        <v>3429428.2290000007</v>
      </c>
      <c r="T62" s="203">
        <f t="shared" si="85"/>
        <v>3756391.9290000009</v>
      </c>
      <c r="U62" s="203">
        <f t="shared" si="85"/>
        <v>4083355.6290000011</v>
      </c>
      <c r="V62" s="203">
        <f t="shared" si="85"/>
        <v>4410319.3290000008</v>
      </c>
      <c r="W62" s="203">
        <f t="shared" si="85"/>
        <v>4737283.029000001</v>
      </c>
      <c r="X62" s="200">
        <f>Z62/Y62*W62</f>
        <v>12796.4250447093</v>
      </c>
      <c r="Y62" s="198">
        <v>3526559.799052</v>
      </c>
      <c r="Z62" s="202">
        <v>9526</v>
      </c>
      <c r="AA62" s="200">
        <f t="shared" si="76"/>
        <v>-1210723.229948001</v>
      </c>
      <c r="AB62" s="200">
        <f t="shared" si="77"/>
        <v>-3270.4250447093</v>
      </c>
      <c r="AC62" s="197">
        <f>363293+528000-113103</f>
        <v>778190</v>
      </c>
      <c r="AD62" s="197">
        <f t="shared" si="82"/>
        <v>778190</v>
      </c>
      <c r="AE62" s="197">
        <f t="shared" si="82"/>
        <v>778190</v>
      </c>
      <c r="AF62" s="197">
        <f t="shared" si="82"/>
        <v>778190</v>
      </c>
      <c r="AG62" s="197">
        <v>568</v>
      </c>
      <c r="AH62" s="101">
        <v>0</v>
      </c>
      <c r="AI62" s="102">
        <v>0</v>
      </c>
      <c r="AJ62" s="103">
        <f t="shared" si="79"/>
        <v>-778190</v>
      </c>
      <c r="AK62" s="103">
        <f t="shared" si="80"/>
        <v>-568</v>
      </c>
      <c r="AL62" s="100">
        <f t="shared" ref="AL62:AL93" si="86">H62+W62+AF62</f>
        <v>15723329.029000001</v>
      </c>
      <c r="AM62" s="100">
        <f t="shared" ref="AM62:AM93" si="87">I62+X62+AG62</f>
        <v>25948.9050447093</v>
      </c>
      <c r="AN62"/>
      <c r="AO62" s="17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</row>
    <row r="63" spans="1:154" s="19" customFormat="1" ht="64.5" customHeight="1" outlineLevel="1">
      <c r="A63" s="190" t="s">
        <v>127</v>
      </c>
      <c r="B63" s="190" t="s">
        <v>128</v>
      </c>
      <c r="C63" s="196">
        <v>0</v>
      </c>
      <c r="D63" s="196">
        <v>0</v>
      </c>
      <c r="E63" s="197">
        <v>0</v>
      </c>
      <c r="F63" s="198">
        <v>0</v>
      </c>
      <c r="G63" s="198">
        <v>0</v>
      </c>
      <c r="H63" s="197"/>
      <c r="I63" s="197"/>
      <c r="J63" s="197">
        <f t="shared" si="83"/>
        <v>0</v>
      </c>
      <c r="K63" s="197">
        <f t="shared" si="84"/>
        <v>0</v>
      </c>
      <c r="L63" s="196">
        <v>0</v>
      </c>
      <c r="M63" s="199">
        <v>0</v>
      </c>
      <c r="N63" s="199">
        <v>0</v>
      </c>
      <c r="O63" s="199">
        <v>0</v>
      </c>
      <c r="P63" s="138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199">
        <v>0</v>
      </c>
      <c r="W63" s="199">
        <v>0</v>
      </c>
      <c r="X63" s="200">
        <v>0</v>
      </c>
      <c r="Y63" s="201">
        <v>0</v>
      </c>
      <c r="Z63" s="202">
        <v>0</v>
      </c>
      <c r="AA63" s="200">
        <f t="shared" si="76"/>
        <v>0</v>
      </c>
      <c r="AB63" s="200">
        <f t="shared" si="77"/>
        <v>0</v>
      </c>
      <c r="AC63" s="197">
        <v>0</v>
      </c>
      <c r="AD63" s="197">
        <v>0</v>
      </c>
      <c r="AE63" s="197">
        <v>0</v>
      </c>
      <c r="AF63" s="197">
        <v>0</v>
      </c>
      <c r="AG63" s="197">
        <v>0</v>
      </c>
      <c r="AH63" s="101">
        <v>0</v>
      </c>
      <c r="AI63" s="102">
        <v>0</v>
      </c>
      <c r="AJ63" s="103">
        <f t="shared" si="79"/>
        <v>0</v>
      </c>
      <c r="AK63" s="103">
        <f t="shared" si="80"/>
        <v>0</v>
      </c>
      <c r="AL63" s="100">
        <f t="shared" si="86"/>
        <v>0</v>
      </c>
      <c r="AM63" s="100">
        <f t="shared" si="87"/>
        <v>0</v>
      </c>
      <c r="AN63"/>
      <c r="AO63" s="17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</row>
    <row r="64" spans="1:154" s="19" customFormat="1" ht="120.75" customHeight="1">
      <c r="A64" s="190" t="s">
        <v>129</v>
      </c>
      <c r="B64" s="190" t="s">
        <v>130</v>
      </c>
      <c r="C64" s="196">
        <v>850000</v>
      </c>
      <c r="D64" s="196">
        <v>850000</v>
      </c>
      <c r="E64" s="197">
        <v>320132.71000000002</v>
      </c>
      <c r="F64" s="198">
        <v>272519</v>
      </c>
      <c r="G64" s="198">
        <v>27</v>
      </c>
      <c r="H64" s="197">
        <v>272519</v>
      </c>
      <c r="I64" s="197">
        <v>0</v>
      </c>
      <c r="J64" s="197">
        <f t="shared" si="83"/>
        <v>0</v>
      </c>
      <c r="K64" s="197">
        <f t="shared" si="84"/>
        <v>-27</v>
      </c>
      <c r="L64" s="196">
        <v>10084.24</v>
      </c>
      <c r="M64" s="199">
        <v>69688.44</v>
      </c>
      <c r="N64" s="199">
        <v>69688.44</v>
      </c>
      <c r="O64" s="199">
        <v>69688.44</v>
      </c>
      <c r="P64" s="138">
        <v>119777.08</v>
      </c>
      <c r="Q64" s="199">
        <v>119777.08</v>
      </c>
      <c r="R64" s="199">
        <v>119777.08</v>
      </c>
      <c r="S64" s="199">
        <v>154970.5</v>
      </c>
      <c r="T64" s="199">
        <v>154970.5</v>
      </c>
      <c r="U64" s="199">
        <v>154970.5</v>
      </c>
      <c r="V64" s="199">
        <v>154970.5</v>
      </c>
      <c r="W64" s="199">
        <v>154970.5</v>
      </c>
      <c r="X64" s="200">
        <v>0</v>
      </c>
      <c r="Y64" s="201">
        <v>257295.29</v>
      </c>
      <c r="Z64" s="202">
        <v>26</v>
      </c>
      <c r="AA64" s="200">
        <f t="shared" si="76"/>
        <v>102324.79000000001</v>
      </c>
      <c r="AB64" s="200">
        <f t="shared" si="77"/>
        <v>26</v>
      </c>
      <c r="AC64" s="197">
        <v>0</v>
      </c>
      <c r="AD64" s="197">
        <v>0</v>
      </c>
      <c r="AE64" s="197">
        <v>0</v>
      </c>
      <c r="AF64" s="197">
        <v>0</v>
      </c>
      <c r="AG64" s="197">
        <v>0</v>
      </c>
      <c r="AH64" s="101">
        <v>0</v>
      </c>
      <c r="AI64" s="102">
        <v>0</v>
      </c>
      <c r="AJ64" s="103">
        <f t="shared" si="79"/>
        <v>0</v>
      </c>
      <c r="AK64" s="103">
        <f t="shared" si="80"/>
        <v>0</v>
      </c>
      <c r="AL64" s="100">
        <f t="shared" si="86"/>
        <v>427489.5</v>
      </c>
      <c r="AM64" s="100">
        <f t="shared" si="87"/>
        <v>0</v>
      </c>
      <c r="AN64"/>
      <c r="AO64" s="17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</row>
    <row r="65" spans="1:154" s="19" customFormat="1" ht="93.75" outlineLevel="1">
      <c r="A65" s="190" t="s">
        <v>131</v>
      </c>
      <c r="B65" s="190" t="s">
        <v>132</v>
      </c>
      <c r="C65" s="196">
        <v>0</v>
      </c>
      <c r="D65" s="196">
        <v>0</v>
      </c>
      <c r="E65" s="197">
        <v>0</v>
      </c>
      <c r="F65" s="198">
        <v>0</v>
      </c>
      <c r="G65" s="198">
        <v>0</v>
      </c>
      <c r="H65" s="197"/>
      <c r="I65" s="197"/>
      <c r="J65" s="197">
        <f t="shared" si="83"/>
        <v>0</v>
      </c>
      <c r="K65" s="197">
        <f t="shared" si="84"/>
        <v>0</v>
      </c>
      <c r="L65" s="196">
        <v>0</v>
      </c>
      <c r="M65" s="199">
        <v>0</v>
      </c>
      <c r="N65" s="199">
        <v>0</v>
      </c>
      <c r="O65" s="199">
        <v>0</v>
      </c>
      <c r="P65" s="138">
        <v>0</v>
      </c>
      <c r="Q65" s="199">
        <v>0</v>
      </c>
      <c r="R65" s="199">
        <v>0</v>
      </c>
      <c r="S65" s="199">
        <v>0</v>
      </c>
      <c r="T65" s="199">
        <v>0</v>
      </c>
      <c r="U65" s="199">
        <v>0</v>
      </c>
      <c r="V65" s="199">
        <v>0</v>
      </c>
      <c r="W65" s="199">
        <v>0</v>
      </c>
      <c r="X65" s="200">
        <v>0</v>
      </c>
      <c r="Y65" s="201">
        <v>0</v>
      </c>
      <c r="Z65" s="202">
        <v>0</v>
      </c>
      <c r="AA65" s="200">
        <f t="shared" si="76"/>
        <v>0</v>
      </c>
      <c r="AB65" s="200">
        <f t="shared" si="77"/>
        <v>0</v>
      </c>
      <c r="AC65" s="197">
        <v>0</v>
      </c>
      <c r="AD65" s="197">
        <v>0</v>
      </c>
      <c r="AE65" s="197">
        <v>0</v>
      </c>
      <c r="AF65" s="197">
        <v>0</v>
      </c>
      <c r="AG65" s="197">
        <v>0</v>
      </c>
      <c r="AH65" s="101">
        <v>0</v>
      </c>
      <c r="AI65" s="102">
        <v>0</v>
      </c>
      <c r="AJ65" s="103">
        <f t="shared" si="79"/>
        <v>0</v>
      </c>
      <c r="AK65" s="103">
        <f t="shared" si="80"/>
        <v>0</v>
      </c>
      <c r="AL65" s="100">
        <f t="shared" si="86"/>
        <v>0</v>
      </c>
      <c r="AM65" s="100">
        <f t="shared" si="87"/>
        <v>0</v>
      </c>
      <c r="AN65"/>
      <c r="AO65" s="17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</row>
    <row r="66" spans="1:154" s="19" customFormat="1" ht="101.25" customHeight="1">
      <c r="A66" s="190" t="s">
        <v>133</v>
      </c>
      <c r="B66" s="190" t="s">
        <v>134</v>
      </c>
      <c r="C66" s="196">
        <v>10940071.258476</v>
      </c>
      <c r="D66" s="196">
        <v>10940071.258476</v>
      </c>
      <c r="E66" s="197">
        <v>8480346.7599999998</v>
      </c>
      <c r="F66" s="198">
        <v>2060754</v>
      </c>
      <c r="G66" s="198">
        <v>206</v>
      </c>
      <c r="H66" s="197">
        <v>1887466.61</v>
      </c>
      <c r="I66" s="197">
        <v>695.05</v>
      </c>
      <c r="J66" s="197">
        <f t="shared" si="83"/>
        <v>-173287.3899999999</v>
      </c>
      <c r="K66" s="197">
        <f t="shared" si="84"/>
        <v>489.04999999999995</v>
      </c>
      <c r="L66" s="196">
        <f>170134.76*0.9</f>
        <v>153121.28400000001</v>
      </c>
      <c r="M66" s="199">
        <f>449708.33*0.9</f>
        <v>404737.49700000003</v>
      </c>
      <c r="N66" s="199">
        <f>546186.09*0.9</f>
        <v>491567.48099999997</v>
      </c>
      <c r="O66" s="199">
        <f>642663.85*0.9</f>
        <v>578397.46499999997</v>
      </c>
      <c r="P66" s="138">
        <f>739142.54*0.9</f>
        <v>665228.28600000008</v>
      </c>
      <c r="Q66" s="199">
        <f>835620.3*0.9</f>
        <v>752058.27</v>
      </c>
      <c r="R66" s="199">
        <f>932098.06*0.9</f>
        <v>838888.25400000007</v>
      </c>
      <c r="S66" s="199">
        <f>1028575.82*0.9</f>
        <v>925718.23800000001</v>
      </c>
      <c r="T66" s="199">
        <f>1125053.58*0.9</f>
        <v>1012548.2220000001</v>
      </c>
      <c r="U66" s="199">
        <f>1221531.34*0.9</f>
        <v>1099378.206</v>
      </c>
      <c r="V66" s="199">
        <f>1318008.17*0.9</f>
        <v>1186207.3529999999</v>
      </c>
      <c r="W66" s="199">
        <f>1414484.93*0.9</f>
        <v>1273036.4369999999</v>
      </c>
      <c r="X66" s="200">
        <f>W66*Z66/Y66</f>
        <v>127.33536426151613</v>
      </c>
      <c r="Y66" s="201">
        <v>1309673.6653966701</v>
      </c>
      <c r="Z66" s="202">
        <v>131</v>
      </c>
      <c r="AA66" s="200">
        <f t="shared" si="76"/>
        <v>36637.228396670194</v>
      </c>
      <c r="AB66" s="200">
        <f t="shared" si="77"/>
        <v>3.6646357384838666</v>
      </c>
      <c r="AC66" s="197">
        <f>548133+1314+141180</f>
        <v>690627</v>
      </c>
      <c r="AD66" s="197">
        <f t="shared" ref="AD66:AF68" si="88">AC66</f>
        <v>690627</v>
      </c>
      <c r="AE66" s="197">
        <f t="shared" si="88"/>
        <v>690627</v>
      </c>
      <c r="AF66" s="203">
        <f t="shared" si="88"/>
        <v>690627</v>
      </c>
      <c r="AG66" s="197">
        <v>141</v>
      </c>
      <c r="AH66" s="101">
        <v>283392.133079333</v>
      </c>
      <c r="AI66" s="102">
        <v>28</v>
      </c>
      <c r="AJ66" s="103">
        <f t="shared" si="79"/>
        <v>-407234.866920667</v>
      </c>
      <c r="AK66" s="103">
        <f t="shared" si="80"/>
        <v>-113</v>
      </c>
      <c r="AL66" s="100">
        <f t="shared" si="86"/>
        <v>3851130.0470000003</v>
      </c>
      <c r="AM66" s="100">
        <f t="shared" si="87"/>
        <v>963.38536426151609</v>
      </c>
      <c r="AN66"/>
      <c r="AO66" s="17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</row>
    <row r="67" spans="1:154" s="19" customFormat="1" ht="116.25" customHeight="1">
      <c r="A67" s="190" t="s">
        <v>135</v>
      </c>
      <c r="B67" s="190" t="s">
        <v>136</v>
      </c>
      <c r="C67" s="196">
        <v>8705014.6804799996</v>
      </c>
      <c r="D67" s="196">
        <v>8705014.6804799996</v>
      </c>
      <c r="E67" s="197">
        <v>7265316.3200000003</v>
      </c>
      <c r="F67" s="198">
        <v>1323581</v>
      </c>
      <c r="G67" s="198">
        <v>1988</v>
      </c>
      <c r="H67" s="197">
        <v>1456110.92</v>
      </c>
      <c r="I67" s="197">
        <v>14976.39</v>
      </c>
      <c r="J67" s="197">
        <f t="shared" si="83"/>
        <v>132529.91999999993</v>
      </c>
      <c r="K67" s="197">
        <f t="shared" si="84"/>
        <v>12988.39</v>
      </c>
      <c r="L67" s="196">
        <f>116057.97*0.9</f>
        <v>104452.17300000001</v>
      </c>
      <c r="M67" s="199">
        <f>251988.72*0.9</f>
        <v>226789.848</v>
      </c>
      <c r="N67" s="199">
        <f>340783.87*0.9</f>
        <v>306705.48300000001</v>
      </c>
      <c r="O67" s="199">
        <v>429579.02</v>
      </c>
      <c r="P67" s="138">
        <v>518374.17</v>
      </c>
      <c r="Q67" s="199">
        <v>607169.31999999995</v>
      </c>
      <c r="R67" s="199">
        <f>695964.47+120285*0.9</f>
        <v>804220.97</v>
      </c>
      <c r="S67" s="199">
        <f>826315.81+120285*2*0.9</f>
        <v>1042828.81</v>
      </c>
      <c r="T67" s="199">
        <f>826315.81+120285*3*0.9</f>
        <v>1151085.31</v>
      </c>
      <c r="U67" s="199">
        <f>826315.81+120285*4*0.9</f>
        <v>1259341.81</v>
      </c>
      <c r="V67" s="199">
        <f>826315.81+120285*5*0.9</f>
        <v>1367598.31</v>
      </c>
      <c r="W67" s="199">
        <f>826315.81+120285*6*0.9</f>
        <v>1475854.81</v>
      </c>
      <c r="X67" s="200">
        <f>Z67/Y67*W67</f>
        <v>2217.8076690159587</v>
      </c>
      <c r="Y67" s="201">
        <v>1045432.36048</v>
      </c>
      <c r="Z67" s="202">
        <v>1571</v>
      </c>
      <c r="AA67" s="200">
        <f t="shared" si="76"/>
        <v>-430422.44952000002</v>
      </c>
      <c r="AB67" s="200">
        <f t="shared" si="77"/>
        <v>-646.80766901595871</v>
      </c>
      <c r="AC67" s="197">
        <f>118471+72279-47810</f>
        <v>142940</v>
      </c>
      <c r="AD67" s="197">
        <f t="shared" si="88"/>
        <v>142940</v>
      </c>
      <c r="AE67" s="197">
        <f t="shared" si="88"/>
        <v>142940</v>
      </c>
      <c r="AF67" s="203">
        <f t="shared" si="88"/>
        <v>142940</v>
      </c>
      <c r="AG67" s="197">
        <v>0</v>
      </c>
      <c r="AH67" s="101">
        <v>0</v>
      </c>
      <c r="AI67" s="102">
        <v>0</v>
      </c>
      <c r="AJ67" s="103">
        <f t="shared" si="79"/>
        <v>-142940</v>
      </c>
      <c r="AK67" s="103">
        <f t="shared" si="80"/>
        <v>0</v>
      </c>
      <c r="AL67" s="100">
        <f t="shared" si="86"/>
        <v>3074905.73</v>
      </c>
      <c r="AM67" s="100">
        <f t="shared" si="87"/>
        <v>17194.197669015957</v>
      </c>
      <c r="AN67"/>
      <c r="AO67" s="1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</row>
    <row r="68" spans="1:154" s="19" customFormat="1" ht="64.5" customHeight="1">
      <c r="A68" s="190" t="s">
        <v>137</v>
      </c>
      <c r="B68" s="190" t="s">
        <v>138</v>
      </c>
      <c r="C68" s="196">
        <v>1262086</v>
      </c>
      <c r="D68" s="196">
        <v>1262086</v>
      </c>
      <c r="E68" s="197">
        <v>733316.11</v>
      </c>
      <c r="F68" s="198">
        <v>381107</v>
      </c>
      <c r="G68" s="198">
        <v>114</v>
      </c>
      <c r="H68" s="197">
        <v>180664.43</v>
      </c>
      <c r="I68" s="197">
        <v>0</v>
      </c>
      <c r="J68" s="197">
        <f t="shared" si="83"/>
        <v>-200442.57</v>
      </c>
      <c r="K68" s="197">
        <f t="shared" si="84"/>
        <v>-114</v>
      </c>
      <c r="L68" s="196">
        <f>18849.94*0.9</f>
        <v>16964.946</v>
      </c>
      <c r="M68" s="199">
        <f>30148.28*0.9</f>
        <v>27133.452000000001</v>
      </c>
      <c r="N68" s="199">
        <f>30148.28*0.9</f>
        <v>27133.452000000001</v>
      </c>
      <c r="O68" s="199">
        <f>30148.28*0.9</f>
        <v>27133.452000000001</v>
      </c>
      <c r="P68" s="138">
        <f>30148.28*0.9</f>
        <v>27133.452000000001</v>
      </c>
      <c r="Q68" s="199">
        <f>95094.98*0.9</f>
        <v>85585.482000000004</v>
      </c>
      <c r="R68" s="199">
        <f>125774.03*0.9</f>
        <v>113196.62700000001</v>
      </c>
      <c r="S68" s="199">
        <f>125774.03*0.9</f>
        <v>113196.62700000001</v>
      </c>
      <c r="T68" s="199">
        <f>125774.03*0.9</f>
        <v>113196.62700000001</v>
      </c>
      <c r="U68" s="199">
        <f>190295.73*0.9</f>
        <v>171266.15700000001</v>
      </c>
      <c r="V68" s="199">
        <f>226087.96*0.9</f>
        <v>203479.16399999999</v>
      </c>
      <c r="W68" s="199">
        <f>226087.96*0.9</f>
        <v>203479.16399999999</v>
      </c>
      <c r="X68" s="200">
        <f>Z68/Y68*W68</f>
        <v>60.777203865945452</v>
      </c>
      <c r="Y68" s="201">
        <v>147309.89000000001</v>
      </c>
      <c r="Z68" s="202">
        <v>44</v>
      </c>
      <c r="AA68" s="200">
        <f t="shared" si="76"/>
        <v>-56169.273999999976</v>
      </c>
      <c r="AB68" s="200">
        <f t="shared" si="77"/>
        <v>-16.777203865945452</v>
      </c>
      <c r="AC68" s="197">
        <f>121821.17+22709-25238</f>
        <v>119292.16999999998</v>
      </c>
      <c r="AD68" s="197">
        <f t="shared" si="88"/>
        <v>119292.16999999998</v>
      </c>
      <c r="AE68" s="197">
        <f t="shared" si="88"/>
        <v>119292.16999999998</v>
      </c>
      <c r="AF68" s="203">
        <f t="shared" si="88"/>
        <v>119292.16999999998</v>
      </c>
      <c r="AG68" s="197">
        <v>36</v>
      </c>
      <c r="AH68" s="101">
        <v>0</v>
      </c>
      <c r="AI68" s="102">
        <v>0</v>
      </c>
      <c r="AJ68" s="103">
        <f t="shared" si="79"/>
        <v>-119292.16999999998</v>
      </c>
      <c r="AK68" s="103">
        <f t="shared" si="80"/>
        <v>-36</v>
      </c>
      <c r="AL68" s="100">
        <f t="shared" si="86"/>
        <v>503435.76399999997</v>
      </c>
      <c r="AM68" s="100">
        <f t="shared" si="87"/>
        <v>96.777203865945452</v>
      </c>
      <c r="AN68"/>
      <c r="AO68" s="17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</row>
    <row r="69" spans="1:154" s="19" customFormat="1" ht="117.75" customHeight="1">
      <c r="A69" s="190" t="s">
        <v>139</v>
      </c>
      <c r="B69" s="190" t="s">
        <v>140</v>
      </c>
      <c r="C69" s="196">
        <v>3215141</v>
      </c>
      <c r="D69" s="196">
        <v>3215141</v>
      </c>
      <c r="E69" s="197">
        <v>2649066.0299999998</v>
      </c>
      <c r="F69" s="198">
        <v>431936</v>
      </c>
      <c r="G69" s="198">
        <v>130</v>
      </c>
      <c r="H69" s="197">
        <v>425367</v>
      </c>
      <c r="I69" s="197">
        <v>0</v>
      </c>
      <c r="J69" s="197">
        <f t="shared" si="83"/>
        <v>-6569</v>
      </c>
      <c r="K69" s="197">
        <f t="shared" si="84"/>
        <v>-130</v>
      </c>
      <c r="L69" s="196">
        <v>134005.19</v>
      </c>
      <c r="M69" s="199">
        <v>134005.19</v>
      </c>
      <c r="N69" s="199">
        <v>134005.19</v>
      </c>
      <c r="O69" s="199">
        <v>134005.19</v>
      </c>
      <c r="P69" s="138">
        <v>134005.19</v>
      </c>
      <c r="Q69" s="199">
        <v>134005.19</v>
      </c>
      <c r="R69" s="199">
        <v>134005.19</v>
      </c>
      <c r="S69" s="199">
        <v>134005.19</v>
      </c>
      <c r="T69" s="199">
        <v>134005.19</v>
      </c>
      <c r="U69" s="199">
        <v>134005.19</v>
      </c>
      <c r="V69" s="199">
        <v>134005.19</v>
      </c>
      <c r="W69" s="199">
        <v>134005.19</v>
      </c>
      <c r="X69" s="200">
        <v>40</v>
      </c>
      <c r="Y69" s="201">
        <v>133232.97</v>
      </c>
      <c r="Z69" s="202">
        <v>40</v>
      </c>
      <c r="AA69" s="200">
        <f t="shared" si="76"/>
        <v>-772.22000000000116</v>
      </c>
      <c r="AB69" s="200">
        <f t="shared" si="77"/>
        <v>0</v>
      </c>
      <c r="AC69" s="197">
        <v>0</v>
      </c>
      <c r="AD69" s="197">
        <v>0</v>
      </c>
      <c r="AE69" s="197">
        <v>0</v>
      </c>
      <c r="AF69" s="197">
        <v>0</v>
      </c>
      <c r="AG69" s="197">
        <v>0</v>
      </c>
      <c r="AH69" s="101">
        <v>0</v>
      </c>
      <c r="AI69" s="102">
        <v>0</v>
      </c>
      <c r="AJ69" s="103">
        <f t="shared" si="79"/>
        <v>0</v>
      </c>
      <c r="AK69" s="103">
        <f t="shared" si="80"/>
        <v>0</v>
      </c>
      <c r="AL69" s="100">
        <f t="shared" si="86"/>
        <v>559372.18999999994</v>
      </c>
      <c r="AM69" s="100">
        <f t="shared" si="87"/>
        <v>40</v>
      </c>
      <c r="AN69"/>
      <c r="AO69" s="17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</row>
    <row r="70" spans="1:154" s="19" customFormat="1" ht="107.25" customHeight="1">
      <c r="A70" s="190" t="s">
        <v>141</v>
      </c>
      <c r="B70" s="190" t="s">
        <v>142</v>
      </c>
      <c r="C70" s="196">
        <v>9622697</v>
      </c>
      <c r="D70" s="196">
        <v>9622697</v>
      </c>
      <c r="E70" s="197">
        <v>6102124.6500000004</v>
      </c>
      <c r="F70" s="198">
        <v>2526247</v>
      </c>
      <c r="G70" s="198">
        <v>2085</v>
      </c>
      <c r="H70" s="197">
        <v>2191885.5499999998</v>
      </c>
      <c r="I70" s="197">
        <v>151194.84</v>
      </c>
      <c r="J70" s="197">
        <f t="shared" si="83"/>
        <v>-334361.45000000019</v>
      </c>
      <c r="K70" s="197">
        <f t="shared" si="84"/>
        <v>149109.84</v>
      </c>
      <c r="L70" s="196">
        <v>32645.0178947368</v>
      </c>
      <c r="M70" s="199">
        <v>241845.98210526301</v>
      </c>
      <c r="N70" s="199">
        <v>253862.28</v>
      </c>
      <c r="O70" s="199">
        <v>334461.25894736801</v>
      </c>
      <c r="P70" s="138">
        <v>390603.40105263202</v>
      </c>
      <c r="Q70" s="199">
        <v>399420.814736842</v>
      </c>
      <c r="R70" s="199">
        <v>409317.43263157899</v>
      </c>
      <c r="S70" s="199">
        <v>409317.43263157899</v>
      </c>
      <c r="T70" s="199">
        <v>409317.43263157899</v>
      </c>
      <c r="U70" s="199">
        <v>409317.43263157899</v>
      </c>
      <c r="V70" s="199">
        <v>409317.43263157899</v>
      </c>
      <c r="W70" s="199">
        <v>409317.43263157899</v>
      </c>
      <c r="X70" s="200">
        <f>Z70/Y70*W70</f>
        <v>301.72607417788657</v>
      </c>
      <c r="Y70" s="201">
        <v>988951.35</v>
      </c>
      <c r="Z70" s="202">
        <v>729</v>
      </c>
      <c r="AA70" s="200">
        <f t="shared" si="76"/>
        <v>579633.91736842098</v>
      </c>
      <c r="AB70" s="200">
        <f t="shared" si="77"/>
        <v>427.27392582211343</v>
      </c>
      <c r="AC70" s="197">
        <v>8987</v>
      </c>
      <c r="AD70" s="197">
        <f>AC70</f>
        <v>8987</v>
      </c>
      <c r="AE70" s="197">
        <f>AD70</f>
        <v>8987</v>
      </c>
      <c r="AF70" s="203">
        <f>AE70</f>
        <v>8987</v>
      </c>
      <c r="AG70" s="197">
        <v>8</v>
      </c>
      <c r="AH70" s="101">
        <v>9954</v>
      </c>
      <c r="AI70" s="102">
        <v>8</v>
      </c>
      <c r="AJ70" s="103">
        <f t="shared" si="79"/>
        <v>967</v>
      </c>
      <c r="AK70" s="103">
        <f t="shared" si="80"/>
        <v>0</v>
      </c>
      <c r="AL70" s="100">
        <f t="shared" si="86"/>
        <v>2610189.982631579</v>
      </c>
      <c r="AM70" s="100">
        <f t="shared" si="87"/>
        <v>151504.56607417788</v>
      </c>
      <c r="AN70"/>
      <c r="AO70" s="17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</row>
    <row r="71" spans="1:154" s="18" customFormat="1" ht="39">
      <c r="A71" s="178"/>
      <c r="B71" s="194" t="s">
        <v>143</v>
      </c>
      <c r="C71" s="180">
        <f t="shared" ref="C71:E71" si="89">SUM(C72:C73)</f>
        <v>5026716</v>
      </c>
      <c r="D71" s="180">
        <f t="shared" si="89"/>
        <v>5026716</v>
      </c>
      <c r="E71" s="180">
        <f t="shared" si="89"/>
        <v>4108704.98</v>
      </c>
      <c r="F71" s="180">
        <v>687224.55999999994</v>
      </c>
      <c r="G71" s="180">
        <v>20500</v>
      </c>
      <c r="H71" s="180">
        <f t="shared" ref="H71:I71" si="90">SUM(H72:H73)</f>
        <v>324443.58999999997</v>
      </c>
      <c r="I71" s="180">
        <f t="shared" si="90"/>
        <v>7162</v>
      </c>
      <c r="J71" s="180">
        <f t="shared" si="83"/>
        <v>-362780.97</v>
      </c>
      <c r="K71" s="180">
        <f t="shared" si="84"/>
        <v>-13338</v>
      </c>
      <c r="L71" s="180">
        <f t="shared" ref="L71:W71" si="91">SUM(L72:L73)</f>
        <v>60024.039999999994</v>
      </c>
      <c r="M71" s="180">
        <f t="shared" si="91"/>
        <v>85689.56</v>
      </c>
      <c r="N71" s="180">
        <f t="shared" si="91"/>
        <v>154388.28</v>
      </c>
      <c r="O71" s="180">
        <f t="shared" si="91"/>
        <v>195438.92</v>
      </c>
      <c r="P71" s="180">
        <f t="shared" si="91"/>
        <v>195438.76</v>
      </c>
      <c r="Q71" s="180">
        <f t="shared" si="91"/>
        <v>197286.92</v>
      </c>
      <c r="R71" s="180">
        <f t="shared" si="91"/>
        <v>197286.76</v>
      </c>
      <c r="S71" s="180">
        <f t="shared" si="91"/>
        <v>207581.92</v>
      </c>
      <c r="T71" s="180">
        <f t="shared" si="91"/>
        <v>207581.76</v>
      </c>
      <c r="U71" s="180">
        <f t="shared" si="91"/>
        <v>207581.76</v>
      </c>
      <c r="V71" s="180">
        <f t="shared" si="91"/>
        <v>207581.76</v>
      </c>
      <c r="W71" s="180">
        <f t="shared" si="91"/>
        <v>211931.61000000002</v>
      </c>
      <c r="X71" s="180">
        <f t="shared" ref="X71" si="92">SUM(X72:X73)</f>
        <v>12431</v>
      </c>
      <c r="Y71" s="180">
        <f>SUM(Y72:Y73)</f>
        <v>55184.57</v>
      </c>
      <c r="Z71" s="180">
        <f>SUM(Z72:Z73)</f>
        <v>0</v>
      </c>
      <c r="AA71" s="180">
        <f t="shared" si="76"/>
        <v>-156747.04</v>
      </c>
      <c r="AB71" s="180">
        <f t="shared" si="77"/>
        <v>-12431</v>
      </c>
      <c r="AC71" s="181">
        <f t="shared" ref="AC71:AG71" si="93">SUM(AC72:AC73)</f>
        <v>29048</v>
      </c>
      <c r="AD71" s="181">
        <f t="shared" si="93"/>
        <v>29048</v>
      </c>
      <c r="AE71" s="181">
        <f t="shared" si="93"/>
        <v>32878</v>
      </c>
      <c r="AF71" s="181">
        <f t="shared" si="93"/>
        <v>45378</v>
      </c>
      <c r="AG71" s="181">
        <f t="shared" si="93"/>
        <v>3386</v>
      </c>
      <c r="AH71" s="77">
        <f>SUM(AH72:AH73)</f>
        <v>0</v>
      </c>
      <c r="AI71" s="77">
        <f>SUM(AI72:AI73)</f>
        <v>0</v>
      </c>
      <c r="AJ71" s="78">
        <f t="shared" si="79"/>
        <v>-45378</v>
      </c>
      <c r="AK71" s="78">
        <f t="shared" si="80"/>
        <v>-3386</v>
      </c>
      <c r="AL71" s="76">
        <f t="shared" si="86"/>
        <v>581753.19999999995</v>
      </c>
      <c r="AM71" s="76">
        <f t="shared" si="87"/>
        <v>22979</v>
      </c>
      <c r="AN71"/>
      <c r="AO71" s="17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</row>
    <row r="72" spans="1:154" s="19" customFormat="1" ht="90.75" customHeight="1">
      <c r="A72" s="190" t="s">
        <v>144</v>
      </c>
      <c r="B72" s="190" t="s">
        <v>145</v>
      </c>
      <c r="C72" s="97">
        <v>2543142</v>
      </c>
      <c r="D72" s="97">
        <v>2543142</v>
      </c>
      <c r="E72" s="98">
        <v>2298835.63</v>
      </c>
      <c r="F72" s="191">
        <v>194657.47999999998</v>
      </c>
      <c r="G72" s="191">
        <v>500</v>
      </c>
      <c r="H72" s="98">
        <v>136757</v>
      </c>
      <c r="I72" s="98">
        <v>5162</v>
      </c>
      <c r="J72" s="98">
        <f t="shared" si="83"/>
        <v>-57900.479999999981</v>
      </c>
      <c r="K72" s="98">
        <f t="shared" si="84"/>
        <v>4662</v>
      </c>
      <c r="L72" s="97">
        <v>5619.16</v>
      </c>
      <c r="M72" s="98">
        <v>5619</v>
      </c>
      <c r="N72" s="98">
        <v>5619</v>
      </c>
      <c r="O72" s="98">
        <v>7469.16</v>
      </c>
      <c r="P72" s="98">
        <v>7469</v>
      </c>
      <c r="Q72" s="98">
        <v>9317.16</v>
      </c>
      <c r="R72" s="98">
        <v>9317</v>
      </c>
      <c r="S72" s="98">
        <v>17112.16</v>
      </c>
      <c r="T72" s="98">
        <v>17112</v>
      </c>
      <c r="U72" s="98">
        <v>17112</v>
      </c>
      <c r="V72" s="98">
        <v>17112</v>
      </c>
      <c r="W72" s="98">
        <v>21461.85</v>
      </c>
      <c r="X72" s="99">
        <v>1876</v>
      </c>
      <c r="Y72" s="191">
        <v>11559.89</v>
      </c>
      <c r="Z72" s="192">
        <v>0</v>
      </c>
      <c r="AA72" s="99">
        <f t="shared" si="76"/>
        <v>-9901.9599999999991</v>
      </c>
      <c r="AB72" s="99">
        <f t="shared" si="77"/>
        <v>-1876</v>
      </c>
      <c r="AC72" s="98">
        <v>5027</v>
      </c>
      <c r="AD72" s="98">
        <v>5027</v>
      </c>
      <c r="AE72" s="98">
        <v>8857</v>
      </c>
      <c r="AF72" s="98">
        <v>8857</v>
      </c>
      <c r="AG72" s="98">
        <v>600</v>
      </c>
      <c r="AH72" s="89"/>
      <c r="AI72" s="91"/>
      <c r="AJ72" s="92"/>
      <c r="AK72" s="92"/>
      <c r="AL72" s="47">
        <v>167075.85</v>
      </c>
      <c r="AM72" s="47">
        <v>7638</v>
      </c>
      <c r="AN72"/>
      <c r="AO72" s="17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</row>
    <row r="73" spans="1:154" s="19" customFormat="1" ht="159.75" customHeight="1">
      <c r="A73" s="190" t="s">
        <v>146</v>
      </c>
      <c r="B73" s="190" t="s">
        <v>147</v>
      </c>
      <c r="C73" s="97">
        <v>2483574</v>
      </c>
      <c r="D73" s="97">
        <v>2483574</v>
      </c>
      <c r="E73" s="98">
        <v>1809869.35</v>
      </c>
      <c r="F73" s="191">
        <v>492567.07999999996</v>
      </c>
      <c r="G73" s="191">
        <v>20000</v>
      </c>
      <c r="H73" s="98">
        <v>187686.59</v>
      </c>
      <c r="I73" s="98">
        <v>2000</v>
      </c>
      <c r="J73" s="98">
        <f t="shared" si="83"/>
        <v>-304880.49</v>
      </c>
      <c r="K73" s="98">
        <f t="shared" si="84"/>
        <v>-18000</v>
      </c>
      <c r="L73" s="97">
        <v>54404.88</v>
      </c>
      <c r="M73" s="98">
        <v>80070.559999999998</v>
      </c>
      <c r="N73" s="98">
        <v>148769.28</v>
      </c>
      <c r="O73" s="98">
        <v>187969.76</v>
      </c>
      <c r="P73" s="98">
        <v>187969.76</v>
      </c>
      <c r="Q73" s="98">
        <v>187969.76</v>
      </c>
      <c r="R73" s="98">
        <v>187969.76</v>
      </c>
      <c r="S73" s="98">
        <v>190469.76000000001</v>
      </c>
      <c r="T73" s="98">
        <v>190469.76000000001</v>
      </c>
      <c r="U73" s="98">
        <v>190469.76000000001</v>
      </c>
      <c r="V73" s="98">
        <v>190469.76000000001</v>
      </c>
      <c r="W73" s="98">
        <v>190469.76000000001</v>
      </c>
      <c r="X73" s="99">
        <v>10555</v>
      </c>
      <c r="Y73" s="191">
        <v>43624.68</v>
      </c>
      <c r="Z73" s="192">
        <v>0</v>
      </c>
      <c r="AA73" s="99">
        <f t="shared" si="76"/>
        <v>-146845.08000000002</v>
      </c>
      <c r="AB73" s="99">
        <f t="shared" si="77"/>
        <v>-10555</v>
      </c>
      <c r="AC73" s="98">
        <v>24021</v>
      </c>
      <c r="AD73" s="98">
        <v>24021</v>
      </c>
      <c r="AE73" s="98">
        <v>24021</v>
      </c>
      <c r="AF73" s="98">
        <v>36521</v>
      </c>
      <c r="AG73" s="98">
        <v>2786</v>
      </c>
      <c r="AH73" s="89"/>
      <c r="AI73" s="91"/>
      <c r="AJ73" s="92"/>
      <c r="AK73" s="92"/>
      <c r="AL73" s="47">
        <v>414677.35</v>
      </c>
      <c r="AM73" s="47">
        <v>15341</v>
      </c>
      <c r="AN73"/>
      <c r="AO73" s="17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</row>
    <row r="74" spans="1:154" s="18" customFormat="1" ht="19.5">
      <c r="A74" s="178"/>
      <c r="B74" s="179" t="s">
        <v>148</v>
      </c>
      <c r="C74" s="180">
        <f t="shared" ref="C74:AI74" si="94">SUM(C75:C77)</f>
        <v>8720346</v>
      </c>
      <c r="D74" s="180">
        <f t="shared" si="94"/>
        <v>8720346</v>
      </c>
      <c r="E74" s="180">
        <f t="shared" si="94"/>
        <v>6549643.6299999999</v>
      </c>
      <c r="F74" s="180">
        <v>1488837.7699999998</v>
      </c>
      <c r="G74" s="180">
        <v>61639.69</v>
      </c>
      <c r="H74" s="180">
        <f t="shared" si="94"/>
        <v>1555389.2098930001</v>
      </c>
      <c r="I74" s="180">
        <f t="shared" si="94"/>
        <v>202671.14</v>
      </c>
      <c r="J74" s="180">
        <f t="shared" si="83"/>
        <v>66551.439893000294</v>
      </c>
      <c r="K74" s="180">
        <f t="shared" si="84"/>
        <v>141031.45000000001</v>
      </c>
      <c r="L74" s="180">
        <f t="shared" si="94"/>
        <v>0</v>
      </c>
      <c r="M74" s="180">
        <f t="shared" si="94"/>
        <v>0</v>
      </c>
      <c r="N74" s="180">
        <f t="shared" si="94"/>
        <v>196954.37820000001</v>
      </c>
      <c r="O74" s="180">
        <f t="shared" si="94"/>
        <v>196954.37820000001</v>
      </c>
      <c r="P74" s="180">
        <f t="shared" si="94"/>
        <v>196954.37820000001</v>
      </c>
      <c r="Q74" s="180">
        <f t="shared" si="94"/>
        <v>336841.37819999998</v>
      </c>
      <c r="R74" s="180">
        <f t="shared" si="94"/>
        <v>336841.37819999998</v>
      </c>
      <c r="S74" s="180">
        <f t="shared" si="94"/>
        <v>336841.37819999998</v>
      </c>
      <c r="T74" s="180">
        <f t="shared" si="94"/>
        <v>476728.37819999998</v>
      </c>
      <c r="U74" s="180">
        <f t="shared" si="94"/>
        <v>476728.37819999998</v>
      </c>
      <c r="V74" s="180">
        <f t="shared" si="94"/>
        <v>476728.37819999998</v>
      </c>
      <c r="W74" s="180">
        <f t="shared" si="94"/>
        <v>616615.37819999992</v>
      </c>
      <c r="X74" s="180">
        <f t="shared" ref="X74" si="95">SUM(X75:X77)</f>
        <v>30830.75</v>
      </c>
      <c r="Y74" s="180">
        <f t="shared" si="94"/>
        <v>563100.91999999993</v>
      </c>
      <c r="Z74" s="180">
        <f t="shared" si="94"/>
        <v>12020.03</v>
      </c>
      <c r="AA74" s="180">
        <f t="shared" si="76"/>
        <v>-53514.458199999994</v>
      </c>
      <c r="AB74" s="180">
        <f t="shared" si="77"/>
        <v>-18810.72</v>
      </c>
      <c r="AC74" s="181">
        <f t="shared" ref="AC74:AG74" si="96">SUM(AC75:AC77)</f>
        <v>395526.84054499998</v>
      </c>
      <c r="AD74" s="181">
        <f t="shared" si="96"/>
        <v>704101.68108999997</v>
      </c>
      <c r="AE74" s="181">
        <f t="shared" si="96"/>
        <v>704101.68108999997</v>
      </c>
      <c r="AF74" s="181">
        <f t="shared" si="96"/>
        <v>704101.68108999997</v>
      </c>
      <c r="AG74" s="181">
        <f t="shared" si="96"/>
        <v>49347.55</v>
      </c>
      <c r="AH74" s="77">
        <f t="shared" si="94"/>
        <v>1045601.56</v>
      </c>
      <c r="AI74" s="77">
        <f t="shared" si="94"/>
        <v>22319.55</v>
      </c>
      <c r="AJ74" s="78">
        <f t="shared" si="79"/>
        <v>341499.87891000009</v>
      </c>
      <c r="AK74" s="78">
        <f t="shared" si="80"/>
        <v>-27028.000000000004</v>
      </c>
      <c r="AL74" s="76">
        <f t="shared" si="86"/>
        <v>2876106.2691830001</v>
      </c>
      <c r="AM74" s="76">
        <f t="shared" si="87"/>
        <v>282849.44</v>
      </c>
      <c r="AN74"/>
      <c r="AO74" s="17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</row>
    <row r="75" spans="1:154" s="19" customFormat="1" ht="56.25" outlineLevel="1">
      <c r="A75" s="190" t="s">
        <v>149</v>
      </c>
      <c r="B75" s="190" t="s">
        <v>150</v>
      </c>
      <c r="C75" s="97">
        <v>0</v>
      </c>
      <c r="D75" s="97">
        <v>0</v>
      </c>
      <c r="E75" s="98">
        <v>0</v>
      </c>
      <c r="F75" s="191">
        <v>0</v>
      </c>
      <c r="G75" s="191"/>
      <c r="H75" s="98"/>
      <c r="I75" s="98"/>
      <c r="J75" s="98">
        <f t="shared" si="83"/>
        <v>0</v>
      </c>
      <c r="K75" s="98">
        <f t="shared" si="84"/>
        <v>0</v>
      </c>
      <c r="L75" s="97">
        <v>0</v>
      </c>
      <c r="M75" s="98">
        <v>0</v>
      </c>
      <c r="N75" s="98">
        <v>0</v>
      </c>
      <c r="O75" s="98">
        <v>0</v>
      </c>
      <c r="P75" s="98">
        <v>0</v>
      </c>
      <c r="Q75" s="98">
        <v>0</v>
      </c>
      <c r="R75" s="98">
        <v>0</v>
      </c>
      <c r="S75" s="98">
        <v>0</v>
      </c>
      <c r="T75" s="98">
        <v>0</v>
      </c>
      <c r="U75" s="98">
        <v>0</v>
      </c>
      <c r="V75" s="98">
        <v>0</v>
      </c>
      <c r="W75" s="98">
        <v>0</v>
      </c>
      <c r="X75" s="99">
        <v>0</v>
      </c>
      <c r="Y75" s="191">
        <v>0</v>
      </c>
      <c r="Z75" s="192"/>
      <c r="AA75" s="99">
        <f t="shared" si="76"/>
        <v>0</v>
      </c>
      <c r="AB75" s="99">
        <f t="shared" si="77"/>
        <v>0</v>
      </c>
      <c r="AC75" s="98">
        <v>0</v>
      </c>
      <c r="AD75" s="98">
        <v>0</v>
      </c>
      <c r="AE75" s="98">
        <v>0</v>
      </c>
      <c r="AF75" s="98">
        <v>0</v>
      </c>
      <c r="AG75" s="98">
        <v>0</v>
      </c>
      <c r="AH75" s="89">
        <v>0</v>
      </c>
      <c r="AI75" s="91"/>
      <c r="AJ75" s="92">
        <f t="shared" si="79"/>
        <v>0</v>
      </c>
      <c r="AK75" s="92">
        <f t="shared" si="80"/>
        <v>0</v>
      </c>
      <c r="AL75" s="47">
        <f t="shared" si="86"/>
        <v>0</v>
      </c>
      <c r="AM75" s="47">
        <f t="shared" si="87"/>
        <v>0</v>
      </c>
      <c r="AN75"/>
      <c r="AO75" s="17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</row>
    <row r="76" spans="1:154" s="19" customFormat="1" ht="64.5" customHeight="1" outlineLevel="1">
      <c r="A76" s="190" t="s">
        <v>151</v>
      </c>
      <c r="B76" s="190" t="s">
        <v>152</v>
      </c>
      <c r="C76" s="97">
        <v>0</v>
      </c>
      <c r="D76" s="97">
        <v>0</v>
      </c>
      <c r="E76" s="98">
        <v>0</v>
      </c>
      <c r="F76" s="191">
        <v>0</v>
      </c>
      <c r="G76" s="191"/>
      <c r="H76" s="98"/>
      <c r="I76" s="98"/>
      <c r="J76" s="98">
        <f t="shared" si="83"/>
        <v>0</v>
      </c>
      <c r="K76" s="98">
        <f t="shared" si="84"/>
        <v>0</v>
      </c>
      <c r="L76" s="97">
        <v>0</v>
      </c>
      <c r="M76" s="98">
        <v>0</v>
      </c>
      <c r="N76" s="98">
        <v>0</v>
      </c>
      <c r="O76" s="98">
        <v>0</v>
      </c>
      <c r="P76" s="98">
        <v>0</v>
      </c>
      <c r="Q76" s="98">
        <v>0</v>
      </c>
      <c r="R76" s="98">
        <v>0</v>
      </c>
      <c r="S76" s="98">
        <v>0</v>
      </c>
      <c r="T76" s="98">
        <v>0</v>
      </c>
      <c r="U76" s="98">
        <v>0</v>
      </c>
      <c r="V76" s="98">
        <v>0</v>
      </c>
      <c r="W76" s="98">
        <v>0</v>
      </c>
      <c r="X76" s="99">
        <v>0</v>
      </c>
      <c r="Y76" s="191">
        <v>0</v>
      </c>
      <c r="Z76" s="192"/>
      <c r="AA76" s="99">
        <f t="shared" si="76"/>
        <v>0</v>
      </c>
      <c r="AB76" s="99">
        <f t="shared" si="77"/>
        <v>0</v>
      </c>
      <c r="AC76" s="98">
        <v>0</v>
      </c>
      <c r="AD76" s="98">
        <v>0</v>
      </c>
      <c r="AE76" s="98">
        <v>0</v>
      </c>
      <c r="AF76" s="98">
        <v>0</v>
      </c>
      <c r="AG76" s="98">
        <v>0</v>
      </c>
      <c r="AH76" s="89">
        <v>0</v>
      </c>
      <c r="AI76" s="91"/>
      <c r="AJ76" s="92">
        <f t="shared" si="79"/>
        <v>0</v>
      </c>
      <c r="AK76" s="92">
        <f t="shared" si="80"/>
        <v>0</v>
      </c>
      <c r="AL76" s="47">
        <f t="shared" si="86"/>
        <v>0</v>
      </c>
      <c r="AM76" s="47">
        <f t="shared" si="87"/>
        <v>0</v>
      </c>
      <c r="AN76"/>
      <c r="AO76" s="17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</row>
    <row r="77" spans="1:154" s="19" customFormat="1" ht="147" customHeight="1">
      <c r="A77" s="190" t="s">
        <v>153</v>
      </c>
      <c r="B77" s="190" t="s">
        <v>154</v>
      </c>
      <c r="C77" s="97">
        <v>8720346</v>
      </c>
      <c r="D77" s="97">
        <f>8720346</f>
        <v>8720346</v>
      </c>
      <c r="E77" s="98">
        <v>6549643.6299999999</v>
      </c>
      <c r="F77" s="191">
        <v>1488837.7699999998</v>
      </c>
      <c r="G77" s="191">
        <v>61639.69</v>
      </c>
      <c r="H77" s="98">
        <v>1555389.2098930001</v>
      </c>
      <c r="I77" s="98">
        <f>8829.82+193841.32</f>
        <v>202671.14</v>
      </c>
      <c r="J77" s="98">
        <f t="shared" si="83"/>
        <v>66551.439893000294</v>
      </c>
      <c r="K77" s="98">
        <f t="shared" si="84"/>
        <v>141031.45000000001</v>
      </c>
      <c r="L77" s="98">
        <v>0</v>
      </c>
      <c r="M77" s="98">
        <v>0</v>
      </c>
      <c r="N77" s="98">
        <v>196954.37820000001</v>
      </c>
      <c r="O77" s="98">
        <v>196954.37820000001</v>
      </c>
      <c r="P77" s="98">
        <v>196954.37820000001</v>
      </c>
      <c r="Q77" s="98">
        <v>336841.37819999998</v>
      </c>
      <c r="R77" s="98">
        <v>336841.37819999998</v>
      </c>
      <c r="S77" s="98">
        <v>336841.37819999998</v>
      </c>
      <c r="T77" s="98">
        <v>476728.37819999998</v>
      </c>
      <c r="U77" s="98">
        <v>476728.37819999998</v>
      </c>
      <c r="V77" s="98">
        <v>476728.37819999998</v>
      </c>
      <c r="W77" s="98">
        <v>616615.37819999992</v>
      </c>
      <c r="X77" s="99">
        <v>30830.75</v>
      </c>
      <c r="Y77" s="191">
        <v>563100.91999999993</v>
      </c>
      <c r="Z77" s="192">
        <v>12020.03</v>
      </c>
      <c r="AA77" s="99">
        <f t="shared" si="76"/>
        <v>-53514.458199999994</v>
      </c>
      <c r="AB77" s="99">
        <f t="shared" si="77"/>
        <v>-18810.72</v>
      </c>
      <c r="AC77" s="98">
        <v>395526.84054499998</v>
      </c>
      <c r="AD77" s="98">
        <v>704101.68108999997</v>
      </c>
      <c r="AE77" s="98">
        <v>704101.68108999997</v>
      </c>
      <c r="AF77" s="98">
        <v>704101.68108999997</v>
      </c>
      <c r="AG77" s="98">
        <v>49347.55</v>
      </c>
      <c r="AH77" s="89">
        <v>1045601.56</v>
      </c>
      <c r="AI77" s="91">
        <v>22319.55</v>
      </c>
      <c r="AJ77" s="92">
        <f t="shared" si="79"/>
        <v>341499.87891000009</v>
      </c>
      <c r="AK77" s="92">
        <f t="shared" si="80"/>
        <v>-27028.000000000004</v>
      </c>
      <c r="AL77" s="47">
        <f t="shared" si="86"/>
        <v>2876106.2691830001</v>
      </c>
      <c r="AM77" s="47">
        <f t="shared" si="87"/>
        <v>282849.44</v>
      </c>
      <c r="AN77"/>
      <c r="AO77" s="1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</row>
    <row r="78" spans="1:154" s="18" customFormat="1" ht="19.5">
      <c r="A78" s="178"/>
      <c r="B78" s="179" t="s">
        <v>155</v>
      </c>
      <c r="C78" s="180">
        <f t="shared" ref="C78:AI78" si="97">SUM(C79:C86)</f>
        <v>8279706.3609439991</v>
      </c>
      <c r="D78" s="180">
        <f t="shared" si="97"/>
        <v>8279706.3609439991</v>
      </c>
      <c r="E78" s="180">
        <f t="shared" si="97"/>
        <v>5502817.4700000007</v>
      </c>
      <c r="F78" s="180">
        <v>1952665.6159999999</v>
      </c>
      <c r="G78" s="180">
        <v>0</v>
      </c>
      <c r="H78" s="180">
        <f t="shared" si="97"/>
        <v>1449792.22</v>
      </c>
      <c r="I78" s="180">
        <f t="shared" si="97"/>
        <v>0</v>
      </c>
      <c r="J78" s="180">
        <f t="shared" si="83"/>
        <v>-502873.39599999995</v>
      </c>
      <c r="K78" s="180">
        <f t="shared" si="84"/>
        <v>0</v>
      </c>
      <c r="L78" s="180">
        <f t="shared" si="97"/>
        <v>104435.29</v>
      </c>
      <c r="M78" s="180">
        <f t="shared" si="97"/>
        <v>244601.86000000002</v>
      </c>
      <c r="N78" s="180">
        <f t="shared" si="97"/>
        <v>350094.8</v>
      </c>
      <c r="O78" s="180">
        <f t="shared" si="97"/>
        <v>441039.25</v>
      </c>
      <c r="P78" s="180">
        <f t="shared" si="97"/>
        <v>535086.82000000007</v>
      </c>
      <c r="Q78" s="180">
        <f t="shared" si="97"/>
        <v>618835.40999999992</v>
      </c>
      <c r="R78" s="180">
        <f t="shared" si="97"/>
        <v>663773.27</v>
      </c>
      <c r="S78" s="180">
        <f t="shared" si="97"/>
        <v>720621.73999999987</v>
      </c>
      <c r="T78" s="180">
        <f t="shared" si="97"/>
        <v>808928.83000000007</v>
      </c>
      <c r="U78" s="180">
        <f t="shared" si="97"/>
        <v>857094.55999999994</v>
      </c>
      <c r="V78" s="180">
        <f t="shared" si="97"/>
        <v>900114.72</v>
      </c>
      <c r="W78" s="180">
        <f t="shared" si="97"/>
        <v>962204.8600000001</v>
      </c>
      <c r="X78" s="180">
        <f t="shared" ref="X78" si="98">SUM(X79:X86)</f>
        <v>0</v>
      </c>
      <c r="Y78" s="180">
        <f t="shared" si="97"/>
        <v>519733.32999999996</v>
      </c>
      <c r="Z78" s="180">
        <f t="shared" si="97"/>
        <v>0</v>
      </c>
      <c r="AA78" s="180">
        <f t="shared" si="76"/>
        <v>-442471.53000000014</v>
      </c>
      <c r="AB78" s="180">
        <f t="shared" si="77"/>
        <v>0</v>
      </c>
      <c r="AC78" s="181">
        <f t="shared" ref="AC78:AG78" si="99">SUM(AC79:AC86)</f>
        <v>175144.34999999998</v>
      </c>
      <c r="AD78" s="181">
        <f t="shared" si="99"/>
        <v>250529.11</v>
      </c>
      <c r="AE78" s="181">
        <f t="shared" si="99"/>
        <v>325913.87</v>
      </c>
      <c r="AF78" s="181">
        <f t="shared" si="99"/>
        <v>325913.87</v>
      </c>
      <c r="AG78" s="181">
        <f t="shared" si="99"/>
        <v>0</v>
      </c>
      <c r="AH78" s="77">
        <f t="shared" si="97"/>
        <v>152578</v>
      </c>
      <c r="AI78" s="77">
        <f t="shared" si="97"/>
        <v>0</v>
      </c>
      <c r="AJ78" s="78">
        <f t="shared" si="79"/>
        <v>-173335.87</v>
      </c>
      <c r="AK78" s="78">
        <f t="shared" si="80"/>
        <v>0</v>
      </c>
      <c r="AL78" s="76">
        <f t="shared" si="86"/>
        <v>2737910.95</v>
      </c>
      <c r="AM78" s="76">
        <f t="shared" si="87"/>
        <v>0</v>
      </c>
      <c r="AN78"/>
      <c r="AO78" s="17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</row>
    <row r="79" spans="1:154" s="19" customFormat="1" ht="64.5" customHeight="1" outlineLevel="1">
      <c r="A79" s="182" t="s">
        <v>156</v>
      </c>
      <c r="B79" s="182" t="s">
        <v>157</v>
      </c>
      <c r="C79" s="183">
        <v>0</v>
      </c>
      <c r="D79" s="183">
        <v>0</v>
      </c>
      <c r="E79" s="138">
        <v>0</v>
      </c>
      <c r="F79" s="187">
        <v>0</v>
      </c>
      <c r="G79" s="187"/>
      <c r="H79" s="138"/>
      <c r="I79" s="138"/>
      <c r="J79" s="138">
        <f t="shared" si="83"/>
        <v>0</v>
      </c>
      <c r="K79" s="138">
        <f t="shared" si="84"/>
        <v>0</v>
      </c>
      <c r="L79" s="183">
        <v>0</v>
      </c>
      <c r="M79" s="138">
        <v>0</v>
      </c>
      <c r="N79" s="138">
        <v>0</v>
      </c>
      <c r="O79" s="138">
        <v>0</v>
      </c>
      <c r="P79" s="138">
        <v>0</v>
      </c>
      <c r="Q79" s="138">
        <v>0</v>
      </c>
      <c r="R79" s="138">
        <v>0</v>
      </c>
      <c r="S79" s="138">
        <v>0</v>
      </c>
      <c r="T79" s="138">
        <v>0</v>
      </c>
      <c r="U79" s="138">
        <v>0</v>
      </c>
      <c r="V79" s="138">
        <v>0</v>
      </c>
      <c r="W79" s="138">
        <v>0</v>
      </c>
      <c r="X79" s="188">
        <v>0</v>
      </c>
      <c r="Y79" s="187">
        <v>0</v>
      </c>
      <c r="Z79" s="189"/>
      <c r="AA79" s="188">
        <f t="shared" si="76"/>
        <v>0</v>
      </c>
      <c r="AB79" s="188">
        <f t="shared" si="77"/>
        <v>0</v>
      </c>
      <c r="AC79" s="138">
        <v>0</v>
      </c>
      <c r="AD79" s="138">
        <v>0</v>
      </c>
      <c r="AE79" s="138">
        <v>0</v>
      </c>
      <c r="AF79" s="138">
        <v>0</v>
      </c>
      <c r="AG79" s="138">
        <v>0</v>
      </c>
      <c r="AH79" s="86">
        <v>0</v>
      </c>
      <c r="AI79" s="87"/>
      <c r="AJ79" s="88">
        <f t="shared" si="79"/>
        <v>0</v>
      </c>
      <c r="AK79" s="88">
        <f t="shared" si="80"/>
        <v>0</v>
      </c>
      <c r="AL79" s="85">
        <f t="shared" si="86"/>
        <v>0</v>
      </c>
      <c r="AM79" s="85">
        <f t="shared" si="87"/>
        <v>0</v>
      </c>
      <c r="AN79"/>
      <c r="AO79" s="17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</row>
    <row r="80" spans="1:154" s="19" customFormat="1" ht="56.25">
      <c r="A80" s="182" t="s">
        <v>158</v>
      </c>
      <c r="B80" s="182" t="s">
        <v>159</v>
      </c>
      <c r="C80" s="183">
        <v>1723395</v>
      </c>
      <c r="D80" s="183">
        <v>1723395</v>
      </c>
      <c r="E80" s="138">
        <v>885711.99</v>
      </c>
      <c r="F80" s="187">
        <v>643678.86250000005</v>
      </c>
      <c r="G80" s="187"/>
      <c r="H80" s="138">
        <f>93584.5+88491.11</f>
        <v>182075.61</v>
      </c>
      <c r="I80" s="138"/>
      <c r="J80" s="138">
        <f t="shared" si="83"/>
        <v>-461603.25250000006</v>
      </c>
      <c r="K80" s="138">
        <f t="shared" si="84"/>
        <v>0</v>
      </c>
      <c r="L80" s="183">
        <v>34919.279999999999</v>
      </c>
      <c r="M80" s="205">
        <f>L80+116022.5-26150-10500-7800</f>
        <v>106491.78</v>
      </c>
      <c r="N80" s="205">
        <f>M80+33908.45</f>
        <v>140400.22999999998</v>
      </c>
      <c r="O80" s="205">
        <f>N80+85009.38-15000</f>
        <v>210409.61</v>
      </c>
      <c r="P80" s="205">
        <f>O80+132773.15-30350-22500-8200</f>
        <v>282132.76</v>
      </c>
      <c r="Q80" s="205">
        <f>P80+39290.96</f>
        <v>321423.72000000003</v>
      </c>
      <c r="R80" s="205">
        <f>Q80+17916.52+10500</f>
        <v>349840.24000000005</v>
      </c>
      <c r="S80" s="205">
        <f>R80+46948.99</f>
        <v>396789.23000000004</v>
      </c>
      <c r="T80" s="205">
        <f>S80+70164.4-10150</f>
        <v>456803.63</v>
      </c>
      <c r="U80" s="205">
        <f>T80+5713.37+22500</f>
        <v>485017</v>
      </c>
      <c r="V80" s="205">
        <f>U80+28674.52</f>
        <v>513691.52</v>
      </c>
      <c r="W80" s="205">
        <f>V80+24310.59+7800+8200</f>
        <v>554002.11</v>
      </c>
      <c r="X80" s="205">
        <v>0</v>
      </c>
      <c r="Y80" s="206">
        <v>193995</v>
      </c>
      <c r="Z80" s="206"/>
      <c r="AA80" s="205">
        <f t="shared" si="76"/>
        <v>-360007.11</v>
      </c>
      <c r="AB80" s="205">
        <f t="shared" si="77"/>
        <v>0</v>
      </c>
      <c r="AC80" s="207">
        <f>24310.59-4355+81650</f>
        <v>101605.59</v>
      </c>
      <c r="AD80" s="207">
        <f>24310.59-4355+81650</f>
        <v>101605.59</v>
      </c>
      <c r="AE80" s="207">
        <f>24310.59-4355+81650</f>
        <v>101605.59</v>
      </c>
      <c r="AF80" s="207">
        <f>24310.59-4355+81650</f>
        <v>101605.59</v>
      </c>
      <c r="AG80" s="207">
        <v>0</v>
      </c>
      <c r="AH80" s="104">
        <v>0</v>
      </c>
      <c r="AI80" s="104"/>
      <c r="AJ80" s="105">
        <f t="shared" si="79"/>
        <v>-101605.59</v>
      </c>
      <c r="AK80" s="105">
        <f t="shared" si="80"/>
        <v>0</v>
      </c>
      <c r="AL80" s="106">
        <f t="shared" si="86"/>
        <v>837683.30999999994</v>
      </c>
      <c r="AM80" s="106">
        <f t="shared" si="87"/>
        <v>0</v>
      </c>
      <c r="AN80"/>
      <c r="AO80" s="17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</row>
    <row r="81" spans="1:154" s="19" customFormat="1" ht="37.5">
      <c r="A81" s="182" t="s">
        <v>160</v>
      </c>
      <c r="B81" s="182" t="s">
        <v>161</v>
      </c>
      <c r="C81" s="183">
        <v>341103</v>
      </c>
      <c r="D81" s="183">
        <v>341103</v>
      </c>
      <c r="E81" s="138">
        <v>341518.06</v>
      </c>
      <c r="F81" s="187">
        <v>0</v>
      </c>
      <c r="G81" s="187"/>
      <c r="H81" s="138">
        <v>0</v>
      </c>
      <c r="I81" s="138"/>
      <c r="J81" s="138">
        <f t="shared" si="83"/>
        <v>0</v>
      </c>
      <c r="K81" s="138">
        <f t="shared" si="84"/>
        <v>0</v>
      </c>
      <c r="L81" s="183">
        <v>0</v>
      </c>
      <c r="M81" s="208">
        <v>0</v>
      </c>
      <c r="N81" s="208">
        <v>0</v>
      </c>
      <c r="O81" s="208">
        <v>0</v>
      </c>
      <c r="P81" s="208">
        <v>0</v>
      </c>
      <c r="Q81" s="208">
        <v>0</v>
      </c>
      <c r="R81" s="208">
        <v>0</v>
      </c>
      <c r="S81" s="208">
        <v>0</v>
      </c>
      <c r="T81" s="208">
        <v>0</v>
      </c>
      <c r="U81" s="208">
        <v>0</v>
      </c>
      <c r="V81" s="208">
        <v>0</v>
      </c>
      <c r="W81" s="208">
        <v>0</v>
      </c>
      <c r="X81" s="209">
        <v>0</v>
      </c>
      <c r="Y81" s="210">
        <v>0</v>
      </c>
      <c r="Z81" s="210"/>
      <c r="AA81" s="209">
        <f t="shared" si="76"/>
        <v>0</v>
      </c>
      <c r="AB81" s="209">
        <f t="shared" si="77"/>
        <v>0</v>
      </c>
      <c r="AC81" s="208">
        <v>0</v>
      </c>
      <c r="AD81" s="208">
        <v>0</v>
      </c>
      <c r="AE81" s="208">
        <v>0</v>
      </c>
      <c r="AF81" s="208">
        <v>0</v>
      </c>
      <c r="AG81" s="208">
        <v>0</v>
      </c>
      <c r="AH81" s="107">
        <v>0</v>
      </c>
      <c r="AI81" s="107"/>
      <c r="AJ81" s="108">
        <f t="shared" si="79"/>
        <v>0</v>
      </c>
      <c r="AK81" s="108">
        <f t="shared" si="80"/>
        <v>0</v>
      </c>
      <c r="AL81" s="109">
        <f t="shared" si="86"/>
        <v>0</v>
      </c>
      <c r="AM81" s="109">
        <f t="shared" si="87"/>
        <v>0</v>
      </c>
      <c r="AN81"/>
      <c r="AO81" s="17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</row>
    <row r="82" spans="1:154" s="19" customFormat="1" ht="122.25" customHeight="1">
      <c r="A82" s="182" t="s">
        <v>162</v>
      </c>
      <c r="B82" s="182" t="s">
        <v>163</v>
      </c>
      <c r="C82" s="183">
        <v>453506.06792399997</v>
      </c>
      <c r="D82" s="183">
        <v>453506.06792399997</v>
      </c>
      <c r="E82" s="138">
        <v>397442.08999999997</v>
      </c>
      <c r="F82" s="187">
        <v>56064</v>
      </c>
      <c r="G82" s="187"/>
      <c r="H82" s="138">
        <v>31915</v>
      </c>
      <c r="I82" s="138"/>
      <c r="J82" s="138">
        <f t="shared" si="83"/>
        <v>-24149</v>
      </c>
      <c r="K82" s="138">
        <f t="shared" si="84"/>
        <v>0</v>
      </c>
      <c r="L82" s="183">
        <v>16244</v>
      </c>
      <c r="M82" s="183">
        <v>16244</v>
      </c>
      <c r="N82" s="211">
        <f>L82+7686.03</f>
        <v>23930.03</v>
      </c>
      <c r="O82" s="211">
        <f>N82</f>
        <v>23930.03</v>
      </c>
      <c r="P82" s="211">
        <f t="shared" ref="P82:W82" si="100">O82</f>
        <v>23930.03</v>
      </c>
      <c r="Q82" s="211">
        <f t="shared" si="100"/>
        <v>23930.03</v>
      </c>
      <c r="R82" s="211">
        <f t="shared" si="100"/>
        <v>23930.03</v>
      </c>
      <c r="S82" s="211">
        <f t="shared" si="100"/>
        <v>23930.03</v>
      </c>
      <c r="T82" s="211">
        <f t="shared" si="100"/>
        <v>23930.03</v>
      </c>
      <c r="U82" s="211">
        <f t="shared" si="100"/>
        <v>23930.03</v>
      </c>
      <c r="V82" s="211">
        <f t="shared" si="100"/>
        <v>23930.03</v>
      </c>
      <c r="W82" s="211">
        <f t="shared" si="100"/>
        <v>23930.03</v>
      </c>
      <c r="X82" s="211">
        <v>0</v>
      </c>
      <c r="Y82" s="212">
        <v>0</v>
      </c>
      <c r="Z82" s="212"/>
      <c r="AA82" s="211">
        <f t="shared" si="76"/>
        <v>-23930.03</v>
      </c>
      <c r="AB82" s="211">
        <f t="shared" si="77"/>
        <v>0</v>
      </c>
      <c r="AC82" s="213">
        <v>0</v>
      </c>
      <c r="AD82" s="213">
        <v>0</v>
      </c>
      <c r="AE82" s="213">
        <v>0</v>
      </c>
      <c r="AF82" s="213">
        <v>0</v>
      </c>
      <c r="AG82" s="213">
        <v>0</v>
      </c>
      <c r="AH82" s="110"/>
      <c r="AI82" s="110"/>
      <c r="AJ82" s="111">
        <f t="shared" si="79"/>
        <v>0</v>
      </c>
      <c r="AK82" s="111">
        <f t="shared" si="80"/>
        <v>0</v>
      </c>
      <c r="AL82" s="112">
        <f t="shared" si="86"/>
        <v>55845.03</v>
      </c>
      <c r="AM82" s="112">
        <f t="shared" si="87"/>
        <v>0</v>
      </c>
      <c r="AN82"/>
      <c r="AO82" s="17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</row>
    <row r="83" spans="1:154" s="19" customFormat="1" ht="56.25">
      <c r="A83" s="182" t="s">
        <v>164</v>
      </c>
      <c r="B83" s="182" t="s">
        <v>165</v>
      </c>
      <c r="C83" s="183">
        <v>55106</v>
      </c>
      <c r="D83" s="183">
        <v>55106</v>
      </c>
      <c r="E83" s="138">
        <v>55105.87</v>
      </c>
      <c r="F83" s="187">
        <v>0</v>
      </c>
      <c r="G83" s="187"/>
      <c r="H83" s="138"/>
      <c r="I83" s="138"/>
      <c r="J83" s="138">
        <f t="shared" si="83"/>
        <v>0</v>
      </c>
      <c r="K83" s="138">
        <f t="shared" si="84"/>
        <v>0</v>
      </c>
      <c r="L83" s="183">
        <v>0</v>
      </c>
      <c r="M83" s="214">
        <v>0</v>
      </c>
      <c r="N83" s="214">
        <v>0</v>
      </c>
      <c r="O83" s="214">
        <v>0</v>
      </c>
      <c r="P83" s="214">
        <v>0</v>
      </c>
      <c r="Q83" s="214">
        <v>0</v>
      </c>
      <c r="R83" s="214">
        <v>0</v>
      </c>
      <c r="S83" s="214">
        <v>0</v>
      </c>
      <c r="T83" s="214">
        <v>0</v>
      </c>
      <c r="U83" s="214">
        <v>0</v>
      </c>
      <c r="V83" s="214">
        <v>0</v>
      </c>
      <c r="W83" s="214">
        <v>0</v>
      </c>
      <c r="X83" s="215">
        <v>0</v>
      </c>
      <c r="Y83" s="216">
        <v>0</v>
      </c>
      <c r="Z83" s="216"/>
      <c r="AA83" s="215">
        <f t="shared" si="76"/>
        <v>0</v>
      </c>
      <c r="AB83" s="215">
        <f t="shared" si="77"/>
        <v>0</v>
      </c>
      <c r="AC83" s="214">
        <v>0</v>
      </c>
      <c r="AD83" s="214">
        <v>0</v>
      </c>
      <c r="AE83" s="214">
        <v>0</v>
      </c>
      <c r="AF83" s="214">
        <v>0</v>
      </c>
      <c r="AG83" s="214">
        <v>0</v>
      </c>
      <c r="AH83" s="113">
        <v>0</v>
      </c>
      <c r="AI83" s="113"/>
      <c r="AJ83" s="114">
        <f t="shared" si="79"/>
        <v>0</v>
      </c>
      <c r="AK83" s="114">
        <f t="shared" si="80"/>
        <v>0</v>
      </c>
      <c r="AL83" s="115">
        <f t="shared" si="86"/>
        <v>0</v>
      </c>
      <c r="AM83" s="115">
        <f t="shared" si="87"/>
        <v>0</v>
      </c>
      <c r="AN83"/>
      <c r="AO83" s="17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</row>
    <row r="84" spans="1:154" s="19" customFormat="1" ht="64.5" customHeight="1">
      <c r="A84" s="182" t="s">
        <v>166</v>
      </c>
      <c r="B84" s="182" t="s">
        <v>167</v>
      </c>
      <c r="C84" s="183">
        <v>1901912.020308</v>
      </c>
      <c r="D84" s="183">
        <v>1901912.020308</v>
      </c>
      <c r="E84" s="138">
        <v>1228386.47</v>
      </c>
      <c r="F84" s="187">
        <v>313557.22349999996</v>
      </c>
      <c r="G84" s="187"/>
      <c r="H84" s="138">
        <f>191614.82+82008.18</f>
        <v>273623</v>
      </c>
      <c r="I84" s="138"/>
      <c r="J84" s="138">
        <f t="shared" si="83"/>
        <v>-39934.223499999964</v>
      </c>
      <c r="K84" s="138">
        <f t="shared" si="84"/>
        <v>0</v>
      </c>
      <c r="L84" s="183">
        <v>33789.39</v>
      </c>
      <c r="M84" s="217">
        <f>L84+31262.09</f>
        <v>65051.479999999996</v>
      </c>
      <c r="N84" s="217">
        <f>M84+17603.69</f>
        <v>82655.17</v>
      </c>
      <c r="O84" s="217">
        <f>N84+9647.5</f>
        <v>92302.67</v>
      </c>
      <c r="P84" s="217">
        <f>O84+12325</f>
        <v>104627.67</v>
      </c>
      <c r="Q84" s="217">
        <f>P84+11475</f>
        <v>116102.67</v>
      </c>
      <c r="R84" s="217">
        <f>Q84+10710</f>
        <v>126812.67</v>
      </c>
      <c r="S84" s="217">
        <f>R84+6196.5</f>
        <v>133009.16999999998</v>
      </c>
      <c r="T84" s="217">
        <f>S84+6587.5</f>
        <v>139596.66999999998</v>
      </c>
      <c r="U84" s="217">
        <f>T84+11347.5</f>
        <v>150944.16999999998</v>
      </c>
      <c r="V84" s="217">
        <f>U84+12325</f>
        <v>163269.16999999998</v>
      </c>
      <c r="W84" s="217">
        <f>V84+12325</f>
        <v>175594.16999999998</v>
      </c>
      <c r="X84" s="217">
        <v>0</v>
      </c>
      <c r="Y84" s="218">
        <v>207390.55</v>
      </c>
      <c r="Z84" s="218"/>
      <c r="AA84" s="217">
        <f t="shared" si="76"/>
        <v>31796.380000000005</v>
      </c>
      <c r="AB84" s="217">
        <f t="shared" si="77"/>
        <v>0</v>
      </c>
      <c r="AC84" s="219">
        <v>73538.759999999995</v>
      </c>
      <c r="AD84" s="219">
        <f>AC84+75384.76</f>
        <v>148923.51999999999</v>
      </c>
      <c r="AE84" s="219">
        <f>AD84+75384.76</f>
        <v>224308.27999999997</v>
      </c>
      <c r="AF84" s="219">
        <f>AE84</f>
        <v>224308.27999999997</v>
      </c>
      <c r="AG84" s="219">
        <v>0</v>
      </c>
      <c r="AH84" s="116">
        <v>152578</v>
      </c>
      <c r="AI84" s="116"/>
      <c r="AJ84" s="117">
        <f t="shared" si="79"/>
        <v>-71730.27999999997</v>
      </c>
      <c r="AK84" s="117">
        <f t="shared" si="80"/>
        <v>0</v>
      </c>
      <c r="AL84" s="118">
        <f t="shared" si="86"/>
        <v>673525.45</v>
      </c>
      <c r="AM84" s="118">
        <f t="shared" si="87"/>
        <v>0</v>
      </c>
      <c r="AN84"/>
      <c r="AO84" s="17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</row>
    <row r="85" spans="1:154" s="19" customFormat="1" ht="64.5" customHeight="1">
      <c r="A85" s="182" t="s">
        <v>168</v>
      </c>
      <c r="B85" s="182" t="s">
        <v>169</v>
      </c>
      <c r="C85" s="183">
        <v>2386548.7914120001</v>
      </c>
      <c r="D85" s="183">
        <v>2386548.7914120001</v>
      </c>
      <c r="E85" s="138">
        <v>1450671.67</v>
      </c>
      <c r="F85" s="187">
        <v>677335.78</v>
      </c>
      <c r="G85" s="187"/>
      <c r="H85" s="138">
        <f>530537.98+5044.03+169626.85</f>
        <v>705208.86</v>
      </c>
      <c r="I85" s="138"/>
      <c r="J85" s="138">
        <f t="shared" si="83"/>
        <v>27873.079999999958</v>
      </c>
      <c r="K85" s="138">
        <f t="shared" si="84"/>
        <v>0</v>
      </c>
      <c r="L85" s="183">
        <v>19482.62</v>
      </c>
      <c r="M85" s="220">
        <f>L85+37331.98</f>
        <v>56814.600000000006</v>
      </c>
      <c r="N85" s="220">
        <f>M85+33606.05</f>
        <v>90420.650000000009</v>
      </c>
      <c r="O85" s="220">
        <f>N85+11287.57</f>
        <v>101708.22</v>
      </c>
      <c r="P85" s="220">
        <f>O85+9999.42</f>
        <v>111707.64</v>
      </c>
      <c r="Q85" s="220">
        <f>P85+32982.63</f>
        <v>144690.26999999999</v>
      </c>
      <c r="R85" s="220">
        <f>Q85+5811.34</f>
        <v>150501.60999999999</v>
      </c>
      <c r="S85" s="220">
        <f>R85+3702.98</f>
        <v>154204.59</v>
      </c>
      <c r="T85" s="220">
        <f>S85+21705.19</f>
        <v>175909.78</v>
      </c>
      <c r="U85" s="220">
        <f>T85+8604.86</f>
        <v>184514.64</v>
      </c>
      <c r="V85" s="220">
        <f>U85+2020.64</f>
        <v>186535.28000000003</v>
      </c>
      <c r="W85" s="220">
        <f>V85+9454.55</f>
        <v>195989.83000000002</v>
      </c>
      <c r="X85" s="220">
        <v>0</v>
      </c>
      <c r="Y85" s="221">
        <v>111625.31</v>
      </c>
      <c r="Z85" s="221"/>
      <c r="AA85" s="220">
        <f t="shared" si="76"/>
        <v>-84364.520000000019</v>
      </c>
      <c r="AB85" s="220">
        <f t="shared" si="77"/>
        <v>0</v>
      </c>
      <c r="AC85" s="222">
        <v>0</v>
      </c>
      <c r="AD85" s="222">
        <v>0</v>
      </c>
      <c r="AE85" s="222">
        <v>0</v>
      </c>
      <c r="AF85" s="222">
        <v>0</v>
      </c>
      <c r="AG85" s="222">
        <v>0</v>
      </c>
      <c r="AH85" s="119"/>
      <c r="AI85" s="119"/>
      <c r="AJ85" s="120">
        <f t="shared" si="79"/>
        <v>0</v>
      </c>
      <c r="AK85" s="120">
        <f t="shared" si="80"/>
        <v>0</v>
      </c>
      <c r="AL85" s="121">
        <f t="shared" si="86"/>
        <v>901198.69</v>
      </c>
      <c r="AM85" s="121">
        <f t="shared" si="87"/>
        <v>0</v>
      </c>
      <c r="AN85"/>
      <c r="AO85" s="17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</row>
    <row r="86" spans="1:154" s="19" customFormat="1" ht="131.25">
      <c r="A86" s="182" t="s">
        <v>170</v>
      </c>
      <c r="B86" s="182" t="s">
        <v>171</v>
      </c>
      <c r="C86" s="183">
        <v>1418135.4812999999</v>
      </c>
      <c r="D86" s="183">
        <v>1418135.4812999999</v>
      </c>
      <c r="E86" s="138">
        <v>1143981.32</v>
      </c>
      <c r="F86" s="187">
        <v>262029.75000000003</v>
      </c>
      <c r="G86" s="187"/>
      <c r="H86" s="138">
        <f>242704.77+14264.98</f>
        <v>256969.75</v>
      </c>
      <c r="I86" s="138"/>
      <c r="J86" s="138">
        <f t="shared" si="83"/>
        <v>-5060.0000000000291</v>
      </c>
      <c r="K86" s="138">
        <f t="shared" si="84"/>
        <v>0</v>
      </c>
      <c r="L86" s="183">
        <v>0</v>
      </c>
      <c r="M86" s="223">
        <v>0</v>
      </c>
      <c r="N86" s="223">
        <v>12688.72</v>
      </c>
      <c r="O86" s="223">
        <v>12688.72</v>
      </c>
      <c r="P86" s="223">
        <v>12688.72</v>
      </c>
      <c r="Q86" s="223">
        <v>12688.72</v>
      </c>
      <c r="R86" s="223">
        <v>12688.72</v>
      </c>
      <c r="S86" s="223">
        <v>12688.72</v>
      </c>
      <c r="T86" s="223">
        <v>12688.72</v>
      </c>
      <c r="U86" s="223">
        <v>12688.72</v>
      </c>
      <c r="V86" s="223">
        <v>12688.72</v>
      </c>
      <c r="W86" s="223">
        <v>12688.72</v>
      </c>
      <c r="X86" s="223">
        <v>0</v>
      </c>
      <c r="Y86" s="224">
        <v>6722.47</v>
      </c>
      <c r="Z86" s="224"/>
      <c r="AA86" s="223">
        <f t="shared" si="76"/>
        <v>-5966.2499999999991</v>
      </c>
      <c r="AB86" s="223">
        <f t="shared" si="77"/>
        <v>0</v>
      </c>
      <c r="AC86" s="225">
        <v>0</v>
      </c>
      <c r="AD86" s="225">
        <v>0</v>
      </c>
      <c r="AE86" s="225">
        <v>0</v>
      </c>
      <c r="AF86" s="225">
        <v>0</v>
      </c>
      <c r="AG86" s="225">
        <v>0</v>
      </c>
      <c r="AH86" s="122"/>
      <c r="AI86" s="122"/>
      <c r="AJ86" s="123">
        <f t="shared" si="79"/>
        <v>0</v>
      </c>
      <c r="AK86" s="123">
        <f t="shared" si="80"/>
        <v>0</v>
      </c>
      <c r="AL86" s="124">
        <f t="shared" si="86"/>
        <v>269658.46999999997</v>
      </c>
      <c r="AM86" s="124">
        <f t="shared" si="87"/>
        <v>0</v>
      </c>
      <c r="AN86"/>
      <c r="AO86" s="17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</row>
    <row r="87" spans="1:154" s="14" customFormat="1" ht="19.5">
      <c r="A87" s="226"/>
      <c r="B87" s="175" t="s">
        <v>172</v>
      </c>
      <c r="C87" s="176">
        <f>C88+C118+C113+C145+C155+C168+C134+C138</f>
        <v>1548219134.79322</v>
      </c>
      <c r="D87" s="176">
        <f>D88+D118+D113+D145+D155+D168+D134+D138</f>
        <v>1615108863.5262201</v>
      </c>
      <c r="E87" s="176">
        <f>E88+E118+E113+E145+E155+E168+E134+E138</f>
        <v>804506123.58999991</v>
      </c>
      <c r="F87" s="177">
        <v>252634604.44030002</v>
      </c>
      <c r="G87" s="177">
        <v>9867640.871983001</v>
      </c>
      <c r="H87" s="176">
        <f>H88+H118+H113+H145+H155+H168+H134+H138</f>
        <v>254200119.05000001</v>
      </c>
      <c r="I87" s="176">
        <f>I88+I118+I113+I145+I155+I168+I134+I138</f>
        <v>23565882.946433969</v>
      </c>
      <c r="J87" s="176">
        <f t="shared" si="83"/>
        <v>1565514.6096999943</v>
      </c>
      <c r="K87" s="176">
        <f t="shared" si="84"/>
        <v>13698242.074450968</v>
      </c>
      <c r="L87" s="176">
        <f t="shared" ref="L87:X87" si="101">L88+L118+L113+L145+L155+L168+L134+L138</f>
        <v>10897878.830242926</v>
      </c>
      <c r="M87" s="176">
        <f t="shared" si="101"/>
        <v>42332498.683018722</v>
      </c>
      <c r="N87" s="176">
        <f t="shared" si="101"/>
        <v>70420819.76896812</v>
      </c>
      <c r="O87" s="176">
        <f t="shared" si="101"/>
        <v>93009454.584163696</v>
      </c>
      <c r="P87" s="176">
        <f t="shared" si="101"/>
        <v>108125628.44693002</v>
      </c>
      <c r="Q87" s="176">
        <f t="shared" si="101"/>
        <v>129663348.87499057</v>
      </c>
      <c r="R87" s="176">
        <f t="shared" si="101"/>
        <v>154342823.2222833</v>
      </c>
      <c r="S87" s="176">
        <f t="shared" si="101"/>
        <v>175754694.14788923</v>
      </c>
      <c r="T87" s="176">
        <f t="shared" si="101"/>
        <v>205774947.11121374</v>
      </c>
      <c r="U87" s="176">
        <f t="shared" si="101"/>
        <v>230613444.72238827</v>
      </c>
      <c r="V87" s="176">
        <f t="shared" si="101"/>
        <v>256892157.4740456</v>
      </c>
      <c r="W87" s="176">
        <f t="shared" si="101"/>
        <v>274733782.91068196</v>
      </c>
      <c r="X87" s="176">
        <f t="shared" si="101"/>
        <v>26358485.36259</v>
      </c>
      <c r="Y87" s="177">
        <f>Y88+Y118+Y113+Y145+Y155+Y168+Y134+Y138</f>
        <v>317855867.20671302</v>
      </c>
      <c r="Z87" s="177">
        <f>Z88+Z118+Z113+Z145+Z155+Z168+Z134+Z138</f>
        <v>8078106.4470602013</v>
      </c>
      <c r="AA87" s="176">
        <f t="shared" ref="AA87:AA119" si="102">Y87-W87</f>
        <v>43122084.296031058</v>
      </c>
      <c r="AB87" s="176">
        <f t="shared" ref="AB87:AB119" si="103">Z87-X87</f>
        <v>-18280378.915529799</v>
      </c>
      <c r="AC87" s="176">
        <f t="shared" ref="AC87:AI87" si="104">AC88+AC118+AC113+AC145+AC155+AC168+AC134+AC138</f>
        <v>79655052.651257485</v>
      </c>
      <c r="AD87" s="176">
        <f t="shared" si="104"/>
        <v>146976427.18501291</v>
      </c>
      <c r="AE87" s="176">
        <f t="shared" si="104"/>
        <v>186652972.82632768</v>
      </c>
      <c r="AF87" s="176">
        <f t="shared" si="104"/>
        <v>286108671.85755771</v>
      </c>
      <c r="AG87" s="176">
        <f t="shared" si="104"/>
        <v>8438306.9085773155</v>
      </c>
      <c r="AH87" s="74">
        <f t="shared" si="104"/>
        <v>298434452.0535661</v>
      </c>
      <c r="AI87" s="74">
        <f t="shared" si="104"/>
        <v>1654989.5873118851</v>
      </c>
      <c r="AJ87" s="75">
        <f t="shared" ref="AJ87:AJ119" si="105">AH87-AF87</f>
        <v>12325780.196008384</v>
      </c>
      <c r="AK87" s="75">
        <f t="shared" ref="AK87:AK119" si="106">AI87-AG87</f>
        <v>-6783317.3212654302</v>
      </c>
      <c r="AL87" s="73">
        <f t="shared" si="86"/>
        <v>815042573.81823969</v>
      </c>
      <c r="AM87" s="73">
        <f t="shared" si="87"/>
        <v>58362675.217601284</v>
      </c>
      <c r="AN87"/>
      <c r="AO87" s="1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</row>
    <row r="88" spans="1:154" s="18" customFormat="1" ht="19.5">
      <c r="A88" s="178"/>
      <c r="B88" s="194" t="s">
        <v>173</v>
      </c>
      <c r="C88" s="181">
        <f>C89+C106</f>
        <v>253403164.44944397</v>
      </c>
      <c r="D88" s="181">
        <f>D89+D106</f>
        <v>314004562.34799999</v>
      </c>
      <c r="E88" s="181">
        <f>E89+E106</f>
        <v>109176297.02</v>
      </c>
      <c r="F88" s="181">
        <v>41103211.300300002</v>
      </c>
      <c r="G88" s="181">
        <v>6184350.2797000008</v>
      </c>
      <c r="H88" s="181">
        <f>H89+H106</f>
        <v>42646052.200000003</v>
      </c>
      <c r="I88" s="181">
        <f>I89+I106</f>
        <v>14564032.799999999</v>
      </c>
      <c r="J88" s="181">
        <f t="shared" si="83"/>
        <v>1542840.8997000009</v>
      </c>
      <c r="K88" s="181">
        <f t="shared" si="84"/>
        <v>8379682.5202999981</v>
      </c>
      <c r="L88" s="181">
        <f t="shared" ref="L88:X88" si="107">L89+L106</f>
        <v>2803740.26</v>
      </c>
      <c r="M88" s="181">
        <f t="shared" si="107"/>
        <v>7575016.3000000007</v>
      </c>
      <c r="N88" s="181">
        <f t="shared" si="107"/>
        <v>13876570.419999998</v>
      </c>
      <c r="O88" s="181">
        <f t="shared" si="107"/>
        <v>19835522.210000001</v>
      </c>
      <c r="P88" s="181">
        <f t="shared" si="107"/>
        <v>24770429.189999998</v>
      </c>
      <c r="Q88" s="181">
        <f t="shared" si="107"/>
        <v>29415657.43</v>
      </c>
      <c r="R88" s="181">
        <f t="shared" si="107"/>
        <v>34236178.200000003</v>
      </c>
      <c r="S88" s="181">
        <f t="shared" si="107"/>
        <v>39504035.960000001</v>
      </c>
      <c r="T88" s="181">
        <f t="shared" si="107"/>
        <v>43917939.560000002</v>
      </c>
      <c r="U88" s="181">
        <f t="shared" si="107"/>
        <v>47332311.510000005</v>
      </c>
      <c r="V88" s="181">
        <f t="shared" si="107"/>
        <v>50980658.18</v>
      </c>
      <c r="W88" s="181">
        <f t="shared" si="107"/>
        <v>53690522.040000007</v>
      </c>
      <c r="X88" s="181">
        <f t="shared" si="107"/>
        <v>11318827.33</v>
      </c>
      <c r="Y88" s="181">
        <f>Y89+Y106</f>
        <v>62722770.01864101</v>
      </c>
      <c r="Z88" s="181">
        <f>Z89+Z106</f>
        <v>7213835.7199370004</v>
      </c>
      <c r="AA88" s="181">
        <f t="shared" si="102"/>
        <v>9032247.9786410034</v>
      </c>
      <c r="AB88" s="181">
        <f t="shared" si="103"/>
        <v>-4104991.6100629997</v>
      </c>
      <c r="AC88" s="181">
        <f t="shared" ref="AC88:AI88" si="108">AC89+AC106</f>
        <v>11566345.530000001</v>
      </c>
      <c r="AD88" s="181">
        <f t="shared" si="108"/>
        <v>21597993.309999999</v>
      </c>
      <c r="AE88" s="181">
        <f t="shared" si="108"/>
        <v>31698763.729999997</v>
      </c>
      <c r="AF88" s="181">
        <f t="shared" si="108"/>
        <v>38725316.25</v>
      </c>
      <c r="AG88" s="181">
        <f t="shared" si="108"/>
        <v>0</v>
      </c>
      <c r="AH88" s="93">
        <f t="shared" si="108"/>
        <v>85360815.785566092</v>
      </c>
      <c r="AI88" s="93">
        <f t="shared" si="108"/>
        <v>957035.47022388491</v>
      </c>
      <c r="AJ88" s="94">
        <f t="shared" si="105"/>
        <v>46635499.535566092</v>
      </c>
      <c r="AK88" s="94">
        <f t="shared" si="106"/>
        <v>957035.47022388491</v>
      </c>
      <c r="AL88" s="79">
        <f t="shared" si="86"/>
        <v>135061890.49000001</v>
      </c>
      <c r="AM88" s="79">
        <f t="shared" si="87"/>
        <v>25882860.129999999</v>
      </c>
      <c r="AN88"/>
      <c r="AO88" s="17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</row>
    <row r="89" spans="1:154" s="21" customFormat="1" ht="19.5">
      <c r="A89" s="227"/>
      <c r="B89" s="228" t="s">
        <v>174</v>
      </c>
      <c r="C89" s="229">
        <f>SUM(C90:C105)</f>
        <v>188681789.47256398</v>
      </c>
      <c r="D89" s="229">
        <f>SUM(D90:D105)</f>
        <v>242283187.84511197</v>
      </c>
      <c r="E89" s="229">
        <f>SUM(E90:E105)</f>
        <v>92191220.390000001</v>
      </c>
      <c r="F89" s="229">
        <v>30663139.384</v>
      </c>
      <c r="G89" s="229">
        <v>5662941.6160000004</v>
      </c>
      <c r="H89" s="229">
        <f>SUM(H90:H105)</f>
        <v>27700564.600000001</v>
      </c>
      <c r="I89" s="229">
        <f>SUM(I90:I105)</f>
        <v>12908213.859999999</v>
      </c>
      <c r="J89" s="229">
        <f t="shared" si="83"/>
        <v>-2962574.7839999981</v>
      </c>
      <c r="K89" s="229">
        <f t="shared" si="84"/>
        <v>7245272.243999999</v>
      </c>
      <c r="L89" s="229">
        <f t="shared" ref="L89:X89" si="109">SUM(L90:L105)</f>
        <v>820095.19</v>
      </c>
      <c r="M89" s="229">
        <f t="shared" si="109"/>
        <v>3162296.1300000004</v>
      </c>
      <c r="N89" s="229">
        <f t="shared" si="109"/>
        <v>6770134.8299999991</v>
      </c>
      <c r="O89" s="229">
        <f t="shared" si="109"/>
        <v>10306081.719999999</v>
      </c>
      <c r="P89" s="229">
        <f t="shared" si="109"/>
        <v>12602518.859999999</v>
      </c>
      <c r="Q89" s="229">
        <f t="shared" si="109"/>
        <v>14540547.789999999</v>
      </c>
      <c r="R89" s="229">
        <f t="shared" si="109"/>
        <v>17196991.539999999</v>
      </c>
      <c r="S89" s="229">
        <f t="shared" si="109"/>
        <v>19849305.800000004</v>
      </c>
      <c r="T89" s="229">
        <f t="shared" si="109"/>
        <v>21895743.430000003</v>
      </c>
      <c r="U89" s="229">
        <f t="shared" si="109"/>
        <v>23937709.020000007</v>
      </c>
      <c r="V89" s="229">
        <f t="shared" si="109"/>
        <v>26161017.050000004</v>
      </c>
      <c r="W89" s="229">
        <f t="shared" si="109"/>
        <v>27669779.700000007</v>
      </c>
      <c r="X89" s="229">
        <f t="shared" si="109"/>
        <v>11318827.33</v>
      </c>
      <c r="Y89" s="229">
        <f>SUM(Y90:Y105)</f>
        <v>45636604.481138006</v>
      </c>
      <c r="Z89" s="229">
        <f>SUM(Z90:Z105)</f>
        <v>6234636.20744</v>
      </c>
      <c r="AA89" s="229">
        <f t="shared" si="102"/>
        <v>17966824.781137999</v>
      </c>
      <c r="AB89" s="229">
        <f t="shared" si="103"/>
        <v>-5084191.12256</v>
      </c>
      <c r="AC89" s="168">
        <f t="shared" ref="AC89:AI89" si="110">SUM(AC90:AC105)</f>
        <v>7625428.9800000004</v>
      </c>
      <c r="AD89" s="168">
        <f t="shared" si="110"/>
        <v>15729794</v>
      </c>
      <c r="AE89" s="168">
        <f t="shared" si="110"/>
        <v>24534782.279999997</v>
      </c>
      <c r="AF89" s="168">
        <f t="shared" si="110"/>
        <v>29699268.079999998</v>
      </c>
      <c r="AG89" s="168">
        <f t="shared" si="110"/>
        <v>0</v>
      </c>
      <c r="AH89" s="126">
        <f t="shared" si="110"/>
        <v>52608398.538909994</v>
      </c>
      <c r="AI89" s="126">
        <f t="shared" si="110"/>
        <v>0</v>
      </c>
      <c r="AJ89" s="127">
        <f t="shared" si="105"/>
        <v>22909130.458909996</v>
      </c>
      <c r="AK89" s="127">
        <f t="shared" si="106"/>
        <v>0</v>
      </c>
      <c r="AL89" s="125">
        <f t="shared" si="86"/>
        <v>85069612.38000001</v>
      </c>
      <c r="AM89" s="125">
        <f t="shared" si="87"/>
        <v>24227041.189999998</v>
      </c>
      <c r="AN89"/>
      <c r="AO89" s="17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</row>
    <row r="90" spans="1:154" s="22" customFormat="1" ht="48.75" customHeight="1">
      <c r="A90" s="230" t="s">
        <v>175</v>
      </c>
      <c r="B90" s="230" t="s">
        <v>176</v>
      </c>
      <c r="C90" s="183">
        <v>36320910.719999999</v>
      </c>
      <c r="D90" s="183">
        <v>37373845</v>
      </c>
      <c r="E90" s="138">
        <v>11559893.129999999</v>
      </c>
      <c r="F90" s="187">
        <v>8004256</v>
      </c>
      <c r="G90" s="187"/>
      <c r="H90" s="138">
        <f>1221867.31+772714.89</f>
        <v>1994582.2000000002</v>
      </c>
      <c r="I90" s="138">
        <v>0</v>
      </c>
      <c r="J90" s="138">
        <f t="shared" si="83"/>
        <v>-6009673.7999999998</v>
      </c>
      <c r="K90" s="138">
        <f t="shared" si="84"/>
        <v>0</v>
      </c>
      <c r="L90" s="183">
        <v>0</v>
      </c>
      <c r="M90" s="138">
        <f>L90</f>
        <v>0</v>
      </c>
      <c r="N90" s="138">
        <v>559898.43999999994</v>
      </c>
      <c r="O90" s="138">
        <f>N90</f>
        <v>559898.43999999994</v>
      </c>
      <c r="P90" s="231">
        <f>O90+559898.44</f>
        <v>1119796.8799999999</v>
      </c>
      <c r="Q90" s="138">
        <f>P90+547412.47</f>
        <v>1667209.3499999999</v>
      </c>
      <c r="R90" s="138">
        <f>Q90+830238.92</f>
        <v>2497448.27</v>
      </c>
      <c r="S90" s="138">
        <f>R90+667001.71</f>
        <v>3164449.98</v>
      </c>
      <c r="T90" s="138">
        <f>S90+547412.47</f>
        <v>3711862.45</v>
      </c>
      <c r="U90" s="138">
        <f>T90+559898.44</f>
        <v>4271760.8900000006</v>
      </c>
      <c r="V90" s="138">
        <f>U90+1279179.05</f>
        <v>5550939.9400000004</v>
      </c>
      <c r="W90" s="138">
        <f>V90+835185.84</f>
        <v>6386125.7800000003</v>
      </c>
      <c r="X90" s="188">
        <v>0</v>
      </c>
      <c r="Y90" s="187">
        <v>9285719.5</v>
      </c>
      <c r="Z90" s="189"/>
      <c r="AA90" s="188">
        <f t="shared" si="102"/>
        <v>2899593.7199999997</v>
      </c>
      <c r="AB90" s="188">
        <f t="shared" si="103"/>
        <v>0</v>
      </c>
      <c r="AC90" s="138">
        <v>4692260.18</v>
      </c>
      <c r="AD90" s="138">
        <f>AC90+3985547.43</f>
        <v>8677807.6099999994</v>
      </c>
      <c r="AE90" s="138">
        <f>AD90+4652549.15</f>
        <v>13330356.76</v>
      </c>
      <c r="AF90" s="138">
        <f>AE90+4006337.03</f>
        <v>17336693.789999999</v>
      </c>
      <c r="AG90" s="138">
        <v>0</v>
      </c>
      <c r="AH90" s="86">
        <v>8523976.3699999992</v>
      </c>
      <c r="AI90" s="87"/>
      <c r="AJ90" s="88">
        <f t="shared" si="105"/>
        <v>-8812717.4199999999</v>
      </c>
      <c r="AK90" s="88">
        <f t="shared" si="106"/>
        <v>0</v>
      </c>
      <c r="AL90" s="85">
        <f t="shared" si="86"/>
        <v>25717401.77</v>
      </c>
      <c r="AM90" s="142">
        <f t="shared" si="87"/>
        <v>0</v>
      </c>
      <c r="AN90" s="146"/>
      <c r="AO90" s="145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</row>
    <row r="91" spans="1:154" s="22" customFormat="1" ht="64.5" customHeight="1">
      <c r="A91" s="230" t="s">
        <v>177</v>
      </c>
      <c r="B91" s="230" t="s">
        <v>178</v>
      </c>
      <c r="C91" s="183">
        <v>2122468.08</v>
      </c>
      <c r="D91" s="183">
        <v>1906323</v>
      </c>
      <c r="E91" s="138">
        <v>980571.92999999993</v>
      </c>
      <c r="F91" s="187">
        <v>348528</v>
      </c>
      <c r="G91" s="187"/>
      <c r="H91" s="138">
        <f>163413.55+12198.28+139415.46</f>
        <v>315027.28999999998</v>
      </c>
      <c r="I91" s="138"/>
      <c r="J91" s="138">
        <f t="shared" si="83"/>
        <v>-33500.710000000021</v>
      </c>
      <c r="K91" s="138">
        <f t="shared" si="84"/>
        <v>0</v>
      </c>
      <c r="L91" s="183">
        <v>42339.28</v>
      </c>
      <c r="M91" s="138">
        <f>L91+71452.76</f>
        <v>113792.04</v>
      </c>
      <c r="N91" s="138">
        <f>M91+70798.14</f>
        <v>184590.18</v>
      </c>
      <c r="O91" s="138">
        <f>N91+119336.58</f>
        <v>303926.76</v>
      </c>
      <c r="P91" s="231">
        <f>O91+126362.42</f>
        <v>430289.18</v>
      </c>
      <c r="Q91" s="138">
        <f>P91+159907.93</f>
        <v>590197.11</v>
      </c>
      <c r="R91" s="138">
        <f t="shared" ref="R91:W91" si="111">Q91</f>
        <v>590197.11</v>
      </c>
      <c r="S91" s="138">
        <f t="shared" si="111"/>
        <v>590197.11</v>
      </c>
      <c r="T91" s="138">
        <f t="shared" si="111"/>
        <v>590197.11</v>
      </c>
      <c r="U91" s="138">
        <f t="shared" si="111"/>
        <v>590197.11</v>
      </c>
      <c r="V91" s="138">
        <f t="shared" si="111"/>
        <v>590197.11</v>
      </c>
      <c r="W91" s="138">
        <f t="shared" si="111"/>
        <v>590197.11</v>
      </c>
      <c r="X91" s="188">
        <v>0</v>
      </c>
      <c r="Y91" s="187">
        <v>569396.55000000005</v>
      </c>
      <c r="Z91" s="189"/>
      <c r="AA91" s="188">
        <f t="shared" si="102"/>
        <v>-20800.559999999939</v>
      </c>
      <c r="AB91" s="188">
        <f t="shared" si="103"/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86">
        <v>7826.5200000000104</v>
      </c>
      <c r="AI91" s="87"/>
      <c r="AJ91" s="88">
        <f t="shared" si="105"/>
        <v>7826.5200000000104</v>
      </c>
      <c r="AK91" s="88">
        <f t="shared" si="106"/>
        <v>0</v>
      </c>
      <c r="AL91" s="85">
        <f t="shared" si="86"/>
        <v>905224.39999999991</v>
      </c>
      <c r="AM91" s="142">
        <f t="shared" si="87"/>
        <v>0</v>
      </c>
      <c r="AN91" s="146"/>
      <c r="AO91" s="145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</row>
    <row r="92" spans="1:154" s="22" customFormat="1" ht="64.5" customHeight="1">
      <c r="A92" s="230" t="s">
        <v>179</v>
      </c>
      <c r="B92" s="230" t="s">
        <v>180</v>
      </c>
      <c r="C92" s="183">
        <v>0</v>
      </c>
      <c r="D92" s="183">
        <v>0</v>
      </c>
      <c r="E92" s="138">
        <v>0</v>
      </c>
      <c r="F92" s="187">
        <v>0</v>
      </c>
      <c r="G92" s="187"/>
      <c r="H92" s="138"/>
      <c r="I92" s="138"/>
      <c r="J92" s="138">
        <f t="shared" si="83"/>
        <v>0</v>
      </c>
      <c r="K92" s="138">
        <f t="shared" si="84"/>
        <v>0</v>
      </c>
      <c r="L92" s="183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88">
        <v>0</v>
      </c>
      <c r="Y92" s="187"/>
      <c r="Z92" s="189"/>
      <c r="AA92" s="188">
        <f t="shared" si="102"/>
        <v>0</v>
      </c>
      <c r="AB92" s="188">
        <f t="shared" si="103"/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86"/>
      <c r="AI92" s="87"/>
      <c r="AJ92" s="88">
        <f t="shared" si="105"/>
        <v>0</v>
      </c>
      <c r="AK92" s="88">
        <f t="shared" si="106"/>
        <v>0</v>
      </c>
      <c r="AL92" s="85">
        <f t="shared" si="86"/>
        <v>0</v>
      </c>
      <c r="AM92" s="142">
        <f t="shared" si="87"/>
        <v>0</v>
      </c>
      <c r="AN92" s="146"/>
      <c r="AO92" s="145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</row>
    <row r="93" spans="1:154" s="22" customFormat="1" ht="64.5" customHeight="1">
      <c r="A93" s="230" t="s">
        <v>181</v>
      </c>
      <c r="B93" s="230" t="s">
        <v>182</v>
      </c>
      <c r="C93" s="183">
        <v>43386001.799999997</v>
      </c>
      <c r="D93" s="183">
        <v>7295504</v>
      </c>
      <c r="E93" s="138">
        <v>4989332.51</v>
      </c>
      <c r="F93" s="187">
        <v>15886</v>
      </c>
      <c r="G93" s="187"/>
      <c r="H93" s="138">
        <f>4358.93</f>
        <v>4358.93</v>
      </c>
      <c r="I93" s="138">
        <v>31578.65</v>
      </c>
      <c r="J93" s="138">
        <f t="shared" si="83"/>
        <v>-11527.07</v>
      </c>
      <c r="K93" s="138">
        <f t="shared" si="84"/>
        <v>31578.65</v>
      </c>
      <c r="L93" s="183">
        <v>0</v>
      </c>
      <c r="M93" s="138">
        <v>11477.25</v>
      </c>
      <c r="N93" s="138">
        <f>M93</f>
        <v>11477.25</v>
      </c>
      <c r="O93" s="138">
        <f>N93+12278.04</f>
        <v>23755.29</v>
      </c>
      <c r="P93" s="231">
        <f t="shared" ref="P93:W95" si="112">O93</f>
        <v>23755.29</v>
      </c>
      <c r="Q93" s="138">
        <f t="shared" si="112"/>
        <v>23755.29</v>
      </c>
      <c r="R93" s="138">
        <f t="shared" si="112"/>
        <v>23755.29</v>
      </c>
      <c r="S93" s="138">
        <f t="shared" si="112"/>
        <v>23755.29</v>
      </c>
      <c r="T93" s="138">
        <f t="shared" si="112"/>
        <v>23755.29</v>
      </c>
      <c r="U93" s="138">
        <f t="shared" si="112"/>
        <v>23755.29</v>
      </c>
      <c r="V93" s="138">
        <f t="shared" si="112"/>
        <v>23755.29</v>
      </c>
      <c r="W93" s="138">
        <f t="shared" si="112"/>
        <v>23755.29</v>
      </c>
      <c r="X93" s="188">
        <v>0</v>
      </c>
      <c r="Y93" s="187">
        <v>0</v>
      </c>
      <c r="Z93" s="189"/>
      <c r="AA93" s="188">
        <f t="shared" si="102"/>
        <v>-23755.29</v>
      </c>
      <c r="AB93" s="188">
        <f t="shared" si="103"/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86">
        <v>0</v>
      </c>
      <c r="AI93" s="87"/>
      <c r="AJ93" s="88">
        <f t="shared" si="105"/>
        <v>0</v>
      </c>
      <c r="AK93" s="88">
        <f t="shared" si="106"/>
        <v>0</v>
      </c>
      <c r="AL93" s="85">
        <f t="shared" si="86"/>
        <v>28114.22</v>
      </c>
      <c r="AM93" s="142">
        <f t="shared" si="87"/>
        <v>31578.65</v>
      </c>
      <c r="AN93" s="147"/>
      <c r="AO93" s="145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</row>
    <row r="94" spans="1:154" s="22" customFormat="1" ht="75">
      <c r="A94" s="230" t="s">
        <v>183</v>
      </c>
      <c r="B94" s="230" t="s">
        <v>184</v>
      </c>
      <c r="C94" s="183">
        <v>43748030.899999999</v>
      </c>
      <c r="D94" s="183">
        <v>39299304.113087997</v>
      </c>
      <c r="E94" s="138">
        <v>16617552.189999998</v>
      </c>
      <c r="F94" s="187">
        <v>7758816.3839999996</v>
      </c>
      <c r="G94" s="187">
        <v>2993423.6159999999</v>
      </c>
      <c r="H94" s="232">
        <f>5193754.61+69106.73+1345533.54</f>
        <v>6608394.8800000008</v>
      </c>
      <c r="I94" s="138">
        <v>3274581.66</v>
      </c>
      <c r="J94" s="138">
        <f t="shared" ref="J94:J125" si="113">H94-F94</f>
        <v>-1150421.5039999988</v>
      </c>
      <c r="K94" s="138">
        <f t="shared" ref="K94:K125" si="114">I94-G94</f>
        <v>281158.04400000023</v>
      </c>
      <c r="L94" s="183">
        <f>273460.41</f>
        <v>273460.40999999997</v>
      </c>
      <c r="M94" s="138">
        <f>L94+495440.11</f>
        <v>768900.52</v>
      </c>
      <c r="N94" s="138">
        <f>M94+673750</f>
        <v>1442650.52</v>
      </c>
      <c r="O94" s="138">
        <f>N94+524663.72</f>
        <v>1967314.24</v>
      </c>
      <c r="P94" s="231">
        <f>O94+231919.43</f>
        <v>2199233.67</v>
      </c>
      <c r="Q94" s="138">
        <f>P94+77225.85</f>
        <v>2276459.52</v>
      </c>
      <c r="R94" s="138">
        <f t="shared" si="112"/>
        <v>2276459.52</v>
      </c>
      <c r="S94" s="138">
        <f t="shared" si="112"/>
        <v>2276459.52</v>
      </c>
      <c r="T94" s="138">
        <f t="shared" si="112"/>
        <v>2276459.52</v>
      </c>
      <c r="U94" s="138">
        <f>T94+303787.03</f>
        <v>2580246.5499999998</v>
      </c>
      <c r="V94" s="138">
        <f>U94</f>
        <v>2580246.5499999998</v>
      </c>
      <c r="W94" s="138">
        <f>V94</f>
        <v>2580246.5499999998</v>
      </c>
      <c r="X94" s="188">
        <v>700618.11</v>
      </c>
      <c r="Y94" s="187">
        <v>3360115.6432799995</v>
      </c>
      <c r="Z94" s="189">
        <v>1296363.9067200001</v>
      </c>
      <c r="AA94" s="188">
        <f t="shared" si="102"/>
        <v>779869.09327999968</v>
      </c>
      <c r="AB94" s="188">
        <f t="shared" si="103"/>
        <v>595745.7967200001</v>
      </c>
      <c r="AC94" s="138">
        <v>0</v>
      </c>
      <c r="AD94" s="138">
        <v>995256.86</v>
      </c>
      <c r="AE94" s="138">
        <f>AD94</f>
        <v>995256.86</v>
      </c>
      <c r="AF94" s="138">
        <f>AE94</f>
        <v>995256.86</v>
      </c>
      <c r="AG94" s="138">
        <v>0</v>
      </c>
      <c r="AH94" s="86">
        <v>7273032.3730880003</v>
      </c>
      <c r="AI94" s="87"/>
      <c r="AJ94" s="88">
        <f t="shared" si="105"/>
        <v>6277775.513088</v>
      </c>
      <c r="AK94" s="88">
        <f t="shared" si="106"/>
        <v>0</v>
      </c>
      <c r="AL94" s="85">
        <f t="shared" ref="AL94:AL125" si="115">H94+W94+AF94</f>
        <v>10183898.289999999</v>
      </c>
      <c r="AM94" s="142">
        <f t="shared" ref="AM94:AM125" si="116">I94+X94+AG94</f>
        <v>3975199.77</v>
      </c>
      <c r="AN94" s="146"/>
      <c r="AO94" s="145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</row>
    <row r="95" spans="1:154" s="22" customFormat="1" ht="75">
      <c r="A95" s="230" t="s">
        <v>185</v>
      </c>
      <c r="B95" s="230" t="s">
        <v>186</v>
      </c>
      <c r="C95" s="183">
        <v>849999.97256399994</v>
      </c>
      <c r="D95" s="183">
        <v>174764.16226799999</v>
      </c>
      <c r="E95" s="138">
        <v>10637.7</v>
      </c>
      <c r="F95" s="187">
        <v>35832</v>
      </c>
      <c r="G95" s="187"/>
      <c r="H95" s="138">
        <v>2839.96</v>
      </c>
      <c r="I95" s="138"/>
      <c r="J95" s="138">
        <f t="shared" si="113"/>
        <v>-32992.04</v>
      </c>
      <c r="K95" s="138">
        <f t="shared" si="114"/>
        <v>0</v>
      </c>
      <c r="L95" s="183">
        <v>0</v>
      </c>
      <c r="M95" s="138">
        <f>L95</f>
        <v>0</v>
      </c>
      <c r="N95" s="138">
        <v>8511.7999999999993</v>
      </c>
      <c r="O95" s="138">
        <f>N95+18419.68</f>
        <v>26931.48</v>
      </c>
      <c r="P95" s="231">
        <f>O95+25164</f>
        <v>52095.479999999996</v>
      </c>
      <c r="Q95" s="138">
        <f>P95</f>
        <v>52095.479999999996</v>
      </c>
      <c r="R95" s="138">
        <f t="shared" si="112"/>
        <v>52095.479999999996</v>
      </c>
      <c r="S95" s="138">
        <f t="shared" si="112"/>
        <v>52095.479999999996</v>
      </c>
      <c r="T95" s="138">
        <f t="shared" si="112"/>
        <v>52095.479999999996</v>
      </c>
      <c r="U95" s="138">
        <f>T95</f>
        <v>52095.479999999996</v>
      </c>
      <c r="V95" s="138">
        <f>U95</f>
        <v>52095.479999999996</v>
      </c>
      <c r="W95" s="138">
        <f>V95</f>
        <v>52095.479999999996</v>
      </c>
      <c r="X95" s="188">
        <v>0</v>
      </c>
      <c r="Y95" s="187">
        <v>0</v>
      </c>
      <c r="Z95" s="189"/>
      <c r="AA95" s="188">
        <f t="shared" si="102"/>
        <v>-52095.479999999996</v>
      </c>
      <c r="AB95" s="188">
        <f t="shared" si="103"/>
        <v>0</v>
      </c>
      <c r="AC95" s="138">
        <v>0</v>
      </c>
      <c r="AD95" s="138">
        <v>0</v>
      </c>
      <c r="AE95" s="138">
        <v>0</v>
      </c>
      <c r="AF95" s="138">
        <v>0</v>
      </c>
      <c r="AG95" s="138">
        <v>0</v>
      </c>
      <c r="AH95" s="86">
        <v>0</v>
      </c>
      <c r="AI95" s="87"/>
      <c r="AJ95" s="88">
        <f t="shared" si="105"/>
        <v>0</v>
      </c>
      <c r="AK95" s="88">
        <f t="shared" si="106"/>
        <v>0</v>
      </c>
      <c r="AL95" s="85">
        <f t="shared" si="115"/>
        <v>54935.439999999995</v>
      </c>
      <c r="AM95" s="142">
        <f t="shared" si="116"/>
        <v>0</v>
      </c>
      <c r="AN95" s="147"/>
      <c r="AO95" s="14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</row>
    <row r="96" spans="1:154" s="22" customFormat="1" ht="56.25">
      <c r="A96" s="230" t="s">
        <v>187</v>
      </c>
      <c r="B96" s="230" t="s">
        <v>188</v>
      </c>
      <c r="C96" s="183">
        <v>0</v>
      </c>
      <c r="D96" s="183">
        <v>2000000.266176</v>
      </c>
      <c r="E96" s="138">
        <v>0</v>
      </c>
      <c r="F96" s="187">
        <v>0</v>
      </c>
      <c r="G96" s="187"/>
      <c r="H96" s="138">
        <v>0</v>
      </c>
      <c r="I96" s="138"/>
      <c r="J96" s="138">
        <f t="shared" si="113"/>
        <v>0</v>
      </c>
      <c r="K96" s="138">
        <f t="shared" si="114"/>
        <v>0</v>
      </c>
      <c r="L96" s="183">
        <v>0</v>
      </c>
      <c r="M96" s="138">
        <f>L96</f>
        <v>0</v>
      </c>
      <c r="N96" s="138">
        <v>19301.95</v>
      </c>
      <c r="O96" s="138">
        <f>N96</f>
        <v>19301.95</v>
      </c>
      <c r="P96" s="138">
        <f>O96+8658.6</f>
        <v>27960.550000000003</v>
      </c>
      <c r="Q96" s="138">
        <f>P96</f>
        <v>27960.550000000003</v>
      </c>
      <c r="R96" s="138">
        <f>Q96+19815.4</f>
        <v>47775.950000000004</v>
      </c>
      <c r="S96" s="138">
        <f>R96</f>
        <v>47775.950000000004</v>
      </c>
      <c r="T96" s="138">
        <f>S96</f>
        <v>47775.950000000004</v>
      </c>
      <c r="U96" s="138">
        <f>T96+9841.71</f>
        <v>57617.66</v>
      </c>
      <c r="V96" s="138">
        <f>U96+4323.6</f>
        <v>61941.26</v>
      </c>
      <c r="W96" s="138">
        <f>V96</f>
        <v>61941.26</v>
      </c>
      <c r="X96" s="188">
        <v>0</v>
      </c>
      <c r="Y96" s="187">
        <v>1000000</v>
      </c>
      <c r="Z96" s="189"/>
      <c r="AA96" s="188">
        <f t="shared" si="102"/>
        <v>938058.74</v>
      </c>
      <c r="AB96" s="188">
        <f t="shared" si="103"/>
        <v>0</v>
      </c>
      <c r="AC96" s="138">
        <v>9997.93</v>
      </c>
      <c r="AD96" s="138">
        <f>AC96</f>
        <v>9997.93</v>
      </c>
      <c r="AE96" s="138">
        <f>AD96</f>
        <v>9997.93</v>
      </c>
      <c r="AF96" s="138">
        <f>AE96</f>
        <v>9997.93</v>
      </c>
      <c r="AG96" s="138">
        <v>0</v>
      </c>
      <c r="AH96" s="86">
        <v>1000000</v>
      </c>
      <c r="AI96" s="87"/>
      <c r="AJ96" s="88">
        <f t="shared" si="105"/>
        <v>990002.07</v>
      </c>
      <c r="AK96" s="88">
        <f t="shared" si="106"/>
        <v>0</v>
      </c>
      <c r="AL96" s="85">
        <f t="shared" si="115"/>
        <v>71939.19</v>
      </c>
      <c r="AM96" s="142">
        <f t="shared" si="116"/>
        <v>0</v>
      </c>
      <c r="AN96" s="147"/>
      <c r="AO96" s="145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</row>
    <row r="97" spans="1:154" s="22" customFormat="1" ht="64.5" hidden="1" customHeight="1" outlineLevel="1">
      <c r="A97" s="230" t="s">
        <v>189</v>
      </c>
      <c r="B97" s="230" t="s">
        <v>190</v>
      </c>
      <c r="C97" s="183">
        <v>14056080</v>
      </c>
      <c r="D97" s="183">
        <v>0</v>
      </c>
      <c r="E97" s="138">
        <v>0</v>
      </c>
      <c r="F97" s="187">
        <v>0</v>
      </c>
      <c r="G97" s="187"/>
      <c r="H97" s="138"/>
      <c r="I97" s="138"/>
      <c r="J97" s="138">
        <f t="shared" si="113"/>
        <v>0</v>
      </c>
      <c r="K97" s="138">
        <f t="shared" si="114"/>
        <v>0</v>
      </c>
      <c r="L97" s="183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88">
        <v>0</v>
      </c>
      <c r="Y97" s="187"/>
      <c r="Z97" s="189"/>
      <c r="AA97" s="188">
        <f t="shared" si="102"/>
        <v>0</v>
      </c>
      <c r="AB97" s="188">
        <f t="shared" si="103"/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86"/>
      <c r="AI97" s="87"/>
      <c r="AJ97" s="88">
        <f t="shared" si="105"/>
        <v>0</v>
      </c>
      <c r="AK97" s="88">
        <f t="shared" si="106"/>
        <v>0</v>
      </c>
      <c r="AL97" s="85">
        <f t="shared" si="115"/>
        <v>0</v>
      </c>
      <c r="AM97" s="142">
        <f t="shared" si="116"/>
        <v>0</v>
      </c>
      <c r="AN97" s="147"/>
      <c r="AO97" s="145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</row>
    <row r="98" spans="1:154" s="22" customFormat="1" ht="64.5" customHeight="1" collapsed="1">
      <c r="A98" s="230" t="s">
        <v>191</v>
      </c>
      <c r="B98" s="230" t="s">
        <v>192</v>
      </c>
      <c r="C98" s="183">
        <v>19734736</v>
      </c>
      <c r="D98" s="183">
        <v>100131595</v>
      </c>
      <c r="E98" s="138">
        <v>39685604.760000005</v>
      </c>
      <c r="F98" s="187">
        <v>10066732</v>
      </c>
      <c r="G98" s="187">
        <v>2669518</v>
      </c>
      <c r="H98" s="232">
        <f>10996541.46+125893.55+1813742.97</f>
        <v>12936177.980000002</v>
      </c>
      <c r="I98" s="138">
        <v>9413799.6999999993</v>
      </c>
      <c r="J98" s="138">
        <f t="shared" si="113"/>
        <v>2869445.9800000023</v>
      </c>
      <c r="K98" s="138">
        <f t="shared" si="114"/>
        <v>6744281.6999999993</v>
      </c>
      <c r="L98" s="183">
        <f>189988.23</f>
        <v>189988.23</v>
      </c>
      <c r="M98" s="138">
        <f>L98+1249313.24</f>
        <v>1439301.47</v>
      </c>
      <c r="N98" s="138">
        <f>M98+1537464.08</f>
        <v>2976765.55</v>
      </c>
      <c r="O98" s="138">
        <f>N98+2017083.37</f>
        <v>4993848.92</v>
      </c>
      <c r="P98" s="231">
        <f>O98+720681.53</f>
        <v>5714530.4500000002</v>
      </c>
      <c r="Q98" s="138">
        <f>P98+636258.82</f>
        <v>6350789.2700000005</v>
      </c>
      <c r="R98" s="138">
        <f>Q98+1358368.91</f>
        <v>7709158.1800000006</v>
      </c>
      <c r="S98" s="138">
        <f>R98+1415880.09</f>
        <v>9125038.2700000014</v>
      </c>
      <c r="T98" s="138">
        <f>S98+920828.88</f>
        <v>10045867.150000002</v>
      </c>
      <c r="U98" s="138">
        <f>T98+609391.26</f>
        <v>10655258.410000002</v>
      </c>
      <c r="V98" s="138">
        <f>U98+457514.86</f>
        <v>11112773.270000001</v>
      </c>
      <c r="W98" s="138">
        <f>V98+181133.67</f>
        <v>11293906.940000001</v>
      </c>
      <c r="X98" s="188">
        <v>10618209.220000001</v>
      </c>
      <c r="Y98" s="187">
        <v>20241869.039280001</v>
      </c>
      <c r="Z98" s="189">
        <v>4938272.3007199997</v>
      </c>
      <c r="AA98" s="188">
        <f t="shared" si="102"/>
        <v>8947962.0992799997</v>
      </c>
      <c r="AB98" s="188">
        <f t="shared" si="103"/>
        <v>-5679936.919280001</v>
      </c>
      <c r="AC98" s="138">
        <f>1216386.23</f>
        <v>1216386.23</v>
      </c>
      <c r="AD98" s="138">
        <f>AC98+1400852.67</f>
        <v>2617238.9</v>
      </c>
      <c r="AE98" s="138">
        <f>AD98+2586184.91</f>
        <v>5203423.8100000005</v>
      </c>
      <c r="AF98" s="138">
        <f>AE98+300000</f>
        <v>5503423.8100000005</v>
      </c>
      <c r="AG98" s="138">
        <v>0</v>
      </c>
      <c r="AH98" s="86">
        <v>18450995.899999999</v>
      </c>
      <c r="AI98" s="87">
        <v>0</v>
      </c>
      <c r="AJ98" s="88">
        <f t="shared" si="105"/>
        <v>12947572.089999998</v>
      </c>
      <c r="AK98" s="88">
        <f t="shared" si="106"/>
        <v>0</v>
      </c>
      <c r="AL98" s="85">
        <f t="shared" si="115"/>
        <v>29733508.730000004</v>
      </c>
      <c r="AM98" s="142">
        <f t="shared" si="116"/>
        <v>20032008.920000002</v>
      </c>
      <c r="AN98" s="147"/>
      <c r="AO98" s="145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</row>
    <row r="99" spans="1:154" s="22" customFormat="1" ht="37.5">
      <c r="A99" s="230" t="s">
        <v>193</v>
      </c>
      <c r="B99" s="230" t="s">
        <v>194</v>
      </c>
      <c r="C99" s="183">
        <v>5271030</v>
      </c>
      <c r="D99" s="183">
        <v>12196804.287156001</v>
      </c>
      <c r="E99" s="138">
        <v>3731052.37</v>
      </c>
      <c r="F99" s="187">
        <v>257034</v>
      </c>
      <c r="G99" s="187"/>
      <c r="H99" s="138">
        <f>1374761.7+65519.18+204253.14</f>
        <v>1644534.02</v>
      </c>
      <c r="I99" s="138">
        <v>13125.41</v>
      </c>
      <c r="J99" s="138">
        <f t="shared" si="113"/>
        <v>1387500.02</v>
      </c>
      <c r="K99" s="138">
        <f t="shared" si="114"/>
        <v>13125.41</v>
      </c>
      <c r="L99" s="183">
        <v>83546.320000000007</v>
      </c>
      <c r="M99" s="138">
        <f>L99+112001.33</f>
        <v>195547.65000000002</v>
      </c>
      <c r="N99" s="138">
        <f>M99+126018.61</f>
        <v>321566.26</v>
      </c>
      <c r="O99" s="138">
        <f>N99+124499.66</f>
        <v>446065.92000000004</v>
      </c>
      <c r="P99" s="231">
        <f>O99+117504.89</f>
        <v>563570.81000000006</v>
      </c>
      <c r="Q99" s="138">
        <f>P99+122311.8</f>
        <v>685882.6100000001</v>
      </c>
      <c r="R99" s="138">
        <f>Q99+32325.87</f>
        <v>718208.4800000001</v>
      </c>
      <c r="S99" s="138">
        <f>R99+22839.15</f>
        <v>741047.63000000012</v>
      </c>
      <c r="T99" s="138">
        <f>S99+88355.11</f>
        <v>829402.74000000011</v>
      </c>
      <c r="U99" s="138">
        <f>T99+50156.34</f>
        <v>879559.08000000007</v>
      </c>
      <c r="V99" s="138">
        <f>U99+3994</f>
        <v>883553.08000000007</v>
      </c>
      <c r="W99" s="138">
        <f>V99+9548.42</f>
        <v>893101.50000000012</v>
      </c>
      <c r="X99" s="188">
        <v>0</v>
      </c>
      <c r="Y99" s="187">
        <v>4130469.4585779998</v>
      </c>
      <c r="Z99" s="189"/>
      <c r="AA99" s="188">
        <f t="shared" si="102"/>
        <v>3237367.9585779998</v>
      </c>
      <c r="AB99" s="188">
        <f t="shared" si="103"/>
        <v>0</v>
      </c>
      <c r="AC99" s="138">
        <v>5200.1499999999996</v>
      </c>
      <c r="AD99" s="138">
        <f>AC99</f>
        <v>5200.1499999999996</v>
      </c>
      <c r="AE99" s="138">
        <f>AD99</f>
        <v>5200.1499999999996</v>
      </c>
      <c r="AF99" s="138">
        <f>AE99</f>
        <v>5200.1499999999996</v>
      </c>
      <c r="AG99" s="138">
        <v>0</v>
      </c>
      <c r="AH99" s="86">
        <v>4078248.4585779998</v>
      </c>
      <c r="AI99" s="87"/>
      <c r="AJ99" s="88">
        <f t="shared" si="105"/>
        <v>4073048.3085779999</v>
      </c>
      <c r="AK99" s="88">
        <f t="shared" si="106"/>
        <v>0</v>
      </c>
      <c r="AL99" s="85">
        <f t="shared" si="115"/>
        <v>2542835.67</v>
      </c>
      <c r="AM99" s="142">
        <f t="shared" si="116"/>
        <v>13125.41</v>
      </c>
      <c r="AN99" s="147"/>
      <c r="AO99" s="145"/>
      <c r="AP99" s="17"/>
      <c r="AQ99"/>
      <c r="AR99" s="23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</row>
    <row r="100" spans="1:154" s="22" customFormat="1" ht="56.25">
      <c r="A100" s="230" t="s">
        <v>374</v>
      </c>
      <c r="B100" s="230" t="s">
        <v>195</v>
      </c>
      <c r="C100" s="183">
        <v>0</v>
      </c>
      <c r="D100" s="183">
        <v>5500000.0291799996</v>
      </c>
      <c r="E100" s="138">
        <v>1136946.1599999999</v>
      </c>
      <c r="F100" s="187">
        <v>940646.00000000012</v>
      </c>
      <c r="G100" s="187"/>
      <c r="H100" s="138">
        <f>1250000*60%</f>
        <v>750000</v>
      </c>
      <c r="I100" s="138">
        <v>0</v>
      </c>
      <c r="J100" s="138">
        <f t="shared" si="113"/>
        <v>-190646.00000000012</v>
      </c>
      <c r="K100" s="138">
        <f t="shared" si="114"/>
        <v>0</v>
      </c>
      <c r="L100" s="183">
        <v>30000</v>
      </c>
      <c r="M100" s="138">
        <v>90000</v>
      </c>
      <c r="N100" s="138">
        <v>132000</v>
      </c>
      <c r="O100" s="138">
        <v>171042</v>
      </c>
      <c r="P100" s="138">
        <v>268042</v>
      </c>
      <c r="Q100" s="138">
        <v>304042</v>
      </c>
      <c r="R100" s="138">
        <v>340042</v>
      </c>
      <c r="S100" s="138">
        <v>376042</v>
      </c>
      <c r="T100" s="138">
        <v>488096</v>
      </c>
      <c r="U100" s="138">
        <v>572177</v>
      </c>
      <c r="V100" s="138">
        <v>668177</v>
      </c>
      <c r="W100" s="138">
        <v>764177</v>
      </c>
      <c r="X100" s="188">
        <v>0</v>
      </c>
      <c r="Y100" s="187">
        <v>879140.2</v>
      </c>
      <c r="Z100" s="189"/>
      <c r="AA100" s="188">
        <f t="shared" si="102"/>
        <v>114963.19999999995</v>
      </c>
      <c r="AB100" s="188">
        <f t="shared" si="103"/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86">
        <v>2543268</v>
      </c>
      <c r="AI100" s="87"/>
      <c r="AJ100" s="88">
        <f t="shared" si="105"/>
        <v>2543268</v>
      </c>
      <c r="AK100" s="88">
        <f t="shared" si="106"/>
        <v>0</v>
      </c>
      <c r="AL100" s="85">
        <f t="shared" si="115"/>
        <v>1514177</v>
      </c>
      <c r="AM100" s="142">
        <f t="shared" si="116"/>
        <v>0</v>
      </c>
      <c r="AN100" s="148"/>
      <c r="AO100" s="145"/>
      <c r="AP100"/>
      <c r="AQ100"/>
      <c r="AR100" s="23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</row>
    <row r="101" spans="1:154" s="22" customFormat="1" ht="56.25">
      <c r="A101" s="230" t="s">
        <v>196</v>
      </c>
      <c r="B101" s="230" t="s">
        <v>197</v>
      </c>
      <c r="C101" s="183">
        <v>1714841.76</v>
      </c>
      <c r="D101" s="183">
        <v>1714402</v>
      </c>
      <c r="E101" s="138">
        <v>636815.42000000004</v>
      </c>
      <c r="F101" s="187">
        <v>295267</v>
      </c>
      <c r="G101" s="187"/>
      <c r="H101" s="138">
        <f>(134288+251544+25410)*85%</f>
        <v>349555.7</v>
      </c>
      <c r="I101" s="138">
        <v>0</v>
      </c>
      <c r="J101" s="138">
        <f t="shared" si="113"/>
        <v>54288.700000000012</v>
      </c>
      <c r="K101" s="138">
        <f t="shared" si="114"/>
        <v>0</v>
      </c>
      <c r="L101" s="183">
        <v>1000</v>
      </c>
      <c r="M101" s="138">
        <v>4000</v>
      </c>
      <c r="N101" s="138">
        <v>24000</v>
      </c>
      <c r="O101" s="138">
        <v>39000</v>
      </c>
      <c r="P101" s="138">
        <v>69000</v>
      </c>
      <c r="Q101" s="138">
        <v>94000</v>
      </c>
      <c r="R101" s="138">
        <v>109000</v>
      </c>
      <c r="S101" s="138">
        <v>119000</v>
      </c>
      <c r="T101" s="138">
        <v>149000</v>
      </c>
      <c r="U101" s="138">
        <v>189000</v>
      </c>
      <c r="V101" s="138">
        <v>234000</v>
      </c>
      <c r="W101" s="138">
        <v>295266</v>
      </c>
      <c r="X101" s="188">
        <v>0</v>
      </c>
      <c r="Y101" s="187">
        <v>295266.2</v>
      </c>
      <c r="Z101" s="189"/>
      <c r="AA101" s="188">
        <f t="shared" si="102"/>
        <v>0.20000000001164153</v>
      </c>
      <c r="AB101" s="188">
        <f t="shared" si="103"/>
        <v>0</v>
      </c>
      <c r="AC101" s="138">
        <v>74000</v>
      </c>
      <c r="AD101" s="138">
        <v>254860</v>
      </c>
      <c r="AE101" s="138">
        <v>352765</v>
      </c>
      <c r="AF101" s="138">
        <v>432765</v>
      </c>
      <c r="AG101" s="138">
        <v>0</v>
      </c>
      <c r="AH101" s="86">
        <v>487053</v>
      </c>
      <c r="AI101" s="87"/>
      <c r="AJ101" s="88">
        <f t="shared" si="105"/>
        <v>54288</v>
      </c>
      <c r="AK101" s="88">
        <f t="shared" si="106"/>
        <v>0</v>
      </c>
      <c r="AL101" s="85">
        <f t="shared" si="115"/>
        <v>1077586.7</v>
      </c>
      <c r="AM101" s="142">
        <f t="shared" si="116"/>
        <v>0</v>
      </c>
      <c r="AN101" s="148"/>
      <c r="AO101" s="145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</row>
    <row r="102" spans="1:154" s="22" customFormat="1" ht="48.75" customHeight="1">
      <c r="A102" s="230" t="s">
        <v>198</v>
      </c>
      <c r="B102" s="230" t="s">
        <v>199</v>
      </c>
      <c r="C102" s="183">
        <v>17179418.987243999</v>
      </c>
      <c r="D102" s="183">
        <v>17179418.987243999</v>
      </c>
      <c r="E102" s="138">
        <v>7349834.4400000004</v>
      </c>
      <c r="F102" s="187">
        <v>2920142</v>
      </c>
      <c r="G102" s="187"/>
      <c r="H102" s="138">
        <f>2656000*85%</f>
        <v>2257600</v>
      </c>
      <c r="I102" s="138">
        <v>0</v>
      </c>
      <c r="J102" s="138">
        <f t="shared" si="113"/>
        <v>-662542</v>
      </c>
      <c r="K102" s="138">
        <f t="shared" si="114"/>
        <v>0</v>
      </c>
      <c r="L102" s="183">
        <v>66000</v>
      </c>
      <c r="M102" s="138">
        <v>217000</v>
      </c>
      <c r="N102" s="138">
        <v>453000</v>
      </c>
      <c r="O102" s="138">
        <v>859000</v>
      </c>
      <c r="P102" s="138">
        <v>1095000</v>
      </c>
      <c r="Q102" s="138">
        <v>1330000</v>
      </c>
      <c r="R102" s="138">
        <v>1565000</v>
      </c>
      <c r="S102" s="138">
        <v>1970000</v>
      </c>
      <c r="T102" s="138">
        <v>2206300</v>
      </c>
      <c r="U102" s="138">
        <v>2442300</v>
      </c>
      <c r="V102" s="138">
        <v>2677300</v>
      </c>
      <c r="W102" s="138">
        <v>2920143</v>
      </c>
      <c r="X102" s="188">
        <v>0</v>
      </c>
      <c r="Y102" s="187">
        <v>2920142.6999999997</v>
      </c>
      <c r="Z102" s="189"/>
      <c r="AA102" s="188">
        <f t="shared" si="102"/>
        <v>-0.30000000027939677</v>
      </c>
      <c r="AB102" s="188">
        <f t="shared" si="103"/>
        <v>0</v>
      </c>
      <c r="AC102" s="138">
        <v>1300000</v>
      </c>
      <c r="AD102" s="138">
        <v>2600000</v>
      </c>
      <c r="AE102" s="138">
        <v>3900000</v>
      </c>
      <c r="AF102" s="138">
        <v>4651842</v>
      </c>
      <c r="AG102" s="138">
        <v>0</v>
      </c>
      <c r="AH102" s="86">
        <v>3989299.8472440001</v>
      </c>
      <c r="AI102" s="87"/>
      <c r="AJ102" s="88">
        <f t="shared" si="105"/>
        <v>-662542.15275599994</v>
      </c>
      <c r="AK102" s="88">
        <f t="shared" si="106"/>
        <v>0</v>
      </c>
      <c r="AL102" s="85">
        <f t="shared" si="115"/>
        <v>9829585</v>
      </c>
      <c r="AM102" s="142">
        <f t="shared" si="116"/>
        <v>0</v>
      </c>
      <c r="AN102" s="148"/>
      <c r="AO102" s="145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</row>
    <row r="103" spans="1:154" s="22" customFormat="1" ht="75" hidden="1" outlineLevel="1">
      <c r="A103" s="230" t="s">
        <v>375</v>
      </c>
      <c r="B103" s="230" t="s">
        <v>200</v>
      </c>
      <c r="C103" s="183">
        <v>0</v>
      </c>
      <c r="D103" s="183">
        <v>7488412</v>
      </c>
      <c r="E103" s="138">
        <v>5314874.04</v>
      </c>
      <c r="F103" s="187">
        <v>0</v>
      </c>
      <c r="G103" s="187"/>
      <c r="H103" s="138">
        <f>65344.3</f>
        <v>65344.3</v>
      </c>
      <c r="I103" s="138">
        <v>175128.44</v>
      </c>
      <c r="J103" s="138">
        <f t="shared" si="113"/>
        <v>65344.3</v>
      </c>
      <c r="K103" s="138">
        <f t="shared" si="114"/>
        <v>175128.44</v>
      </c>
      <c r="L103" s="183">
        <v>0</v>
      </c>
      <c r="M103" s="138">
        <f>L103</f>
        <v>0</v>
      </c>
      <c r="N103" s="138">
        <v>141552.1</v>
      </c>
      <c r="O103" s="138">
        <f>N103+143782</f>
        <v>285334.09999999998</v>
      </c>
      <c r="P103" s="231">
        <f t="shared" ref="P103:W104" si="117">O103</f>
        <v>285334.09999999998</v>
      </c>
      <c r="Q103" s="138">
        <f t="shared" si="117"/>
        <v>285334.09999999998</v>
      </c>
      <c r="R103" s="138">
        <f t="shared" si="117"/>
        <v>285334.09999999998</v>
      </c>
      <c r="S103" s="138">
        <f t="shared" si="117"/>
        <v>285334.09999999998</v>
      </c>
      <c r="T103" s="138">
        <f t="shared" si="117"/>
        <v>285334.09999999998</v>
      </c>
      <c r="U103" s="138">
        <f t="shared" si="117"/>
        <v>285334.09999999998</v>
      </c>
      <c r="V103" s="138">
        <f t="shared" si="117"/>
        <v>285334.09999999998</v>
      </c>
      <c r="W103" s="138">
        <f t="shared" si="117"/>
        <v>285334.09999999998</v>
      </c>
      <c r="X103" s="188">
        <v>0</v>
      </c>
      <c r="Y103" s="187">
        <v>0</v>
      </c>
      <c r="Z103" s="189"/>
      <c r="AA103" s="188">
        <f t="shared" si="102"/>
        <v>-285334.09999999998</v>
      </c>
      <c r="AB103" s="188">
        <f t="shared" si="103"/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86">
        <v>0</v>
      </c>
      <c r="AI103" s="87"/>
      <c r="AJ103" s="88">
        <f t="shared" si="105"/>
        <v>0</v>
      </c>
      <c r="AK103" s="88">
        <f t="shared" si="106"/>
        <v>0</v>
      </c>
      <c r="AL103" s="85">
        <f t="shared" si="115"/>
        <v>350678.39999999997</v>
      </c>
      <c r="AM103" s="142">
        <f t="shared" si="116"/>
        <v>175128.44</v>
      </c>
      <c r="AN103" s="147"/>
      <c r="AO103" s="145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</row>
    <row r="104" spans="1:154" s="22" customFormat="1" ht="112.5" collapsed="1">
      <c r="A104" s="233" t="s">
        <v>201</v>
      </c>
      <c r="B104" s="234" t="s">
        <v>202</v>
      </c>
      <c r="C104" s="183">
        <v>0</v>
      </c>
      <c r="D104" s="183">
        <v>6615526</v>
      </c>
      <c r="E104" s="138">
        <v>0</v>
      </c>
      <c r="F104" s="187">
        <v>0</v>
      </c>
      <c r="G104" s="187"/>
      <c r="H104" s="138">
        <v>0</v>
      </c>
      <c r="I104" s="138"/>
      <c r="J104" s="138">
        <f t="shared" si="113"/>
        <v>0</v>
      </c>
      <c r="K104" s="138">
        <f t="shared" si="114"/>
        <v>0</v>
      </c>
      <c r="L104" s="183">
        <v>0</v>
      </c>
      <c r="M104" s="138">
        <f>L104</f>
        <v>0</v>
      </c>
      <c r="N104" s="138">
        <f>M104</f>
        <v>0</v>
      </c>
      <c r="O104" s="138">
        <f>N104</f>
        <v>0</v>
      </c>
      <c r="P104" s="138">
        <f t="shared" si="117"/>
        <v>0</v>
      </c>
      <c r="Q104" s="138">
        <f t="shared" si="117"/>
        <v>0</v>
      </c>
      <c r="R104" s="138">
        <f t="shared" si="117"/>
        <v>0</v>
      </c>
      <c r="S104" s="138">
        <f t="shared" si="117"/>
        <v>0</v>
      </c>
      <c r="T104" s="138">
        <f t="shared" si="117"/>
        <v>0</v>
      </c>
      <c r="U104" s="138">
        <f t="shared" si="117"/>
        <v>0</v>
      </c>
      <c r="V104" s="138">
        <f t="shared" si="117"/>
        <v>0</v>
      </c>
      <c r="W104" s="138">
        <f t="shared" si="117"/>
        <v>0</v>
      </c>
      <c r="X104" s="188">
        <v>0</v>
      </c>
      <c r="Y104" s="187">
        <v>1800000</v>
      </c>
      <c r="Z104" s="189"/>
      <c r="AA104" s="188">
        <f t="shared" si="102"/>
        <v>1800000</v>
      </c>
      <c r="AB104" s="188">
        <f t="shared" si="103"/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86">
        <v>4200000</v>
      </c>
      <c r="AI104" s="87"/>
      <c r="AJ104" s="88">
        <f t="shared" si="105"/>
        <v>4200000</v>
      </c>
      <c r="AK104" s="88">
        <f t="shared" si="106"/>
        <v>0</v>
      </c>
      <c r="AL104" s="85">
        <f t="shared" si="115"/>
        <v>0</v>
      </c>
      <c r="AM104" s="142">
        <f t="shared" si="116"/>
        <v>0</v>
      </c>
      <c r="AN104" s="147"/>
      <c r="AO104" s="145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</row>
    <row r="105" spans="1:154" s="22" customFormat="1" ht="48.75" customHeight="1">
      <c r="A105" s="230" t="s">
        <v>203</v>
      </c>
      <c r="B105" s="230" t="s">
        <v>204</v>
      </c>
      <c r="C105" s="183">
        <v>4298271.2527559996</v>
      </c>
      <c r="D105" s="183">
        <v>3407289</v>
      </c>
      <c r="E105" s="138">
        <v>178105.74</v>
      </c>
      <c r="F105" s="187">
        <v>20000</v>
      </c>
      <c r="G105" s="187"/>
      <c r="H105" s="138">
        <f>569557.82+80164.44+122427.08</f>
        <v>772149.34</v>
      </c>
      <c r="I105" s="138"/>
      <c r="J105" s="138">
        <f t="shared" si="113"/>
        <v>752149.34</v>
      </c>
      <c r="K105" s="138">
        <f t="shared" si="114"/>
        <v>0</v>
      </c>
      <c r="L105" s="183">
        <v>133760.95000000001</v>
      </c>
      <c r="M105" s="138">
        <f>L105+188516.25</f>
        <v>322277.2</v>
      </c>
      <c r="N105" s="138">
        <f>M105+172543.58</f>
        <v>494820.78</v>
      </c>
      <c r="O105" s="138">
        <f>N105+115841.84</f>
        <v>610662.62</v>
      </c>
      <c r="P105" s="231">
        <f>O105+143247.83</f>
        <v>753910.45</v>
      </c>
      <c r="Q105" s="138">
        <f>P105+98912.06</f>
        <v>852822.51</v>
      </c>
      <c r="R105" s="138">
        <f>Q105+129694.65</f>
        <v>982517.16</v>
      </c>
      <c r="S105" s="138">
        <f>R105+95593.31</f>
        <v>1078110.47</v>
      </c>
      <c r="T105" s="138">
        <f>S105+111487.17</f>
        <v>1189597.6399999999</v>
      </c>
      <c r="U105" s="138">
        <f>T105+148809.81</f>
        <v>1338407.45</v>
      </c>
      <c r="V105" s="138">
        <f>U105+102296.52</f>
        <v>1440703.97</v>
      </c>
      <c r="W105" s="138">
        <f>V105+82785.72</f>
        <v>1523489.69</v>
      </c>
      <c r="X105" s="188">
        <v>0</v>
      </c>
      <c r="Y105" s="187">
        <v>1154485.19</v>
      </c>
      <c r="Z105" s="189"/>
      <c r="AA105" s="188">
        <f t="shared" si="102"/>
        <v>-369004.5</v>
      </c>
      <c r="AB105" s="188">
        <f t="shared" si="103"/>
        <v>0</v>
      </c>
      <c r="AC105" s="138">
        <f>327584.49</f>
        <v>327584.49</v>
      </c>
      <c r="AD105" s="138">
        <f>AC105+241848.06</f>
        <v>569432.55000000005</v>
      </c>
      <c r="AE105" s="138">
        <f>AD105+168349.22</f>
        <v>737781.77</v>
      </c>
      <c r="AF105" s="138">
        <f>AE105+26306.77</f>
        <v>764088.54</v>
      </c>
      <c r="AG105" s="138">
        <v>0</v>
      </c>
      <c r="AH105" s="86">
        <v>2054698.07</v>
      </c>
      <c r="AI105" s="87"/>
      <c r="AJ105" s="88">
        <f t="shared" si="105"/>
        <v>1290609.53</v>
      </c>
      <c r="AK105" s="88">
        <f t="shared" si="106"/>
        <v>0</v>
      </c>
      <c r="AL105" s="85">
        <f t="shared" si="115"/>
        <v>3059727.57</v>
      </c>
      <c r="AM105" s="142">
        <f t="shared" si="116"/>
        <v>0</v>
      </c>
      <c r="AN105" s="148"/>
      <c r="AO105" s="14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</row>
    <row r="106" spans="1:154" s="24" customFormat="1" ht="19.5">
      <c r="A106" s="227"/>
      <c r="B106" s="228" t="s">
        <v>205</v>
      </c>
      <c r="C106" s="229">
        <f t="shared" ref="C106:AI106" si="118">SUM(C107:C112)</f>
        <v>64721374.976879992</v>
      </c>
      <c r="D106" s="229">
        <f t="shared" si="118"/>
        <v>71721374.502888009</v>
      </c>
      <c r="E106" s="229">
        <f t="shared" si="118"/>
        <v>16985076.629999999</v>
      </c>
      <c r="F106" s="229">
        <v>10440071.916299999</v>
      </c>
      <c r="G106" s="229">
        <v>521408.66370000003</v>
      </c>
      <c r="H106" s="229">
        <f t="shared" si="118"/>
        <v>14945487.6</v>
      </c>
      <c r="I106" s="229">
        <f t="shared" si="118"/>
        <v>1655818.94</v>
      </c>
      <c r="J106" s="229">
        <f t="shared" si="113"/>
        <v>4505415.6837000009</v>
      </c>
      <c r="K106" s="229">
        <f t="shared" si="114"/>
        <v>1134410.2763</v>
      </c>
      <c r="L106" s="229">
        <f t="shared" si="118"/>
        <v>1983645.07</v>
      </c>
      <c r="M106" s="229">
        <f t="shared" si="118"/>
        <v>4412720.17</v>
      </c>
      <c r="N106" s="229">
        <f t="shared" si="118"/>
        <v>7106435.5899999999</v>
      </c>
      <c r="O106" s="229">
        <f t="shared" si="118"/>
        <v>9529440.4900000002</v>
      </c>
      <c r="P106" s="229">
        <f t="shared" si="118"/>
        <v>12167910.33</v>
      </c>
      <c r="Q106" s="229">
        <f t="shared" si="118"/>
        <v>14875109.640000001</v>
      </c>
      <c r="R106" s="229">
        <f t="shared" si="118"/>
        <v>17039186.66</v>
      </c>
      <c r="S106" s="229">
        <f t="shared" si="118"/>
        <v>19654730.159999996</v>
      </c>
      <c r="T106" s="229">
        <f t="shared" si="118"/>
        <v>22022196.129999995</v>
      </c>
      <c r="U106" s="229">
        <f t="shared" si="118"/>
        <v>23394602.489999995</v>
      </c>
      <c r="V106" s="229">
        <f t="shared" si="118"/>
        <v>24819641.129999995</v>
      </c>
      <c r="W106" s="229">
        <f t="shared" si="118"/>
        <v>26020742.339999996</v>
      </c>
      <c r="X106" s="229">
        <f t="shared" ref="X106" si="119">SUM(X107:X112)</f>
        <v>0</v>
      </c>
      <c r="Y106" s="229">
        <f t="shared" si="118"/>
        <v>17086165.537503</v>
      </c>
      <c r="Z106" s="229">
        <f t="shared" si="118"/>
        <v>979199.51249700005</v>
      </c>
      <c r="AA106" s="229">
        <f t="shared" si="102"/>
        <v>-8934576.8024969958</v>
      </c>
      <c r="AB106" s="229">
        <f t="shared" si="103"/>
        <v>979199.51249700005</v>
      </c>
      <c r="AC106" s="168">
        <f t="shared" ref="AC106:AG106" si="120">SUM(AC107:AC112)</f>
        <v>3940916.55</v>
      </c>
      <c r="AD106" s="168">
        <f t="shared" si="120"/>
        <v>5868199.3099999996</v>
      </c>
      <c r="AE106" s="168">
        <f t="shared" si="120"/>
        <v>7163981.4499999993</v>
      </c>
      <c r="AF106" s="168">
        <f t="shared" si="120"/>
        <v>9026048.1699999999</v>
      </c>
      <c r="AG106" s="168">
        <f t="shared" si="120"/>
        <v>0</v>
      </c>
      <c r="AH106" s="126">
        <f t="shared" si="118"/>
        <v>32752417.246656101</v>
      </c>
      <c r="AI106" s="126">
        <f t="shared" si="118"/>
        <v>957035.47022388491</v>
      </c>
      <c r="AJ106" s="127">
        <f t="shared" si="105"/>
        <v>23726369.076656103</v>
      </c>
      <c r="AK106" s="127">
        <f t="shared" si="106"/>
        <v>957035.47022388491</v>
      </c>
      <c r="AL106" s="125">
        <f t="shared" si="115"/>
        <v>49992278.109999999</v>
      </c>
      <c r="AM106" s="143">
        <f t="shared" si="116"/>
        <v>1655818.94</v>
      </c>
      <c r="AN106" s="149"/>
      <c r="AO106" s="145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</row>
    <row r="107" spans="1:154" s="19" customFormat="1" ht="93.75">
      <c r="A107" s="182" t="s">
        <v>206</v>
      </c>
      <c r="B107" s="182" t="s">
        <v>207</v>
      </c>
      <c r="C107" s="183">
        <v>7765913.9195999997</v>
      </c>
      <c r="D107" s="183">
        <v>7765913.9195999997</v>
      </c>
      <c r="E107" s="138">
        <v>4978866.4800000004</v>
      </c>
      <c r="F107" s="187">
        <v>806953.88000000012</v>
      </c>
      <c r="G107" s="187"/>
      <c r="H107" s="138">
        <f>1329911.08+305259.14</f>
        <v>1635170.2200000002</v>
      </c>
      <c r="I107" s="138"/>
      <c r="J107" s="138">
        <f t="shared" si="113"/>
        <v>828216.34000000008</v>
      </c>
      <c r="K107" s="138">
        <f t="shared" si="114"/>
        <v>0</v>
      </c>
      <c r="L107" s="183">
        <v>0</v>
      </c>
      <c r="M107" s="138">
        <v>187073.5</v>
      </c>
      <c r="N107" s="138">
        <f>M107</f>
        <v>187073.5</v>
      </c>
      <c r="O107" s="138">
        <f>N107</f>
        <v>187073.5</v>
      </c>
      <c r="P107" s="231">
        <f>O107+326079.15</f>
        <v>513152.65</v>
      </c>
      <c r="Q107" s="138">
        <f t="shared" ref="Q107:W108" si="121">P107</f>
        <v>513152.65</v>
      </c>
      <c r="R107" s="138">
        <f t="shared" si="121"/>
        <v>513152.65</v>
      </c>
      <c r="S107" s="138">
        <f t="shared" si="121"/>
        <v>513152.65</v>
      </c>
      <c r="T107" s="138">
        <f t="shared" si="121"/>
        <v>513152.65</v>
      </c>
      <c r="U107" s="138">
        <f t="shared" si="121"/>
        <v>513152.65</v>
      </c>
      <c r="V107" s="138">
        <f t="shared" si="121"/>
        <v>513152.65</v>
      </c>
      <c r="W107" s="138">
        <f t="shared" si="121"/>
        <v>513152.65</v>
      </c>
      <c r="X107" s="188">
        <v>0</v>
      </c>
      <c r="Y107" s="187">
        <v>1496845.38</v>
      </c>
      <c r="Z107" s="189"/>
      <c r="AA107" s="188">
        <f t="shared" si="102"/>
        <v>983692.72999999986</v>
      </c>
      <c r="AB107" s="188">
        <f t="shared" si="103"/>
        <v>0</v>
      </c>
      <c r="AC107" s="138">
        <v>0</v>
      </c>
      <c r="AD107" s="138">
        <v>0</v>
      </c>
      <c r="AE107" s="138">
        <v>0</v>
      </c>
      <c r="AF107" s="138">
        <v>0</v>
      </c>
      <c r="AG107" s="138">
        <v>0</v>
      </c>
      <c r="AH107" s="86">
        <v>483248.17959999898</v>
      </c>
      <c r="AI107" s="87"/>
      <c r="AJ107" s="88">
        <f t="shared" si="105"/>
        <v>483248.17959999898</v>
      </c>
      <c r="AK107" s="88">
        <f t="shared" si="106"/>
        <v>0</v>
      </c>
      <c r="AL107" s="85">
        <f t="shared" si="115"/>
        <v>2148322.87</v>
      </c>
      <c r="AM107" s="142">
        <f t="shared" si="116"/>
        <v>0</v>
      </c>
      <c r="AN107" s="146"/>
      <c r="AO107" s="145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</row>
    <row r="108" spans="1:154" s="19" customFormat="1" ht="63" customHeight="1">
      <c r="A108" s="182" t="s">
        <v>208</v>
      </c>
      <c r="B108" s="182" t="s">
        <v>209</v>
      </c>
      <c r="C108" s="183">
        <v>4343809.4379359996</v>
      </c>
      <c r="D108" s="183">
        <v>4343809.4379359996</v>
      </c>
      <c r="E108" s="183">
        <v>2397082.6800000002</v>
      </c>
      <c r="F108" s="184">
        <v>819190.30259999994</v>
      </c>
      <c r="G108" s="184">
        <v>35914.397400000002</v>
      </c>
      <c r="H108" s="235">
        <f>514537.34+272014.28</f>
        <v>786551.62000000011</v>
      </c>
      <c r="I108" s="183"/>
      <c r="J108" s="183">
        <f t="shared" si="113"/>
        <v>-32638.682599999825</v>
      </c>
      <c r="K108" s="183">
        <f t="shared" si="114"/>
        <v>-35914.397400000002</v>
      </c>
      <c r="L108" s="183">
        <v>0</v>
      </c>
      <c r="M108" s="185">
        <v>374382.3</v>
      </c>
      <c r="N108" s="185">
        <f>M108+148552.29</f>
        <v>522934.58999999997</v>
      </c>
      <c r="O108" s="185">
        <f>N108</f>
        <v>522934.58999999997</v>
      </c>
      <c r="P108" s="236">
        <f>O108</f>
        <v>522934.58999999997</v>
      </c>
      <c r="Q108" s="185">
        <f t="shared" si="121"/>
        <v>522934.58999999997</v>
      </c>
      <c r="R108" s="185">
        <f t="shared" si="121"/>
        <v>522934.58999999997</v>
      </c>
      <c r="S108" s="185">
        <f t="shared" si="121"/>
        <v>522934.58999999997</v>
      </c>
      <c r="T108" s="185">
        <f t="shared" si="121"/>
        <v>522934.58999999997</v>
      </c>
      <c r="U108" s="185">
        <f t="shared" si="121"/>
        <v>522934.58999999997</v>
      </c>
      <c r="V108" s="185">
        <f t="shared" si="121"/>
        <v>522934.58999999997</v>
      </c>
      <c r="W108" s="185">
        <f t="shared" si="121"/>
        <v>522934.58999999997</v>
      </c>
      <c r="X108" s="185">
        <v>0</v>
      </c>
      <c r="Y108" s="186">
        <v>0</v>
      </c>
      <c r="Z108" s="186">
        <v>0</v>
      </c>
      <c r="AA108" s="185">
        <f t="shared" si="102"/>
        <v>-522934.58999999997</v>
      </c>
      <c r="AB108" s="185">
        <f t="shared" si="103"/>
        <v>0</v>
      </c>
      <c r="AC108" s="185">
        <v>0</v>
      </c>
      <c r="AD108" s="185">
        <v>0</v>
      </c>
      <c r="AE108" s="185">
        <v>0</v>
      </c>
      <c r="AF108" s="185">
        <v>0</v>
      </c>
      <c r="AG108" s="185">
        <v>0</v>
      </c>
      <c r="AH108" s="83">
        <v>1045773.931502688</v>
      </c>
      <c r="AI108" s="83">
        <v>45848.126433311998</v>
      </c>
      <c r="AJ108" s="84">
        <f t="shared" si="105"/>
        <v>1045773.931502688</v>
      </c>
      <c r="AK108" s="84">
        <f t="shared" si="106"/>
        <v>45848.126433311998</v>
      </c>
      <c r="AL108" s="130">
        <f t="shared" si="115"/>
        <v>1309486.21</v>
      </c>
      <c r="AM108" s="144">
        <f t="shared" si="116"/>
        <v>0</v>
      </c>
      <c r="AN108" s="150"/>
      <c r="AO108" s="145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</row>
    <row r="109" spans="1:154" s="19" customFormat="1" ht="75" hidden="1" outlineLevel="1">
      <c r="A109" s="182" t="s">
        <v>210</v>
      </c>
      <c r="B109" s="182" t="s">
        <v>211</v>
      </c>
      <c r="C109" s="183">
        <v>0</v>
      </c>
      <c r="D109" s="183">
        <v>0</v>
      </c>
      <c r="E109" s="138">
        <v>0</v>
      </c>
      <c r="F109" s="187">
        <v>0</v>
      </c>
      <c r="G109" s="187"/>
      <c r="H109" s="138"/>
      <c r="I109" s="138"/>
      <c r="J109" s="138">
        <f t="shared" si="113"/>
        <v>0</v>
      </c>
      <c r="K109" s="138">
        <f t="shared" si="114"/>
        <v>0</v>
      </c>
      <c r="L109" s="183">
        <v>0</v>
      </c>
      <c r="M109" s="138">
        <v>0</v>
      </c>
      <c r="N109" s="138">
        <v>0</v>
      </c>
      <c r="O109" s="138">
        <v>0</v>
      </c>
      <c r="P109" s="231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0</v>
      </c>
      <c r="X109" s="188">
        <v>0</v>
      </c>
      <c r="Y109" s="187">
        <v>0</v>
      </c>
      <c r="Z109" s="189"/>
      <c r="AA109" s="188">
        <f t="shared" si="102"/>
        <v>0</v>
      </c>
      <c r="AB109" s="188">
        <f t="shared" si="103"/>
        <v>0</v>
      </c>
      <c r="AC109" s="138">
        <v>0</v>
      </c>
      <c r="AD109" s="138">
        <v>0</v>
      </c>
      <c r="AE109" s="138">
        <v>0</v>
      </c>
      <c r="AF109" s="138">
        <v>0</v>
      </c>
      <c r="AG109" s="138">
        <v>0</v>
      </c>
      <c r="AH109" s="86">
        <v>0</v>
      </c>
      <c r="AI109" s="87"/>
      <c r="AJ109" s="88">
        <f t="shared" si="105"/>
        <v>0</v>
      </c>
      <c r="AK109" s="88">
        <f t="shared" si="106"/>
        <v>0</v>
      </c>
      <c r="AL109" s="85">
        <f t="shared" si="115"/>
        <v>0</v>
      </c>
      <c r="AM109" s="142">
        <f t="shared" si="116"/>
        <v>0</v>
      </c>
      <c r="AN109" s="151"/>
      <c r="AO109" s="145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</row>
    <row r="110" spans="1:154" s="19" customFormat="1" ht="64.5" hidden="1" customHeight="1" outlineLevel="1">
      <c r="A110" s="182" t="s">
        <v>212</v>
      </c>
      <c r="B110" s="182" t="s">
        <v>213</v>
      </c>
      <c r="C110" s="183">
        <v>0</v>
      </c>
      <c r="D110" s="183">
        <v>0</v>
      </c>
      <c r="E110" s="138">
        <v>0</v>
      </c>
      <c r="F110" s="187">
        <v>0</v>
      </c>
      <c r="G110" s="187"/>
      <c r="H110" s="138"/>
      <c r="I110" s="138"/>
      <c r="J110" s="138">
        <f t="shared" si="113"/>
        <v>0</v>
      </c>
      <c r="K110" s="138">
        <f t="shared" si="114"/>
        <v>0</v>
      </c>
      <c r="L110" s="183">
        <v>0</v>
      </c>
      <c r="M110" s="138">
        <v>0</v>
      </c>
      <c r="N110" s="138">
        <v>0</v>
      </c>
      <c r="O110" s="138">
        <v>0</v>
      </c>
      <c r="P110" s="231">
        <v>0</v>
      </c>
      <c r="Q110" s="138">
        <v>0</v>
      </c>
      <c r="R110" s="138">
        <v>0</v>
      </c>
      <c r="S110" s="138">
        <v>0</v>
      </c>
      <c r="T110" s="138">
        <v>0</v>
      </c>
      <c r="U110" s="138">
        <v>0</v>
      </c>
      <c r="V110" s="138">
        <v>0</v>
      </c>
      <c r="W110" s="138">
        <v>0</v>
      </c>
      <c r="X110" s="188">
        <v>0</v>
      </c>
      <c r="Y110" s="187">
        <v>0</v>
      </c>
      <c r="Z110" s="189"/>
      <c r="AA110" s="188">
        <f t="shared" si="102"/>
        <v>0</v>
      </c>
      <c r="AB110" s="188">
        <f t="shared" si="103"/>
        <v>0</v>
      </c>
      <c r="AC110" s="138">
        <v>0</v>
      </c>
      <c r="AD110" s="138">
        <v>0</v>
      </c>
      <c r="AE110" s="138">
        <v>0</v>
      </c>
      <c r="AF110" s="138">
        <v>0</v>
      </c>
      <c r="AG110" s="138">
        <v>0</v>
      </c>
      <c r="AH110" s="86">
        <v>0</v>
      </c>
      <c r="AI110" s="87"/>
      <c r="AJ110" s="88">
        <f t="shared" si="105"/>
        <v>0</v>
      </c>
      <c r="AK110" s="88">
        <f t="shared" si="106"/>
        <v>0</v>
      </c>
      <c r="AL110" s="85">
        <f t="shared" si="115"/>
        <v>0</v>
      </c>
      <c r="AM110" s="142">
        <f t="shared" si="116"/>
        <v>0</v>
      </c>
      <c r="AN110" s="151"/>
      <c r="AO110" s="145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</row>
    <row r="111" spans="1:154" s="19" customFormat="1" ht="66" customHeight="1" collapsed="1">
      <c r="A111" s="182" t="s">
        <v>214</v>
      </c>
      <c r="B111" s="182" t="s">
        <v>215</v>
      </c>
      <c r="C111" s="183">
        <v>47759948.923139997</v>
      </c>
      <c r="D111" s="183">
        <v>54759948.449147999</v>
      </c>
      <c r="E111" s="183">
        <v>7558914.7000000002</v>
      </c>
      <c r="F111" s="184">
        <v>7729298.7336999997</v>
      </c>
      <c r="G111" s="184">
        <v>485494.26630000002</v>
      </c>
      <c r="H111" s="183">
        <f>8651316.83+338526.5+2163265.5</f>
        <v>11153108.83</v>
      </c>
      <c r="I111" s="183">
        <v>1592144.46</v>
      </c>
      <c r="J111" s="183">
        <f t="shared" si="113"/>
        <v>3423810.0963000003</v>
      </c>
      <c r="K111" s="183">
        <f t="shared" si="114"/>
        <v>1106650.1936999999</v>
      </c>
      <c r="L111" s="183">
        <v>1884057.25</v>
      </c>
      <c r="M111" s="185">
        <f>L111+1785681.28</f>
        <v>3669738.5300000003</v>
      </c>
      <c r="N111" s="185">
        <f>M111+2545163.13</f>
        <v>6214901.6600000001</v>
      </c>
      <c r="O111" s="185">
        <f>N111+2423004.9</f>
        <v>8637906.5600000005</v>
      </c>
      <c r="P111" s="236">
        <f>O111+2312390.69</f>
        <v>10950297.25</v>
      </c>
      <c r="Q111" s="185">
        <f>P111+2614113.57</f>
        <v>13564410.82</v>
      </c>
      <c r="R111" s="185">
        <f>Q111+2164077.02</f>
        <v>15728487.84</v>
      </c>
      <c r="S111" s="185">
        <f>R111+2615543.5</f>
        <v>18344031.34</v>
      </c>
      <c r="T111" s="185">
        <f>S111+2367465.97</f>
        <v>20711497.309999999</v>
      </c>
      <c r="U111" s="185">
        <f>T111+1372406.36</f>
        <v>22083903.669999998</v>
      </c>
      <c r="V111" s="185">
        <f>U111+1425038.64</f>
        <v>23508942.309999999</v>
      </c>
      <c r="W111" s="185">
        <f>V111+1201101.21</f>
        <v>24710043.52</v>
      </c>
      <c r="X111" s="185">
        <v>0</v>
      </c>
      <c r="Y111" s="186">
        <v>15589320.157503</v>
      </c>
      <c r="Z111" s="186">
        <v>979199.51249700005</v>
      </c>
      <c r="AA111" s="185">
        <f t="shared" si="102"/>
        <v>-9120723.362497</v>
      </c>
      <c r="AB111" s="185">
        <f t="shared" si="103"/>
        <v>979199.51249700005</v>
      </c>
      <c r="AC111" s="183">
        <v>3940916.55</v>
      </c>
      <c r="AD111" s="183">
        <f>AC111+1927282.76</f>
        <v>5868199.3099999996</v>
      </c>
      <c r="AE111" s="183">
        <f>AD111+1295782.14</f>
        <v>7163981.4499999993</v>
      </c>
      <c r="AF111" s="183">
        <f>AE111+1862066.72</f>
        <v>9026048.1699999999</v>
      </c>
      <c r="AG111" s="183">
        <v>0</v>
      </c>
      <c r="AH111" s="83">
        <v>29506534.209349416</v>
      </c>
      <c r="AI111" s="83">
        <v>911187.34379057295</v>
      </c>
      <c r="AJ111" s="84">
        <f t="shared" si="105"/>
        <v>20480486.039349414</v>
      </c>
      <c r="AK111" s="84">
        <f t="shared" si="106"/>
        <v>911187.34379057295</v>
      </c>
      <c r="AL111" s="130">
        <f t="shared" si="115"/>
        <v>44889200.520000003</v>
      </c>
      <c r="AM111" s="144">
        <f t="shared" si="116"/>
        <v>1592144.46</v>
      </c>
      <c r="AN111" s="152"/>
      <c r="AO111" s="145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</row>
    <row r="112" spans="1:154" s="19" customFormat="1" ht="56.25">
      <c r="A112" s="182" t="s">
        <v>216</v>
      </c>
      <c r="B112" s="182" t="s">
        <v>217</v>
      </c>
      <c r="C112" s="183">
        <v>4851702.6962040002</v>
      </c>
      <c r="D112" s="183">
        <v>4851702.6962040002</v>
      </c>
      <c r="E112" s="138">
        <v>2050212.7699999998</v>
      </c>
      <c r="F112" s="187">
        <v>1084629</v>
      </c>
      <c r="G112" s="187"/>
      <c r="H112" s="138">
        <f>908879.71+7330.35+454446.87</f>
        <v>1370656.93</v>
      </c>
      <c r="I112" s="138">
        <v>63674.48</v>
      </c>
      <c r="J112" s="138">
        <f t="shared" si="113"/>
        <v>286027.92999999993</v>
      </c>
      <c r="K112" s="138">
        <f t="shared" si="114"/>
        <v>63674.48</v>
      </c>
      <c r="L112" s="183">
        <v>99587.82</v>
      </c>
      <c r="M112" s="138">
        <f>L112+81938.02</f>
        <v>181525.84000000003</v>
      </c>
      <c r="N112" s="138">
        <f t="shared" ref="N112:W112" si="122">M112</f>
        <v>181525.84000000003</v>
      </c>
      <c r="O112" s="138">
        <f t="shared" si="122"/>
        <v>181525.84000000003</v>
      </c>
      <c r="P112" s="231">
        <f t="shared" si="122"/>
        <v>181525.84000000003</v>
      </c>
      <c r="Q112" s="138">
        <f>P112+93085.74</f>
        <v>274611.58</v>
      </c>
      <c r="R112" s="138">
        <f t="shared" si="122"/>
        <v>274611.58</v>
      </c>
      <c r="S112" s="138">
        <f t="shared" si="122"/>
        <v>274611.58</v>
      </c>
      <c r="T112" s="138">
        <f t="shared" si="122"/>
        <v>274611.58</v>
      </c>
      <c r="U112" s="138">
        <f t="shared" si="122"/>
        <v>274611.58</v>
      </c>
      <c r="V112" s="138">
        <f t="shared" si="122"/>
        <v>274611.58</v>
      </c>
      <c r="W112" s="138">
        <f t="shared" si="122"/>
        <v>274611.58</v>
      </c>
      <c r="X112" s="188">
        <v>0</v>
      </c>
      <c r="Y112" s="187">
        <v>0</v>
      </c>
      <c r="Z112" s="189"/>
      <c r="AA112" s="188">
        <f t="shared" si="102"/>
        <v>-274611.58</v>
      </c>
      <c r="AB112" s="188">
        <f t="shared" si="103"/>
        <v>0</v>
      </c>
      <c r="AC112" s="138">
        <v>0</v>
      </c>
      <c r="AD112" s="138">
        <v>0</v>
      </c>
      <c r="AE112" s="138">
        <v>0</v>
      </c>
      <c r="AF112" s="138">
        <v>0</v>
      </c>
      <c r="AG112" s="138">
        <v>0</v>
      </c>
      <c r="AH112" s="86">
        <v>1716860.9262039999</v>
      </c>
      <c r="AI112" s="87"/>
      <c r="AJ112" s="88">
        <f t="shared" si="105"/>
        <v>1716860.9262039999</v>
      </c>
      <c r="AK112" s="88">
        <f t="shared" si="106"/>
        <v>0</v>
      </c>
      <c r="AL112" s="85">
        <f t="shared" si="115"/>
        <v>1645268.51</v>
      </c>
      <c r="AM112" s="142">
        <f t="shared" si="116"/>
        <v>63674.48</v>
      </c>
      <c r="AN112" s="148"/>
      <c r="AO112" s="145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</row>
    <row r="113" spans="1:154" s="18" customFormat="1" ht="19.5">
      <c r="A113" s="178"/>
      <c r="B113" s="179" t="s">
        <v>218</v>
      </c>
      <c r="C113" s="180">
        <f t="shared" ref="C113:AI113" si="123">C114+C116</f>
        <v>58437446.281979993</v>
      </c>
      <c r="D113" s="180">
        <f t="shared" si="123"/>
        <v>56642559.363204002</v>
      </c>
      <c r="E113" s="180">
        <f t="shared" si="123"/>
        <v>26527824.710000001</v>
      </c>
      <c r="F113" s="180">
        <v>7806244.9000000004</v>
      </c>
      <c r="G113" s="180">
        <v>23418.734700000001</v>
      </c>
      <c r="H113" s="180">
        <f t="shared" ref="H113:I113" si="124">H114+H116</f>
        <v>8061249.7699999996</v>
      </c>
      <c r="I113" s="180">
        <f t="shared" si="124"/>
        <v>13292.69</v>
      </c>
      <c r="J113" s="180">
        <f t="shared" si="113"/>
        <v>255004.86999999918</v>
      </c>
      <c r="K113" s="180">
        <f t="shared" si="114"/>
        <v>-10126.0447</v>
      </c>
      <c r="L113" s="180">
        <f t="shared" si="123"/>
        <v>0</v>
      </c>
      <c r="M113" s="180">
        <f t="shared" si="123"/>
        <v>586064.84</v>
      </c>
      <c r="N113" s="180">
        <f t="shared" si="123"/>
        <v>2052905.7400000002</v>
      </c>
      <c r="O113" s="180">
        <f t="shared" si="123"/>
        <v>2139605.62</v>
      </c>
      <c r="P113" s="180">
        <f t="shared" si="123"/>
        <v>2399097.13</v>
      </c>
      <c r="Q113" s="180">
        <f t="shared" si="123"/>
        <v>3813537.74</v>
      </c>
      <c r="R113" s="180">
        <f t="shared" si="123"/>
        <v>3813537.74</v>
      </c>
      <c r="S113" s="180">
        <f t="shared" si="123"/>
        <v>4206864.78</v>
      </c>
      <c r="T113" s="180">
        <f t="shared" si="123"/>
        <v>5685720.5700000003</v>
      </c>
      <c r="U113" s="180">
        <f t="shared" si="123"/>
        <v>5802039.9199999999</v>
      </c>
      <c r="V113" s="180">
        <f t="shared" si="123"/>
        <v>6060006.6099999994</v>
      </c>
      <c r="W113" s="180">
        <f t="shared" si="123"/>
        <v>7749549.9699999997</v>
      </c>
      <c r="X113" s="180">
        <f t="shared" ref="X113" si="125">X114+X116</f>
        <v>23318.60571</v>
      </c>
      <c r="Y113" s="180">
        <f t="shared" si="123"/>
        <v>10099688.41</v>
      </c>
      <c r="Z113" s="180">
        <f t="shared" si="123"/>
        <v>30299.06523</v>
      </c>
      <c r="AA113" s="180">
        <f t="shared" si="102"/>
        <v>2350138.4400000004</v>
      </c>
      <c r="AB113" s="180">
        <f t="shared" si="103"/>
        <v>6980.4595200000003</v>
      </c>
      <c r="AC113" s="181">
        <f t="shared" ref="AC113:AG113" si="126">AC114+AC116</f>
        <v>2730429.2</v>
      </c>
      <c r="AD113" s="181">
        <f t="shared" si="126"/>
        <v>4988666.42</v>
      </c>
      <c r="AE113" s="181">
        <f t="shared" si="126"/>
        <v>7149083.2699999996</v>
      </c>
      <c r="AF113" s="181">
        <f t="shared" si="126"/>
        <v>13672069.029999997</v>
      </c>
      <c r="AG113" s="181">
        <f t="shared" si="126"/>
        <v>41139.625950000001</v>
      </c>
      <c r="AH113" s="77">
        <f t="shared" si="123"/>
        <v>11858026.74</v>
      </c>
      <c r="AI113" s="77">
        <f t="shared" si="123"/>
        <v>35842.761899999998</v>
      </c>
      <c r="AJ113" s="78">
        <f t="shared" si="105"/>
        <v>-1814042.2899999972</v>
      </c>
      <c r="AK113" s="78">
        <f t="shared" si="106"/>
        <v>-5296.8640500000038</v>
      </c>
      <c r="AL113" s="76">
        <f t="shared" si="115"/>
        <v>29482868.769999996</v>
      </c>
      <c r="AM113" s="76">
        <f t="shared" si="116"/>
        <v>77750.921659999993</v>
      </c>
      <c r="AN113"/>
      <c r="AO113" s="17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</row>
    <row r="114" spans="1:154" s="24" customFormat="1" ht="19.5">
      <c r="A114" s="227"/>
      <c r="B114" s="228" t="s">
        <v>219</v>
      </c>
      <c r="C114" s="229">
        <f t="shared" ref="C114:AI114" si="127">C115</f>
        <v>17948876.215799998</v>
      </c>
      <c r="D114" s="229">
        <f t="shared" si="127"/>
        <v>16153989.297024</v>
      </c>
      <c r="E114" s="229">
        <f t="shared" si="127"/>
        <v>8098483.3300000001</v>
      </c>
      <c r="F114" s="229">
        <v>2294744.94</v>
      </c>
      <c r="G114" s="229">
        <v>6884.2348199999997</v>
      </c>
      <c r="H114" s="229">
        <f t="shared" si="127"/>
        <v>2071035.15</v>
      </c>
      <c r="I114" s="229">
        <f t="shared" si="127"/>
        <v>7144.75</v>
      </c>
      <c r="J114" s="229">
        <f t="shared" si="113"/>
        <v>-223709.79000000004</v>
      </c>
      <c r="K114" s="229">
        <f t="shared" si="114"/>
        <v>260.51518000000033</v>
      </c>
      <c r="L114" s="229">
        <f t="shared" si="127"/>
        <v>0</v>
      </c>
      <c r="M114" s="229">
        <f t="shared" si="127"/>
        <v>137729.4</v>
      </c>
      <c r="N114" s="229">
        <f t="shared" si="127"/>
        <v>569491.93000000005</v>
      </c>
      <c r="O114" s="229">
        <f t="shared" si="127"/>
        <v>569491.93000000005</v>
      </c>
      <c r="P114" s="229">
        <f t="shared" si="127"/>
        <v>638399.57000000007</v>
      </c>
      <c r="Q114" s="229">
        <f t="shared" si="127"/>
        <v>1078563.6100000001</v>
      </c>
      <c r="R114" s="229">
        <f t="shared" si="127"/>
        <v>1078563.6100000001</v>
      </c>
      <c r="S114" s="229">
        <f t="shared" si="127"/>
        <v>1147107.9600000002</v>
      </c>
      <c r="T114" s="229">
        <f t="shared" si="127"/>
        <v>1581421.56</v>
      </c>
      <c r="U114" s="229">
        <f t="shared" si="127"/>
        <v>1581421.56</v>
      </c>
      <c r="V114" s="229">
        <f t="shared" si="127"/>
        <v>1647857.6500000001</v>
      </c>
      <c r="W114" s="229">
        <f t="shared" si="127"/>
        <v>2128013.7000000002</v>
      </c>
      <c r="X114" s="229">
        <f t="shared" si="127"/>
        <v>6403.2508500000004</v>
      </c>
      <c r="Y114" s="229">
        <f t="shared" si="127"/>
        <v>2558605.5299999998</v>
      </c>
      <c r="Z114" s="229">
        <f t="shared" si="127"/>
        <v>7675.8165899999995</v>
      </c>
      <c r="AA114" s="229">
        <f t="shared" si="102"/>
        <v>430591.82999999961</v>
      </c>
      <c r="AB114" s="229">
        <f t="shared" si="103"/>
        <v>1272.5657399999991</v>
      </c>
      <c r="AC114" s="168">
        <f t="shared" si="127"/>
        <v>646907.46</v>
      </c>
      <c r="AD114" s="168">
        <f t="shared" si="127"/>
        <v>1317565.3399999999</v>
      </c>
      <c r="AE114" s="168">
        <f t="shared" si="127"/>
        <v>1971256.39</v>
      </c>
      <c r="AF114" s="168">
        <f t="shared" si="127"/>
        <v>3680613.12</v>
      </c>
      <c r="AG114" s="168">
        <f t="shared" si="127"/>
        <v>11075.064540000001</v>
      </c>
      <c r="AH114" s="126">
        <f t="shared" si="127"/>
        <v>3104334</v>
      </c>
      <c r="AI114" s="126">
        <f t="shared" si="127"/>
        <v>9384.8366700000006</v>
      </c>
      <c r="AJ114" s="127">
        <f t="shared" si="105"/>
        <v>-576279.12000000011</v>
      </c>
      <c r="AK114" s="127">
        <f t="shared" si="106"/>
        <v>-1690.2278700000006</v>
      </c>
      <c r="AL114" s="125">
        <f t="shared" si="115"/>
        <v>7879661.9699999997</v>
      </c>
      <c r="AM114" s="125">
        <f t="shared" si="116"/>
        <v>24623.065390000003</v>
      </c>
      <c r="AN114"/>
      <c r="AO114" s="17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</row>
    <row r="115" spans="1:154" s="22" customFormat="1" ht="64.5" customHeight="1">
      <c r="A115" s="237" t="s">
        <v>220</v>
      </c>
      <c r="B115" s="237" t="s">
        <v>64</v>
      </c>
      <c r="C115" s="97">
        <v>17948876.215799998</v>
      </c>
      <c r="D115" s="97">
        <v>16153989.297024</v>
      </c>
      <c r="E115" s="98">
        <v>8098483.3300000001</v>
      </c>
      <c r="F115" s="191">
        <v>2294744.94</v>
      </c>
      <c r="G115" s="191">
        <v>6884.2348199999997</v>
      </c>
      <c r="H115" s="270">
        <f>561031.9+1517148-7144.75</f>
        <v>2071035.15</v>
      </c>
      <c r="I115" s="270">
        <f>5461.65+1683.1</f>
        <v>7144.75</v>
      </c>
      <c r="J115" s="98">
        <f t="shared" si="113"/>
        <v>-223709.79000000004</v>
      </c>
      <c r="K115" s="98">
        <f t="shared" si="114"/>
        <v>260.51518000000033</v>
      </c>
      <c r="L115" s="97">
        <v>0</v>
      </c>
      <c r="M115" s="99">
        <v>137729.4</v>
      </c>
      <c r="N115" s="99">
        <v>569491.93000000005</v>
      </c>
      <c r="O115" s="99">
        <v>569491.93000000005</v>
      </c>
      <c r="P115" s="238">
        <v>638399.57000000007</v>
      </c>
      <c r="Q115" s="99">
        <v>1078563.6100000001</v>
      </c>
      <c r="R115" s="99">
        <v>1078563.6100000001</v>
      </c>
      <c r="S115" s="99">
        <v>1147107.9600000002</v>
      </c>
      <c r="T115" s="99">
        <v>1581421.56</v>
      </c>
      <c r="U115" s="99">
        <v>1581421.56</v>
      </c>
      <c r="V115" s="99">
        <v>1647857.6500000001</v>
      </c>
      <c r="W115" s="99">
        <v>2128013.7000000002</v>
      </c>
      <c r="X115" s="99">
        <v>6403.2508500000004</v>
      </c>
      <c r="Y115" s="192">
        <v>2558605.5299999998</v>
      </c>
      <c r="Z115" s="192">
        <v>7675.8165899999995</v>
      </c>
      <c r="AA115" s="99">
        <f t="shared" si="102"/>
        <v>430591.82999999961</v>
      </c>
      <c r="AB115" s="99">
        <f t="shared" si="103"/>
        <v>1272.5657399999991</v>
      </c>
      <c r="AC115" s="98">
        <v>646907.46</v>
      </c>
      <c r="AD115" s="98">
        <v>1317565.3399999999</v>
      </c>
      <c r="AE115" s="98">
        <v>1971256.39</v>
      </c>
      <c r="AF115" s="98">
        <v>3680613.12</v>
      </c>
      <c r="AG115" s="98">
        <v>11075.064540000001</v>
      </c>
      <c r="AH115" s="91">
        <v>3104334</v>
      </c>
      <c r="AI115" s="91">
        <v>9384.8366700000006</v>
      </c>
      <c r="AJ115" s="92">
        <f t="shared" si="105"/>
        <v>-576279.12000000011</v>
      </c>
      <c r="AK115" s="92">
        <f t="shared" si="106"/>
        <v>-1690.2278700000006</v>
      </c>
      <c r="AL115" s="90">
        <f t="shared" si="115"/>
        <v>7879661.9699999997</v>
      </c>
      <c r="AM115" s="90">
        <f t="shared" si="116"/>
        <v>24623.065390000003</v>
      </c>
      <c r="AN115"/>
      <c r="AO115" s="17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</row>
    <row r="116" spans="1:154" s="25" customFormat="1" ht="19.5">
      <c r="A116" s="227"/>
      <c r="B116" s="228" t="s">
        <v>221</v>
      </c>
      <c r="C116" s="229">
        <f t="shared" ref="C116:AI116" si="128">C117</f>
        <v>40488570.066179998</v>
      </c>
      <c r="D116" s="229">
        <f t="shared" si="128"/>
        <v>40488570.066179998</v>
      </c>
      <c r="E116" s="229">
        <f t="shared" si="128"/>
        <v>18429341.379999999</v>
      </c>
      <c r="F116" s="229">
        <v>5511499.96</v>
      </c>
      <c r="G116" s="229">
        <v>16534.499879999999</v>
      </c>
      <c r="H116" s="229">
        <f t="shared" si="128"/>
        <v>5990214.6199999992</v>
      </c>
      <c r="I116" s="229">
        <f t="shared" si="128"/>
        <v>6147.9400000000005</v>
      </c>
      <c r="J116" s="229">
        <f t="shared" si="113"/>
        <v>478714.65999999922</v>
      </c>
      <c r="K116" s="229">
        <f t="shared" si="114"/>
        <v>-10386.559879999999</v>
      </c>
      <c r="L116" s="229">
        <f t="shared" si="128"/>
        <v>0</v>
      </c>
      <c r="M116" s="229">
        <f t="shared" si="128"/>
        <v>448335.44</v>
      </c>
      <c r="N116" s="229">
        <f t="shared" si="128"/>
        <v>1483413.81</v>
      </c>
      <c r="O116" s="229">
        <f t="shared" si="128"/>
        <v>1570113.69</v>
      </c>
      <c r="P116" s="229">
        <f t="shared" si="128"/>
        <v>1760697.56</v>
      </c>
      <c r="Q116" s="229">
        <f t="shared" si="128"/>
        <v>2734974.13</v>
      </c>
      <c r="R116" s="229">
        <f t="shared" si="128"/>
        <v>2734974.13</v>
      </c>
      <c r="S116" s="229">
        <f t="shared" si="128"/>
        <v>3059756.82</v>
      </c>
      <c r="T116" s="229">
        <f t="shared" si="128"/>
        <v>4104299.01</v>
      </c>
      <c r="U116" s="229">
        <f t="shared" si="128"/>
        <v>4220618.3599999994</v>
      </c>
      <c r="V116" s="229">
        <f t="shared" si="128"/>
        <v>4412148.959999999</v>
      </c>
      <c r="W116" s="229">
        <f t="shared" si="128"/>
        <v>5621536.2699999996</v>
      </c>
      <c r="X116" s="229">
        <f t="shared" si="128"/>
        <v>16915.354859999999</v>
      </c>
      <c r="Y116" s="229">
        <f t="shared" si="128"/>
        <v>7541082.8799999999</v>
      </c>
      <c r="Z116" s="229">
        <f t="shared" si="128"/>
        <v>22623.248640000002</v>
      </c>
      <c r="AA116" s="229">
        <f t="shared" si="102"/>
        <v>1919546.6100000003</v>
      </c>
      <c r="AB116" s="229">
        <f t="shared" si="103"/>
        <v>5707.8937800000022</v>
      </c>
      <c r="AC116" s="168">
        <f t="shared" si="128"/>
        <v>2083521.74</v>
      </c>
      <c r="AD116" s="168">
        <f t="shared" si="128"/>
        <v>3671101.08</v>
      </c>
      <c r="AE116" s="168">
        <f t="shared" si="128"/>
        <v>5177826.88</v>
      </c>
      <c r="AF116" s="168">
        <f t="shared" si="128"/>
        <v>9991455.9099999983</v>
      </c>
      <c r="AG116" s="168">
        <f t="shared" si="128"/>
        <v>30064.561409999998</v>
      </c>
      <c r="AH116" s="126">
        <f t="shared" si="128"/>
        <v>8753692.7400000002</v>
      </c>
      <c r="AI116" s="126">
        <f t="shared" si="128"/>
        <v>26457.925230000001</v>
      </c>
      <c r="AJ116" s="127">
        <f t="shared" si="105"/>
        <v>-1237763.1699999981</v>
      </c>
      <c r="AK116" s="127">
        <f t="shared" si="106"/>
        <v>-3606.6361799999977</v>
      </c>
      <c r="AL116" s="125">
        <f t="shared" si="115"/>
        <v>21603206.799999997</v>
      </c>
      <c r="AM116" s="125">
        <f t="shared" si="116"/>
        <v>53127.856270000004</v>
      </c>
      <c r="AN116"/>
      <c r="AO116" s="17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</row>
    <row r="117" spans="1:154" s="19" customFormat="1" ht="48.75" customHeight="1">
      <c r="A117" s="190" t="s">
        <v>222</v>
      </c>
      <c r="B117" s="190" t="s">
        <v>223</v>
      </c>
      <c r="C117" s="183">
        <v>40488570.066179998</v>
      </c>
      <c r="D117" s="183">
        <v>40488570.066179998</v>
      </c>
      <c r="E117" s="98">
        <v>18429341.379999999</v>
      </c>
      <c r="F117" s="191">
        <v>5511499.96</v>
      </c>
      <c r="G117" s="191">
        <v>16534.499879999999</v>
      </c>
      <c r="H117" s="270">
        <f>1596333.89+4400028.67-6147.94</f>
        <v>5990214.6199999992</v>
      </c>
      <c r="I117" s="270">
        <f>1358.94+4789</f>
        <v>6147.9400000000005</v>
      </c>
      <c r="J117" s="98">
        <f t="shared" si="113"/>
        <v>478714.65999999922</v>
      </c>
      <c r="K117" s="98">
        <f t="shared" si="114"/>
        <v>-10386.559879999999</v>
      </c>
      <c r="L117" s="97">
        <v>0</v>
      </c>
      <c r="M117" s="99">
        <v>448335.44</v>
      </c>
      <c r="N117" s="99">
        <v>1483413.81</v>
      </c>
      <c r="O117" s="99">
        <v>1570113.69</v>
      </c>
      <c r="P117" s="238">
        <v>1760697.56</v>
      </c>
      <c r="Q117" s="99">
        <v>2734974.13</v>
      </c>
      <c r="R117" s="99">
        <v>2734974.13</v>
      </c>
      <c r="S117" s="99">
        <v>3059756.82</v>
      </c>
      <c r="T117" s="99">
        <v>4104299.01</v>
      </c>
      <c r="U117" s="99">
        <v>4220618.3599999994</v>
      </c>
      <c r="V117" s="99">
        <v>4412148.959999999</v>
      </c>
      <c r="W117" s="99">
        <v>5621536.2699999996</v>
      </c>
      <c r="X117" s="99">
        <v>16915.354859999999</v>
      </c>
      <c r="Y117" s="192">
        <v>7541082.8799999999</v>
      </c>
      <c r="Z117" s="192">
        <v>22623.248640000002</v>
      </c>
      <c r="AA117" s="99">
        <f t="shared" si="102"/>
        <v>1919546.6100000003</v>
      </c>
      <c r="AB117" s="99">
        <f t="shared" si="103"/>
        <v>5707.8937800000022</v>
      </c>
      <c r="AC117" s="98">
        <v>2083521.74</v>
      </c>
      <c r="AD117" s="98">
        <v>3671101.08</v>
      </c>
      <c r="AE117" s="98">
        <v>5177826.88</v>
      </c>
      <c r="AF117" s="98">
        <v>9991455.9099999983</v>
      </c>
      <c r="AG117" s="98">
        <v>30064.561409999998</v>
      </c>
      <c r="AH117" s="91">
        <v>8753692.7400000002</v>
      </c>
      <c r="AI117" s="91">
        <v>26457.925230000001</v>
      </c>
      <c r="AJ117" s="92">
        <f t="shared" si="105"/>
        <v>-1237763.1699999981</v>
      </c>
      <c r="AK117" s="92">
        <f t="shared" si="106"/>
        <v>-3606.6361799999977</v>
      </c>
      <c r="AL117" s="90">
        <f t="shared" si="115"/>
        <v>21603206.799999997</v>
      </c>
      <c r="AM117" s="90">
        <f t="shared" si="116"/>
        <v>53127.856270000004</v>
      </c>
      <c r="AN117"/>
      <c r="AO117" s="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</row>
    <row r="118" spans="1:154" s="20" customFormat="1" ht="39">
      <c r="A118" s="178"/>
      <c r="B118" s="194" t="s">
        <v>224</v>
      </c>
      <c r="C118" s="181">
        <f t="shared" ref="C118:W118" si="129">C119+C124</f>
        <v>355536473.05330002</v>
      </c>
      <c r="D118" s="181">
        <f t="shared" si="129"/>
        <v>363619690.80651999</v>
      </c>
      <c r="E118" s="181">
        <f t="shared" si="129"/>
        <v>167344128.54000002</v>
      </c>
      <c r="F118" s="181">
        <v>37165759.864</v>
      </c>
      <c r="G118" s="181">
        <v>261140.23</v>
      </c>
      <c r="H118" s="181">
        <f t="shared" ref="H118:I118" si="130">H119+H124</f>
        <v>31682962</v>
      </c>
      <c r="I118" s="181">
        <f t="shared" si="130"/>
        <v>4141248</v>
      </c>
      <c r="J118" s="181">
        <f t="shared" si="113"/>
        <v>-5482797.8640000001</v>
      </c>
      <c r="K118" s="181">
        <f t="shared" si="114"/>
        <v>3880107.77</v>
      </c>
      <c r="L118" s="181">
        <f t="shared" si="129"/>
        <v>676059</v>
      </c>
      <c r="M118" s="181">
        <f t="shared" si="129"/>
        <v>6291747</v>
      </c>
      <c r="N118" s="181">
        <f t="shared" si="129"/>
        <v>11432564</v>
      </c>
      <c r="O118" s="181">
        <f t="shared" si="129"/>
        <v>16113033</v>
      </c>
      <c r="P118" s="181">
        <f t="shared" si="129"/>
        <v>16851351</v>
      </c>
      <c r="Q118" s="181">
        <f t="shared" si="129"/>
        <v>22068287</v>
      </c>
      <c r="R118" s="181">
        <f t="shared" si="129"/>
        <v>29778134</v>
      </c>
      <c r="S118" s="181">
        <f t="shared" si="129"/>
        <v>34794939</v>
      </c>
      <c r="T118" s="181">
        <f t="shared" si="129"/>
        <v>41398278</v>
      </c>
      <c r="U118" s="181">
        <f t="shared" si="129"/>
        <v>49009933</v>
      </c>
      <c r="V118" s="181">
        <f t="shared" si="129"/>
        <v>55964970</v>
      </c>
      <c r="W118" s="181">
        <f t="shared" si="129"/>
        <v>62681909</v>
      </c>
      <c r="X118" s="181">
        <f t="shared" ref="X118" si="131">X119+X124</f>
        <v>2382559</v>
      </c>
      <c r="Y118" s="181">
        <f>Y119+Y124</f>
        <v>75804743</v>
      </c>
      <c r="Z118" s="181">
        <f>Z119+Z124</f>
        <v>202386</v>
      </c>
      <c r="AA118" s="181">
        <f t="shared" si="102"/>
        <v>13122834</v>
      </c>
      <c r="AB118" s="181">
        <f t="shared" si="103"/>
        <v>-2180173</v>
      </c>
      <c r="AC118" s="181">
        <f t="shared" ref="AC118:AG118" si="132">AC119+AC124</f>
        <v>30628267</v>
      </c>
      <c r="AD118" s="181">
        <f t="shared" si="132"/>
        <v>39039267</v>
      </c>
      <c r="AE118" s="181">
        <f t="shared" si="132"/>
        <v>36035238</v>
      </c>
      <c r="AF118" s="181">
        <f t="shared" si="132"/>
        <v>105702772</v>
      </c>
      <c r="AG118" s="181">
        <f t="shared" si="132"/>
        <v>4968436</v>
      </c>
      <c r="AH118" s="93">
        <f>AH119+AH124</f>
        <v>110859466</v>
      </c>
      <c r="AI118" s="93">
        <f>AI119+AI124</f>
        <v>223334</v>
      </c>
      <c r="AJ118" s="94">
        <f t="shared" si="105"/>
        <v>5156694</v>
      </c>
      <c r="AK118" s="94">
        <f t="shared" si="106"/>
        <v>-4745102</v>
      </c>
      <c r="AL118" s="79">
        <f t="shared" si="115"/>
        <v>200067643</v>
      </c>
      <c r="AM118" s="79">
        <f t="shared" si="116"/>
        <v>11492243</v>
      </c>
      <c r="AN118"/>
      <c r="AO118" s="17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</row>
    <row r="119" spans="1:154" s="24" customFormat="1" ht="39">
      <c r="A119" s="227"/>
      <c r="B119" s="239" t="s">
        <v>225</v>
      </c>
      <c r="C119" s="168">
        <f t="shared" ref="C119:W119" si="133">SUM(C120:C123)</f>
        <v>167317954</v>
      </c>
      <c r="D119" s="168">
        <f t="shared" si="133"/>
        <v>153973230.197164</v>
      </c>
      <c r="E119" s="168">
        <f t="shared" si="133"/>
        <v>58152608.560000002</v>
      </c>
      <c r="F119" s="168">
        <v>24914777.864</v>
      </c>
      <c r="G119" s="168">
        <v>113567</v>
      </c>
      <c r="H119" s="168">
        <f t="shared" ref="H119:I119" si="134">SUM(H120:H123)</f>
        <v>20092311</v>
      </c>
      <c r="I119" s="168">
        <f t="shared" si="134"/>
        <v>3645704</v>
      </c>
      <c r="J119" s="168">
        <f t="shared" si="113"/>
        <v>-4822466.8640000001</v>
      </c>
      <c r="K119" s="168">
        <f t="shared" si="114"/>
        <v>3532137</v>
      </c>
      <c r="L119" s="168">
        <f t="shared" si="133"/>
        <v>474076</v>
      </c>
      <c r="M119" s="168">
        <f t="shared" si="133"/>
        <v>5428321</v>
      </c>
      <c r="N119" s="168">
        <f t="shared" si="133"/>
        <v>10327785</v>
      </c>
      <c r="O119" s="168">
        <f t="shared" si="133"/>
        <v>14688898</v>
      </c>
      <c r="P119" s="168">
        <f t="shared" si="133"/>
        <v>15427216</v>
      </c>
      <c r="Q119" s="168">
        <f t="shared" si="133"/>
        <v>18758621</v>
      </c>
      <c r="R119" s="168">
        <f t="shared" si="133"/>
        <v>21165276</v>
      </c>
      <c r="S119" s="168">
        <f t="shared" si="133"/>
        <v>22628239</v>
      </c>
      <c r="T119" s="168">
        <f t="shared" si="133"/>
        <v>26152482</v>
      </c>
      <c r="U119" s="168">
        <f t="shared" si="133"/>
        <v>29075649</v>
      </c>
      <c r="V119" s="168">
        <f t="shared" si="133"/>
        <v>32133235</v>
      </c>
      <c r="W119" s="168">
        <f t="shared" si="133"/>
        <v>35190820</v>
      </c>
      <c r="X119" s="168">
        <f t="shared" ref="X119" si="135">SUM(X120:X123)</f>
        <v>2110988</v>
      </c>
      <c r="Y119" s="168">
        <f>SUM(Y120:Y123)</f>
        <v>38295509</v>
      </c>
      <c r="Z119" s="168">
        <f>SUM(Z120:Z123)</f>
        <v>130244</v>
      </c>
      <c r="AA119" s="168">
        <f t="shared" si="102"/>
        <v>3104689</v>
      </c>
      <c r="AB119" s="168">
        <f t="shared" si="103"/>
        <v>-1980744</v>
      </c>
      <c r="AC119" s="168">
        <f t="shared" ref="AC119:AG119" si="136">SUM(AC120:AC123)</f>
        <v>8372967</v>
      </c>
      <c r="AD119" s="168">
        <f t="shared" si="136"/>
        <v>12636213</v>
      </c>
      <c r="AE119" s="168">
        <f t="shared" si="136"/>
        <v>9290400</v>
      </c>
      <c r="AF119" s="168">
        <f t="shared" si="136"/>
        <v>30299580</v>
      </c>
      <c r="AG119" s="168">
        <f t="shared" si="136"/>
        <v>4164338</v>
      </c>
      <c r="AH119" s="65">
        <f>SUM(AH120:AH123)</f>
        <v>46879756</v>
      </c>
      <c r="AI119" s="65">
        <f>SUM(AI120:AI123)</f>
        <v>130511</v>
      </c>
      <c r="AJ119" s="132">
        <f t="shared" si="105"/>
        <v>16580176</v>
      </c>
      <c r="AK119" s="132">
        <f t="shared" si="106"/>
        <v>-4033827</v>
      </c>
      <c r="AL119" s="128">
        <f t="shared" si="115"/>
        <v>85582711</v>
      </c>
      <c r="AM119" s="128">
        <f t="shared" si="116"/>
        <v>9921030</v>
      </c>
      <c r="AN119"/>
      <c r="AO119" s="17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</row>
    <row r="120" spans="1:154" s="26" customFormat="1" ht="48.75" customHeight="1">
      <c r="A120" s="240" t="s">
        <v>226</v>
      </c>
      <c r="B120" s="240" t="s">
        <v>227</v>
      </c>
      <c r="C120" s="97">
        <v>35843004</v>
      </c>
      <c r="D120" s="97">
        <v>52275863</v>
      </c>
      <c r="E120" s="98">
        <v>25790269.43</v>
      </c>
      <c r="F120" s="191">
        <v>3654518</v>
      </c>
      <c r="G120" s="191">
        <v>20465</v>
      </c>
      <c r="H120" s="98">
        <v>3654518</v>
      </c>
      <c r="I120" s="98">
        <v>287631</v>
      </c>
      <c r="J120" s="98">
        <f t="shared" si="113"/>
        <v>0</v>
      </c>
      <c r="K120" s="98">
        <f t="shared" si="114"/>
        <v>267166</v>
      </c>
      <c r="L120" s="97">
        <v>474076</v>
      </c>
      <c r="M120" s="98">
        <f>L120+309143</f>
        <v>783219</v>
      </c>
      <c r="N120" s="98">
        <f>M120+1393123</f>
        <v>2176342</v>
      </c>
      <c r="O120" s="98">
        <f>N120+1526403</f>
        <v>3702745</v>
      </c>
      <c r="P120" s="241">
        <f>O120</f>
        <v>3702745</v>
      </c>
      <c r="Q120" s="98">
        <f>P120</f>
        <v>3702745</v>
      </c>
      <c r="R120" s="98">
        <f>Q120+1069594</f>
        <v>4772339</v>
      </c>
      <c r="S120" s="98">
        <f>R120+1069594</f>
        <v>5841933</v>
      </c>
      <c r="T120" s="98">
        <f>S120+1069594</f>
        <v>6911527</v>
      </c>
      <c r="U120" s="98">
        <f>T120+1069594</f>
        <v>7981121</v>
      </c>
      <c r="V120" s="98">
        <f>U120+521366</f>
        <v>8502487</v>
      </c>
      <c r="W120" s="98">
        <f>V120+521365</f>
        <v>9023852</v>
      </c>
      <c r="X120" s="99">
        <v>45253</v>
      </c>
      <c r="Y120" s="191">
        <v>8283966</v>
      </c>
      <c r="Z120" s="192">
        <v>18390</v>
      </c>
      <c r="AA120" s="99">
        <f>W120-Y120</f>
        <v>739886</v>
      </c>
      <c r="AB120" s="99">
        <f t="shared" ref="AB120:AB123" si="137">X120-Z120</f>
        <v>26863</v>
      </c>
      <c r="AC120" s="98">
        <v>4451574</v>
      </c>
      <c r="AD120" s="98">
        <v>4451574</v>
      </c>
      <c r="AE120" s="98">
        <f>4384802+119617</f>
        <v>4504419</v>
      </c>
      <c r="AF120" s="98">
        <f t="shared" ref="AF120:AF122" si="138">AC120+AD120+AE120</f>
        <v>13407567</v>
      </c>
      <c r="AG120" s="98">
        <f>66773+5418</f>
        <v>72191</v>
      </c>
      <c r="AH120" s="89">
        <v>13517320</v>
      </c>
      <c r="AI120" s="91">
        <v>23017</v>
      </c>
      <c r="AJ120" s="92">
        <f t="shared" ref="AJ120:AK123" si="139">AF120-AH120</f>
        <v>-109753</v>
      </c>
      <c r="AK120" s="92">
        <f t="shared" si="139"/>
        <v>49174</v>
      </c>
      <c r="AL120" s="47">
        <f t="shared" si="115"/>
        <v>26085937</v>
      </c>
      <c r="AM120" s="47">
        <f t="shared" si="116"/>
        <v>405075</v>
      </c>
      <c r="AN120"/>
      <c r="AO120" s="17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</row>
    <row r="121" spans="1:154" s="26" customFormat="1" ht="110.25" customHeight="1">
      <c r="A121" s="240" t="s">
        <v>228</v>
      </c>
      <c r="B121" s="240" t="s">
        <v>229</v>
      </c>
      <c r="C121" s="97">
        <v>4919628</v>
      </c>
      <c r="D121" s="97">
        <v>4366560</v>
      </c>
      <c r="E121" s="98">
        <v>2920933.34</v>
      </c>
      <c r="F121" s="191">
        <v>727980</v>
      </c>
      <c r="G121" s="191">
        <v>10935</v>
      </c>
      <c r="H121" s="98">
        <v>553471</v>
      </c>
      <c r="I121" s="98">
        <f>39339</f>
        <v>39339</v>
      </c>
      <c r="J121" s="98">
        <f t="shared" si="113"/>
        <v>-174509</v>
      </c>
      <c r="K121" s="98">
        <f t="shared" si="114"/>
        <v>28404</v>
      </c>
      <c r="L121" s="97">
        <v>0</v>
      </c>
      <c r="M121" s="98">
        <v>37133</v>
      </c>
      <c r="N121" s="98">
        <f>159846+M121</f>
        <v>196979</v>
      </c>
      <c r="O121" s="98">
        <f>154277+N121</f>
        <v>351256</v>
      </c>
      <c r="P121" s="241">
        <f>O121</f>
        <v>351256</v>
      </c>
      <c r="Q121" s="98">
        <f>O121</f>
        <v>351256</v>
      </c>
      <c r="R121" s="98">
        <f t="shared" ref="R121:W121" si="140">Q121</f>
        <v>351256</v>
      </c>
      <c r="S121" s="98">
        <f t="shared" si="140"/>
        <v>351256</v>
      </c>
      <c r="T121" s="98">
        <f t="shared" si="140"/>
        <v>351256</v>
      </c>
      <c r="U121" s="98">
        <f t="shared" si="140"/>
        <v>351256</v>
      </c>
      <c r="V121" s="98">
        <f t="shared" si="140"/>
        <v>351256</v>
      </c>
      <c r="W121" s="98">
        <f t="shared" si="140"/>
        <v>351256</v>
      </c>
      <c r="X121" s="99">
        <f>4753+174509</f>
        <v>179262</v>
      </c>
      <c r="Y121" s="191">
        <v>446107</v>
      </c>
      <c r="Z121" s="192">
        <v>4753</v>
      </c>
      <c r="AA121" s="99">
        <f>W121-Y121</f>
        <v>-94851</v>
      </c>
      <c r="AB121" s="99">
        <f t="shared" si="137"/>
        <v>174509</v>
      </c>
      <c r="AC121" s="98">
        <v>0</v>
      </c>
      <c r="AD121" s="98">
        <v>0</v>
      </c>
      <c r="AE121" s="98">
        <v>0</v>
      </c>
      <c r="AF121" s="98">
        <f t="shared" si="138"/>
        <v>0</v>
      </c>
      <c r="AG121" s="98">
        <v>0</v>
      </c>
      <c r="AH121" s="89">
        <v>0</v>
      </c>
      <c r="AI121" s="91"/>
      <c r="AJ121" s="92">
        <f t="shared" si="139"/>
        <v>0</v>
      </c>
      <c r="AK121" s="92">
        <f t="shared" si="139"/>
        <v>0</v>
      </c>
      <c r="AL121" s="47">
        <f t="shared" si="115"/>
        <v>904727</v>
      </c>
      <c r="AM121" s="47">
        <f t="shared" si="116"/>
        <v>218601</v>
      </c>
      <c r="AN121"/>
      <c r="AO121" s="17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</row>
    <row r="122" spans="1:154" s="27" customFormat="1" ht="64.5" customHeight="1">
      <c r="A122" s="242" t="s">
        <v>230</v>
      </c>
      <c r="B122" s="242" t="s">
        <v>231</v>
      </c>
      <c r="C122" s="97">
        <v>98443162</v>
      </c>
      <c r="D122" s="97">
        <v>86816444</v>
      </c>
      <c r="E122" s="98">
        <v>27272330.880000003</v>
      </c>
      <c r="F122" s="191">
        <v>18433405.864</v>
      </c>
      <c r="G122" s="191">
        <v>82167</v>
      </c>
      <c r="H122" s="98">
        <v>15805127</v>
      </c>
      <c r="I122" s="98">
        <f>2771593+547141</f>
        <v>3318734</v>
      </c>
      <c r="J122" s="98">
        <f t="shared" si="113"/>
        <v>-2628278.8640000001</v>
      </c>
      <c r="K122" s="98">
        <f t="shared" si="114"/>
        <v>3236567</v>
      </c>
      <c r="L122" s="97">
        <v>0</v>
      </c>
      <c r="M122" s="98">
        <v>4607969</v>
      </c>
      <c r="N122" s="98">
        <f>M122+2978736</f>
        <v>7586705</v>
      </c>
      <c r="O122" s="98">
        <f>N122+2680433</f>
        <v>10267138</v>
      </c>
      <c r="P122" s="241">
        <f>O122+738318</f>
        <v>11005456</v>
      </c>
      <c r="Q122" s="98">
        <f>P122+1975414</f>
        <v>12980870</v>
      </c>
      <c r="R122" s="98">
        <f>Q122+1337061</f>
        <v>14317931</v>
      </c>
      <c r="S122" s="98">
        <f>R122+393369</f>
        <v>14711300</v>
      </c>
      <c r="T122" s="98">
        <f>S122+751140</f>
        <v>15462440</v>
      </c>
      <c r="U122" s="98">
        <f>T122+1853573</f>
        <v>17316013</v>
      </c>
      <c r="V122" s="98">
        <f>U122+1764214</f>
        <v>19080227</v>
      </c>
      <c r="W122" s="98">
        <f>V122+1764214</f>
        <v>20844441</v>
      </c>
      <c r="X122" s="99">
        <f>2333614+100000-547141</f>
        <v>1886473</v>
      </c>
      <c r="Y122" s="191">
        <v>24594165</v>
      </c>
      <c r="Z122" s="192">
        <v>107101</v>
      </c>
      <c r="AA122" s="99">
        <f>W122-Y122</f>
        <v>-3749724</v>
      </c>
      <c r="AB122" s="99">
        <f t="shared" si="137"/>
        <v>1779372</v>
      </c>
      <c r="AC122" s="98">
        <v>3921393</v>
      </c>
      <c r="AD122" s="98">
        <v>4889817</v>
      </c>
      <c r="AE122" s="98">
        <f>6770634-68324-1514020-402309</f>
        <v>4785981</v>
      </c>
      <c r="AF122" s="98">
        <f t="shared" si="138"/>
        <v>13597191</v>
      </c>
      <c r="AG122" s="98">
        <f>175818+3514020+402309</f>
        <v>4092147</v>
      </c>
      <c r="AH122" s="89">
        <v>32087293</v>
      </c>
      <c r="AI122" s="91">
        <v>107494</v>
      </c>
      <c r="AJ122" s="92">
        <f t="shared" si="139"/>
        <v>-18490102</v>
      </c>
      <c r="AK122" s="92">
        <f t="shared" si="139"/>
        <v>3984653</v>
      </c>
      <c r="AL122" s="47">
        <f t="shared" si="115"/>
        <v>50246759</v>
      </c>
      <c r="AM122" s="47">
        <f t="shared" si="116"/>
        <v>9297354</v>
      </c>
      <c r="AN122"/>
      <c r="AO122" s="17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</row>
    <row r="123" spans="1:154" s="26" customFormat="1" ht="132.75" customHeight="1">
      <c r="A123" s="240" t="s">
        <v>232</v>
      </c>
      <c r="B123" s="240" t="s">
        <v>233</v>
      </c>
      <c r="C123" s="97">
        <v>28112160</v>
      </c>
      <c r="D123" s="97">
        <v>10514363.197163999</v>
      </c>
      <c r="E123" s="98">
        <v>2169074.91</v>
      </c>
      <c r="F123" s="191">
        <v>2098874</v>
      </c>
      <c r="G123" s="191">
        <v>0</v>
      </c>
      <c r="H123" s="98">
        <v>79195</v>
      </c>
      <c r="I123" s="98">
        <v>0</v>
      </c>
      <c r="J123" s="98">
        <f t="shared" si="113"/>
        <v>-2019679</v>
      </c>
      <c r="K123" s="98">
        <f t="shared" si="114"/>
        <v>0</v>
      </c>
      <c r="L123" s="97">
        <v>0</v>
      </c>
      <c r="M123" s="98">
        <v>0</v>
      </c>
      <c r="N123" s="98">
        <f>1170491-802732</f>
        <v>367759</v>
      </c>
      <c r="O123" s="98">
        <f>N123</f>
        <v>367759</v>
      </c>
      <c r="P123" s="241">
        <f>O123</f>
        <v>367759</v>
      </c>
      <c r="Q123" s="98">
        <f>P123+1355991</f>
        <v>1723750</v>
      </c>
      <c r="R123" s="98">
        <f>Q123</f>
        <v>1723750</v>
      </c>
      <c r="S123" s="98">
        <f>R123</f>
        <v>1723750</v>
      </c>
      <c r="T123" s="98">
        <f>S123+1703509</f>
        <v>3427259</v>
      </c>
      <c r="U123" s="98">
        <f>T123</f>
        <v>3427259</v>
      </c>
      <c r="V123" s="98">
        <f>U123+772006</f>
        <v>4199265</v>
      </c>
      <c r="W123" s="98">
        <f>V123+772006</f>
        <v>4971271</v>
      </c>
      <c r="X123" s="99">
        <v>0</v>
      </c>
      <c r="Y123" s="191">
        <v>4971271</v>
      </c>
      <c r="Z123" s="192"/>
      <c r="AA123" s="99">
        <f>W123-Y123</f>
        <v>0</v>
      </c>
      <c r="AB123" s="99">
        <f t="shared" si="137"/>
        <v>0</v>
      </c>
      <c r="AC123" s="98">
        <v>0</v>
      </c>
      <c r="AD123" s="98">
        <f>3075047+219775</f>
        <v>3294822</v>
      </c>
      <c r="AE123" s="98">
        <v>0</v>
      </c>
      <c r="AF123" s="98">
        <f>AC123+AD123+AE123</f>
        <v>3294822</v>
      </c>
      <c r="AG123" s="98">
        <v>0</v>
      </c>
      <c r="AH123" s="89">
        <v>1275143</v>
      </c>
      <c r="AI123" s="91"/>
      <c r="AJ123" s="92">
        <f t="shared" si="139"/>
        <v>2019679</v>
      </c>
      <c r="AK123" s="92">
        <f t="shared" si="139"/>
        <v>0</v>
      </c>
      <c r="AL123" s="47">
        <f t="shared" si="115"/>
        <v>8345288</v>
      </c>
      <c r="AM123" s="47">
        <f t="shared" si="116"/>
        <v>0</v>
      </c>
      <c r="AN123"/>
      <c r="AO123" s="17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</row>
    <row r="124" spans="1:154" s="24" customFormat="1" ht="39">
      <c r="A124" s="227"/>
      <c r="B124" s="239" t="s">
        <v>234</v>
      </c>
      <c r="C124" s="168">
        <f t="shared" ref="C124:D124" si="141">SUM(C125:C133)</f>
        <v>188218519.05329999</v>
      </c>
      <c r="D124" s="168">
        <f t="shared" si="141"/>
        <v>209646460.60935599</v>
      </c>
      <c r="E124" s="168">
        <f t="shared" ref="E124:AI124" si="142">SUM(E125:E133)</f>
        <v>109191519.98</v>
      </c>
      <c r="F124" s="168">
        <v>12250982</v>
      </c>
      <c r="G124" s="168">
        <v>147573.23000000001</v>
      </c>
      <c r="H124" s="168">
        <f t="shared" si="142"/>
        <v>11590651</v>
      </c>
      <c r="I124" s="168">
        <f t="shared" si="142"/>
        <v>495544</v>
      </c>
      <c r="J124" s="168">
        <f t="shared" si="113"/>
        <v>-660331</v>
      </c>
      <c r="K124" s="168">
        <f t="shared" si="114"/>
        <v>347970.77</v>
      </c>
      <c r="L124" s="168">
        <f t="shared" si="142"/>
        <v>201983</v>
      </c>
      <c r="M124" s="168">
        <f t="shared" si="142"/>
        <v>863426</v>
      </c>
      <c r="N124" s="168">
        <f t="shared" si="142"/>
        <v>1104779</v>
      </c>
      <c r="O124" s="168">
        <f t="shared" si="142"/>
        <v>1424135</v>
      </c>
      <c r="P124" s="168">
        <f t="shared" si="142"/>
        <v>1424135</v>
      </c>
      <c r="Q124" s="168">
        <f t="shared" si="142"/>
        <v>3309666</v>
      </c>
      <c r="R124" s="168">
        <f t="shared" si="142"/>
        <v>8612858</v>
      </c>
      <c r="S124" s="168">
        <f t="shared" si="142"/>
        <v>12166700</v>
      </c>
      <c r="T124" s="168">
        <f t="shared" si="142"/>
        <v>15245796</v>
      </c>
      <c r="U124" s="168">
        <f t="shared" si="142"/>
        <v>19934284</v>
      </c>
      <c r="V124" s="168">
        <f t="shared" si="142"/>
        <v>23831735</v>
      </c>
      <c r="W124" s="168">
        <f t="shared" si="142"/>
        <v>27491089</v>
      </c>
      <c r="X124" s="168">
        <f t="shared" ref="X124" si="143">SUM(X125:X133)</f>
        <v>271571</v>
      </c>
      <c r="Y124" s="168">
        <f t="shared" si="142"/>
        <v>37509234</v>
      </c>
      <c r="Z124" s="168">
        <f t="shared" si="142"/>
        <v>72142</v>
      </c>
      <c r="AA124" s="168">
        <f>Y124-W124</f>
        <v>10018145</v>
      </c>
      <c r="AB124" s="168">
        <f>Z124-X124</f>
        <v>-199429</v>
      </c>
      <c r="AC124" s="168">
        <f t="shared" ref="AC124:AG124" si="144">SUM(AC125:AC133)</f>
        <v>22255300</v>
      </c>
      <c r="AD124" s="168">
        <f t="shared" si="144"/>
        <v>26403054</v>
      </c>
      <c r="AE124" s="168">
        <f t="shared" si="144"/>
        <v>26744838</v>
      </c>
      <c r="AF124" s="168">
        <f t="shared" si="144"/>
        <v>75403192</v>
      </c>
      <c r="AG124" s="168">
        <f t="shared" si="144"/>
        <v>804098</v>
      </c>
      <c r="AH124" s="65">
        <f t="shared" si="142"/>
        <v>63979710</v>
      </c>
      <c r="AI124" s="65">
        <f t="shared" si="142"/>
        <v>92823</v>
      </c>
      <c r="AJ124" s="132">
        <f>AH124-AF124</f>
        <v>-11423482</v>
      </c>
      <c r="AK124" s="132">
        <f>AI124-AG124</f>
        <v>-711275</v>
      </c>
      <c r="AL124" s="128">
        <f t="shared" si="115"/>
        <v>114484932</v>
      </c>
      <c r="AM124" s="128">
        <f t="shared" si="116"/>
        <v>1571213</v>
      </c>
      <c r="AN124"/>
      <c r="AO124" s="17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</row>
    <row r="125" spans="1:154" s="19" customFormat="1" ht="146.25" customHeight="1">
      <c r="A125" s="190" t="s">
        <v>235</v>
      </c>
      <c r="B125" s="190" t="s">
        <v>236</v>
      </c>
      <c r="C125" s="183">
        <v>59860278.602412</v>
      </c>
      <c r="D125" s="183">
        <v>81288220.158467993</v>
      </c>
      <c r="E125" s="98">
        <v>14481446.07</v>
      </c>
      <c r="F125" s="191">
        <v>3835858</v>
      </c>
      <c r="G125" s="191">
        <v>115143</v>
      </c>
      <c r="H125" s="98">
        <v>3835858</v>
      </c>
      <c r="I125" s="98">
        <v>132923</v>
      </c>
      <c r="J125" s="98">
        <f t="shared" si="113"/>
        <v>0</v>
      </c>
      <c r="K125" s="98">
        <f t="shared" si="114"/>
        <v>17780</v>
      </c>
      <c r="L125" s="97">
        <v>201983</v>
      </c>
      <c r="M125" s="98">
        <f>L125+529826</f>
        <v>731809</v>
      </c>
      <c r="N125" s="98">
        <f>M125</f>
        <v>731809</v>
      </c>
      <c r="O125" s="98">
        <f>N125</f>
        <v>731809</v>
      </c>
      <c r="P125" s="241">
        <f>O125</f>
        <v>731809</v>
      </c>
      <c r="Q125" s="98">
        <f>P125</f>
        <v>731809</v>
      </c>
      <c r="R125" s="98">
        <f>Q125+5128979</f>
        <v>5860788</v>
      </c>
      <c r="S125" s="98">
        <f>R125+3553842</f>
        <v>9414630</v>
      </c>
      <c r="T125" s="98">
        <f>S125+3079096</f>
        <v>12493726</v>
      </c>
      <c r="U125" s="98">
        <f>T125+3920639</f>
        <v>16414365</v>
      </c>
      <c r="V125" s="98">
        <f>U125+1858645</f>
        <v>18273010</v>
      </c>
      <c r="W125" s="98">
        <f>V125+1858644</f>
        <v>20131654</v>
      </c>
      <c r="X125" s="99">
        <v>203350</v>
      </c>
      <c r="Y125" s="191">
        <v>19939690</v>
      </c>
      <c r="Z125" s="192">
        <v>26411</v>
      </c>
      <c r="AA125" s="99">
        <f t="shared" ref="AA125:AA133" si="145">W125-Y125</f>
        <v>191964</v>
      </c>
      <c r="AB125" s="99">
        <f t="shared" ref="AB125:AB133" si="146">X125-Z125</f>
        <v>176939</v>
      </c>
      <c r="AC125" s="98">
        <f>10201539+9401655</f>
        <v>19603194</v>
      </c>
      <c r="AD125" s="98">
        <f>10201540+9401656</f>
        <v>19603196</v>
      </c>
      <c r="AE125" s="98">
        <f>10201540+9401656-588096</f>
        <v>19015100</v>
      </c>
      <c r="AF125" s="98">
        <f>AC125+AD125+AE125</f>
        <v>58221490</v>
      </c>
      <c r="AG125" s="98">
        <v>588096</v>
      </c>
      <c r="AH125" s="89">
        <v>58956578</v>
      </c>
      <c r="AI125" s="91">
        <v>76511</v>
      </c>
      <c r="AJ125" s="92">
        <f t="shared" ref="AJ125:AJ133" si="147">AF125-AH125</f>
        <v>-735088</v>
      </c>
      <c r="AK125" s="92">
        <f t="shared" ref="AK125:AK133" si="148">AG125-AI125</f>
        <v>511585</v>
      </c>
      <c r="AL125" s="47">
        <f t="shared" si="115"/>
        <v>82189002</v>
      </c>
      <c r="AM125" s="47">
        <f t="shared" si="116"/>
        <v>924369</v>
      </c>
      <c r="AN125"/>
      <c r="AO125" s="17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</row>
    <row r="126" spans="1:154" s="19" customFormat="1" ht="75" outlineLevel="1">
      <c r="A126" s="190" t="s">
        <v>237</v>
      </c>
      <c r="B126" s="190" t="s">
        <v>238</v>
      </c>
      <c r="C126" s="183">
        <v>1968030.41502</v>
      </c>
      <c r="D126" s="183">
        <v>1968030.41502</v>
      </c>
      <c r="E126" s="98">
        <v>1741862.77</v>
      </c>
      <c r="F126" s="191">
        <v>0</v>
      </c>
      <c r="G126" s="191"/>
      <c r="H126" s="98">
        <v>16413</v>
      </c>
      <c r="I126" s="98"/>
      <c r="J126" s="98">
        <f t="shared" ref="J126:J147" si="149">H126-F126</f>
        <v>16413</v>
      </c>
      <c r="K126" s="98">
        <f t="shared" ref="K126:K147" si="150">I126-G126</f>
        <v>0</v>
      </c>
      <c r="L126" s="97">
        <v>0</v>
      </c>
      <c r="M126" s="98">
        <v>0</v>
      </c>
      <c r="N126" s="98">
        <v>0</v>
      </c>
      <c r="O126" s="98">
        <v>0</v>
      </c>
      <c r="P126" s="241">
        <v>0</v>
      </c>
      <c r="Q126" s="98">
        <v>0</v>
      </c>
      <c r="R126" s="98">
        <v>0</v>
      </c>
      <c r="S126" s="98">
        <v>0</v>
      </c>
      <c r="T126" s="98">
        <v>0</v>
      </c>
      <c r="U126" s="98">
        <v>0</v>
      </c>
      <c r="V126" s="98">
        <v>0</v>
      </c>
      <c r="W126" s="98">
        <v>0</v>
      </c>
      <c r="X126" s="99">
        <v>0</v>
      </c>
      <c r="Y126" s="191">
        <v>0</v>
      </c>
      <c r="Z126" s="192"/>
      <c r="AA126" s="99">
        <f t="shared" si="145"/>
        <v>0</v>
      </c>
      <c r="AB126" s="99">
        <f t="shared" si="146"/>
        <v>0</v>
      </c>
      <c r="AC126" s="98">
        <v>0</v>
      </c>
      <c r="AD126" s="98">
        <v>0</v>
      </c>
      <c r="AE126" s="98">
        <v>0</v>
      </c>
      <c r="AF126" s="98">
        <v>0</v>
      </c>
      <c r="AG126" s="98">
        <v>0</v>
      </c>
      <c r="AH126" s="89">
        <v>0</v>
      </c>
      <c r="AI126" s="91"/>
      <c r="AJ126" s="92">
        <f t="shared" si="147"/>
        <v>0</v>
      </c>
      <c r="AK126" s="92">
        <f t="shared" si="148"/>
        <v>0</v>
      </c>
      <c r="AL126" s="47">
        <f t="shared" ref="AL126:AL147" si="151">H126+W126+AF126</f>
        <v>16413</v>
      </c>
      <c r="AM126" s="47">
        <f t="shared" ref="AM126:AM147" si="152">I126+X126+AG126</f>
        <v>0</v>
      </c>
      <c r="AN126"/>
      <c r="AO126" s="17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</row>
    <row r="127" spans="1:154" s="19" customFormat="1" ht="226.5" customHeight="1">
      <c r="A127" s="190" t="s">
        <v>239</v>
      </c>
      <c r="B127" s="190" t="s">
        <v>240</v>
      </c>
      <c r="C127" s="183">
        <v>85374366.188316002</v>
      </c>
      <c r="D127" s="183">
        <v>85374366.188316002</v>
      </c>
      <c r="E127" s="98">
        <v>55238268.07</v>
      </c>
      <c r="F127" s="191">
        <v>7201147</v>
      </c>
      <c r="G127" s="191">
        <v>18722</v>
      </c>
      <c r="H127" s="98">
        <v>6705734</v>
      </c>
      <c r="I127" s="98">
        <v>94628</v>
      </c>
      <c r="J127" s="98">
        <f t="shared" si="149"/>
        <v>-495413</v>
      </c>
      <c r="K127" s="98">
        <f t="shared" si="150"/>
        <v>75906</v>
      </c>
      <c r="L127" s="97">
        <v>0</v>
      </c>
      <c r="M127" s="98">
        <v>131617</v>
      </c>
      <c r="N127" s="98">
        <f>M127+241353</f>
        <v>372970</v>
      </c>
      <c r="O127" s="98">
        <f>N127+20211</f>
        <v>393181</v>
      </c>
      <c r="P127" s="241">
        <f>O127</f>
        <v>393181</v>
      </c>
      <c r="Q127" s="98">
        <f>P127+1885531</f>
        <v>2278712</v>
      </c>
      <c r="R127" s="98">
        <f>Q127+174213</f>
        <v>2452925</v>
      </c>
      <c r="S127" s="98">
        <f>R127</f>
        <v>2452925</v>
      </c>
      <c r="T127" s="98">
        <f>S127</f>
        <v>2452925</v>
      </c>
      <c r="U127" s="98">
        <f>T127+767849</f>
        <v>3220774</v>
      </c>
      <c r="V127" s="98">
        <f>U127+1800710</f>
        <v>5021484</v>
      </c>
      <c r="W127" s="98">
        <f>V127+1800710</f>
        <v>6822194</v>
      </c>
      <c r="X127" s="99">
        <v>68221</v>
      </c>
      <c r="Y127" s="191">
        <v>17569544</v>
      </c>
      <c r="Z127" s="192">
        <v>45731</v>
      </c>
      <c r="AA127" s="99">
        <f t="shared" si="145"/>
        <v>-10747350</v>
      </c>
      <c r="AB127" s="99">
        <f t="shared" si="146"/>
        <v>22490</v>
      </c>
      <c r="AC127" s="98">
        <v>2652106</v>
      </c>
      <c r="AD127" s="98">
        <v>6323667</v>
      </c>
      <c r="AE127" s="98">
        <v>7253546</v>
      </c>
      <c r="AF127" s="98">
        <f>AC127+AD127+AE127</f>
        <v>16229319</v>
      </c>
      <c r="AG127" s="98">
        <v>216002</v>
      </c>
      <c r="AH127" s="89">
        <v>5023132</v>
      </c>
      <c r="AI127" s="91">
        <v>16312</v>
      </c>
      <c r="AJ127" s="92">
        <f t="shared" si="147"/>
        <v>11206187</v>
      </c>
      <c r="AK127" s="92">
        <f t="shared" si="148"/>
        <v>199690</v>
      </c>
      <c r="AL127" s="47">
        <f t="shared" si="151"/>
        <v>29757247</v>
      </c>
      <c r="AM127" s="47">
        <f t="shared" si="152"/>
        <v>378851</v>
      </c>
      <c r="AN127"/>
      <c r="AO127" s="1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</row>
    <row r="128" spans="1:154" s="19" customFormat="1" ht="56.25" outlineLevel="1">
      <c r="A128" s="190" t="s">
        <v>241</v>
      </c>
      <c r="B128" s="190" t="s">
        <v>242</v>
      </c>
      <c r="C128" s="183">
        <v>0</v>
      </c>
      <c r="D128" s="183">
        <v>0</v>
      </c>
      <c r="E128" s="98">
        <v>0</v>
      </c>
      <c r="F128" s="191">
        <v>0</v>
      </c>
      <c r="G128" s="191"/>
      <c r="H128" s="98"/>
      <c r="I128" s="98"/>
      <c r="J128" s="98">
        <f t="shared" si="149"/>
        <v>0</v>
      </c>
      <c r="K128" s="98">
        <f t="shared" si="150"/>
        <v>0</v>
      </c>
      <c r="L128" s="97">
        <v>0</v>
      </c>
      <c r="M128" s="98">
        <v>0</v>
      </c>
      <c r="N128" s="98">
        <v>0</v>
      </c>
      <c r="O128" s="98">
        <v>0</v>
      </c>
      <c r="P128" s="241">
        <v>0</v>
      </c>
      <c r="Q128" s="98">
        <v>0</v>
      </c>
      <c r="R128" s="98">
        <v>0</v>
      </c>
      <c r="S128" s="98">
        <v>0</v>
      </c>
      <c r="T128" s="98">
        <v>0</v>
      </c>
      <c r="U128" s="98">
        <v>0</v>
      </c>
      <c r="V128" s="98">
        <v>0</v>
      </c>
      <c r="W128" s="98">
        <v>0</v>
      </c>
      <c r="X128" s="99">
        <v>0</v>
      </c>
      <c r="Y128" s="191">
        <v>0</v>
      </c>
      <c r="Z128" s="192"/>
      <c r="AA128" s="99">
        <f t="shared" si="145"/>
        <v>0</v>
      </c>
      <c r="AB128" s="99">
        <f t="shared" si="146"/>
        <v>0</v>
      </c>
      <c r="AC128" s="98">
        <v>0</v>
      </c>
      <c r="AD128" s="98">
        <v>0</v>
      </c>
      <c r="AE128" s="98">
        <v>0</v>
      </c>
      <c r="AF128" s="98">
        <v>0</v>
      </c>
      <c r="AG128" s="98">
        <v>0</v>
      </c>
      <c r="AH128" s="89">
        <v>0</v>
      </c>
      <c r="AI128" s="91"/>
      <c r="AJ128" s="92">
        <f t="shared" si="147"/>
        <v>0</v>
      </c>
      <c r="AK128" s="92">
        <f t="shared" si="148"/>
        <v>0</v>
      </c>
      <c r="AL128" s="47">
        <f t="shared" si="151"/>
        <v>0</v>
      </c>
      <c r="AM128" s="47">
        <f t="shared" si="152"/>
        <v>0</v>
      </c>
      <c r="AN128"/>
      <c r="AO128" s="17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</row>
    <row r="129" spans="1:154" s="19" customFormat="1" ht="56.25">
      <c r="A129" s="190" t="s">
        <v>243</v>
      </c>
      <c r="B129" s="190" t="s">
        <v>244</v>
      </c>
      <c r="C129" s="183">
        <v>18173071.394604001</v>
      </c>
      <c r="D129" s="183">
        <v>18173071.394604001</v>
      </c>
      <c r="E129" s="98">
        <v>17416782.879999999</v>
      </c>
      <c r="F129" s="191">
        <v>347215</v>
      </c>
      <c r="G129" s="191"/>
      <c r="H129" s="98">
        <v>44780</v>
      </c>
      <c r="I129" s="98">
        <v>26282</v>
      </c>
      <c r="J129" s="98">
        <f t="shared" si="149"/>
        <v>-302435</v>
      </c>
      <c r="K129" s="98">
        <f t="shared" si="150"/>
        <v>26282</v>
      </c>
      <c r="L129" s="97">
        <v>0</v>
      </c>
      <c r="M129" s="98">
        <v>0</v>
      </c>
      <c r="N129" s="98">
        <v>0</v>
      </c>
      <c r="O129" s="98">
        <v>299145</v>
      </c>
      <c r="P129" s="241">
        <f t="shared" ref="P129:V129" si="153">O129</f>
        <v>299145</v>
      </c>
      <c r="Q129" s="98">
        <f t="shared" si="153"/>
        <v>299145</v>
      </c>
      <c r="R129" s="98">
        <f t="shared" si="153"/>
        <v>299145</v>
      </c>
      <c r="S129" s="98">
        <f t="shared" si="153"/>
        <v>299145</v>
      </c>
      <c r="T129" s="98">
        <f t="shared" si="153"/>
        <v>299145</v>
      </c>
      <c r="U129" s="98">
        <f t="shared" si="153"/>
        <v>299145</v>
      </c>
      <c r="V129" s="98">
        <f t="shared" si="153"/>
        <v>299145</v>
      </c>
      <c r="W129" s="98">
        <v>299145</v>
      </c>
      <c r="X129" s="99">
        <v>0</v>
      </c>
      <c r="Y129" s="191">
        <v>0</v>
      </c>
      <c r="Z129" s="192"/>
      <c r="AA129" s="99">
        <f t="shared" si="145"/>
        <v>299145</v>
      </c>
      <c r="AB129" s="99">
        <f t="shared" si="146"/>
        <v>0</v>
      </c>
      <c r="AC129" s="98">
        <v>0</v>
      </c>
      <c r="AD129" s="98">
        <v>0</v>
      </c>
      <c r="AE129" s="98">
        <v>0</v>
      </c>
      <c r="AF129" s="98">
        <v>0</v>
      </c>
      <c r="AG129" s="98">
        <v>0</v>
      </c>
      <c r="AH129" s="89">
        <v>0</v>
      </c>
      <c r="AI129" s="91"/>
      <c r="AJ129" s="92">
        <f t="shared" si="147"/>
        <v>0</v>
      </c>
      <c r="AK129" s="92">
        <f t="shared" si="148"/>
        <v>0</v>
      </c>
      <c r="AL129" s="47">
        <f t="shared" si="151"/>
        <v>343925</v>
      </c>
      <c r="AM129" s="47">
        <f t="shared" si="152"/>
        <v>26282</v>
      </c>
      <c r="AN129"/>
      <c r="AO129" s="17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</row>
    <row r="130" spans="1:154" s="19" customFormat="1" ht="37.5">
      <c r="A130" s="190" t="s">
        <v>245</v>
      </c>
      <c r="B130" s="190" t="s">
        <v>246</v>
      </c>
      <c r="C130" s="183">
        <v>2226541.4047320001</v>
      </c>
      <c r="D130" s="183">
        <v>2226541.4047320001</v>
      </c>
      <c r="E130" s="98">
        <v>1998309.12</v>
      </c>
      <c r="F130" s="191">
        <v>170392</v>
      </c>
      <c r="G130" s="191">
        <v>1184.23</v>
      </c>
      <c r="H130" s="98">
        <v>204776</v>
      </c>
      <c r="I130" s="98">
        <v>23456</v>
      </c>
      <c r="J130" s="98">
        <f t="shared" si="149"/>
        <v>34384</v>
      </c>
      <c r="K130" s="98">
        <f t="shared" si="150"/>
        <v>22271.77</v>
      </c>
      <c r="L130" s="97">
        <v>0</v>
      </c>
      <c r="M130" s="98">
        <v>0</v>
      </c>
      <c r="N130" s="98">
        <v>0</v>
      </c>
      <c r="O130" s="98">
        <v>0</v>
      </c>
      <c r="P130" s="241">
        <v>0</v>
      </c>
      <c r="Q130" s="98">
        <v>0</v>
      </c>
      <c r="R130" s="98">
        <v>0</v>
      </c>
      <c r="S130" s="98">
        <v>0</v>
      </c>
      <c r="T130" s="98">
        <v>0</v>
      </c>
      <c r="U130" s="98">
        <v>0</v>
      </c>
      <c r="V130" s="98">
        <v>0</v>
      </c>
      <c r="W130" s="98">
        <v>0</v>
      </c>
      <c r="X130" s="99">
        <v>0</v>
      </c>
      <c r="Y130" s="191">
        <v>0</v>
      </c>
      <c r="Z130" s="192"/>
      <c r="AA130" s="99">
        <f t="shared" si="145"/>
        <v>0</v>
      </c>
      <c r="AB130" s="99">
        <f t="shared" si="146"/>
        <v>0</v>
      </c>
      <c r="AC130" s="98">
        <v>0</v>
      </c>
      <c r="AD130" s="98">
        <v>0</v>
      </c>
      <c r="AE130" s="98">
        <v>0</v>
      </c>
      <c r="AF130" s="98">
        <v>0</v>
      </c>
      <c r="AG130" s="98">
        <v>0</v>
      </c>
      <c r="AH130" s="89">
        <v>0</v>
      </c>
      <c r="AI130" s="91"/>
      <c r="AJ130" s="92">
        <f t="shared" si="147"/>
        <v>0</v>
      </c>
      <c r="AK130" s="92">
        <f t="shared" si="148"/>
        <v>0</v>
      </c>
      <c r="AL130" s="47">
        <f t="shared" si="151"/>
        <v>204776</v>
      </c>
      <c r="AM130" s="47">
        <f t="shared" si="152"/>
        <v>23456</v>
      </c>
      <c r="AN130"/>
      <c r="AO130" s="17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</row>
    <row r="131" spans="1:154" s="19" customFormat="1" ht="56.25">
      <c r="A131" s="243" t="s">
        <v>247</v>
      </c>
      <c r="B131" s="190" t="s">
        <v>248</v>
      </c>
      <c r="C131" s="183">
        <v>5716032.1395239998</v>
      </c>
      <c r="D131" s="183">
        <v>5716032.1395239998</v>
      </c>
      <c r="E131" s="98">
        <v>5302387.0299999993</v>
      </c>
      <c r="F131" s="191">
        <v>187010</v>
      </c>
      <c r="G131" s="191">
        <v>12524</v>
      </c>
      <c r="H131" s="98">
        <v>177165</v>
      </c>
      <c r="I131" s="98">
        <v>22367</v>
      </c>
      <c r="J131" s="98">
        <f t="shared" si="149"/>
        <v>-9845</v>
      </c>
      <c r="K131" s="98">
        <f t="shared" si="150"/>
        <v>9843</v>
      </c>
      <c r="L131" s="97">
        <v>0</v>
      </c>
      <c r="M131" s="98">
        <v>0</v>
      </c>
      <c r="N131" s="98">
        <v>0</v>
      </c>
      <c r="O131" s="98">
        <v>0</v>
      </c>
      <c r="P131" s="241">
        <v>0</v>
      </c>
      <c r="Q131" s="98">
        <v>0</v>
      </c>
      <c r="R131" s="98">
        <v>0</v>
      </c>
      <c r="S131" s="98">
        <v>0</v>
      </c>
      <c r="T131" s="98">
        <v>0</v>
      </c>
      <c r="U131" s="98">
        <v>0</v>
      </c>
      <c r="V131" s="98">
        <v>0</v>
      </c>
      <c r="W131" s="98">
        <v>0</v>
      </c>
      <c r="X131" s="99">
        <v>0</v>
      </c>
      <c r="Y131" s="191">
        <v>0</v>
      </c>
      <c r="Z131" s="192"/>
      <c r="AA131" s="99">
        <f t="shared" si="145"/>
        <v>0</v>
      </c>
      <c r="AB131" s="99">
        <f t="shared" si="146"/>
        <v>0</v>
      </c>
      <c r="AC131" s="98">
        <v>0</v>
      </c>
      <c r="AD131" s="98">
        <v>0</v>
      </c>
      <c r="AE131" s="98">
        <v>0</v>
      </c>
      <c r="AF131" s="98">
        <v>0</v>
      </c>
      <c r="AG131" s="98">
        <v>0</v>
      </c>
      <c r="AH131" s="89">
        <v>0</v>
      </c>
      <c r="AI131" s="91"/>
      <c r="AJ131" s="92">
        <f t="shared" si="147"/>
        <v>0</v>
      </c>
      <c r="AK131" s="92">
        <f t="shared" si="148"/>
        <v>0</v>
      </c>
      <c r="AL131" s="47">
        <f t="shared" si="151"/>
        <v>177165</v>
      </c>
      <c r="AM131" s="47">
        <f t="shared" si="152"/>
        <v>22367</v>
      </c>
      <c r="AN131"/>
      <c r="AO131" s="17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</row>
    <row r="132" spans="1:154" s="19" customFormat="1" ht="75" hidden="1" outlineLevel="1">
      <c r="A132" s="243" t="s">
        <v>249</v>
      </c>
      <c r="B132" s="190" t="s">
        <v>250</v>
      </c>
      <c r="C132" s="183">
        <v>2700198.2689439999</v>
      </c>
      <c r="D132" s="183">
        <v>2700198.2689439999</v>
      </c>
      <c r="E132" s="98">
        <v>2631643</v>
      </c>
      <c r="F132" s="191">
        <v>0</v>
      </c>
      <c r="G132" s="191"/>
      <c r="H132" s="98"/>
      <c r="I132" s="98">
        <f>80012+93100</f>
        <v>173112</v>
      </c>
      <c r="J132" s="98">
        <f t="shared" si="149"/>
        <v>0</v>
      </c>
      <c r="K132" s="98">
        <f t="shared" si="150"/>
        <v>173112</v>
      </c>
      <c r="L132" s="97">
        <v>0</v>
      </c>
      <c r="M132" s="98">
        <v>0</v>
      </c>
      <c r="N132" s="98">
        <v>0</v>
      </c>
      <c r="O132" s="98">
        <v>0</v>
      </c>
      <c r="P132" s="241">
        <v>0</v>
      </c>
      <c r="Q132" s="98">
        <v>0</v>
      </c>
      <c r="R132" s="98">
        <v>0</v>
      </c>
      <c r="S132" s="98">
        <v>0</v>
      </c>
      <c r="T132" s="98">
        <v>0</v>
      </c>
      <c r="U132" s="98">
        <v>0</v>
      </c>
      <c r="V132" s="98">
        <v>0</v>
      </c>
      <c r="W132" s="98">
        <v>0</v>
      </c>
      <c r="X132" s="99">
        <v>0</v>
      </c>
      <c r="Y132" s="191">
        <v>0</v>
      </c>
      <c r="Z132" s="192"/>
      <c r="AA132" s="99">
        <f t="shared" si="145"/>
        <v>0</v>
      </c>
      <c r="AB132" s="99">
        <f t="shared" si="146"/>
        <v>0</v>
      </c>
      <c r="AC132" s="98">
        <v>0</v>
      </c>
      <c r="AD132" s="98">
        <v>0</v>
      </c>
      <c r="AE132" s="98">
        <v>0</v>
      </c>
      <c r="AF132" s="98">
        <v>0</v>
      </c>
      <c r="AG132" s="98">
        <v>0</v>
      </c>
      <c r="AH132" s="89">
        <v>0</v>
      </c>
      <c r="AI132" s="91"/>
      <c r="AJ132" s="92">
        <f t="shared" si="147"/>
        <v>0</v>
      </c>
      <c r="AK132" s="92">
        <f t="shared" si="148"/>
        <v>0</v>
      </c>
      <c r="AL132" s="47">
        <f t="shared" si="151"/>
        <v>0</v>
      </c>
      <c r="AM132" s="47">
        <f t="shared" si="152"/>
        <v>173112</v>
      </c>
      <c r="AN132"/>
      <c r="AO132" s="17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</row>
    <row r="133" spans="1:154" s="19" customFormat="1" ht="64.5" customHeight="1" collapsed="1">
      <c r="A133" s="190" t="s">
        <v>251</v>
      </c>
      <c r="B133" s="190" t="s">
        <v>252</v>
      </c>
      <c r="C133" s="183">
        <v>12200000.639748</v>
      </c>
      <c r="D133" s="183">
        <v>12200000.639748</v>
      </c>
      <c r="E133" s="98">
        <v>10380821.040000001</v>
      </c>
      <c r="F133" s="191">
        <v>509360</v>
      </c>
      <c r="G133" s="191"/>
      <c r="H133" s="98">
        <v>605925</v>
      </c>
      <c r="I133" s="98">
        <v>22776</v>
      </c>
      <c r="J133" s="98">
        <f t="shared" si="149"/>
        <v>96565</v>
      </c>
      <c r="K133" s="98">
        <f t="shared" si="150"/>
        <v>22776</v>
      </c>
      <c r="L133" s="97">
        <v>0</v>
      </c>
      <c r="M133" s="98">
        <v>0</v>
      </c>
      <c r="N133" s="98">
        <v>0</v>
      </c>
      <c r="O133" s="98">
        <v>0</v>
      </c>
      <c r="P133" s="241">
        <v>0</v>
      </c>
      <c r="Q133" s="98">
        <v>0</v>
      </c>
      <c r="R133" s="98">
        <v>0</v>
      </c>
      <c r="S133" s="98">
        <v>0</v>
      </c>
      <c r="T133" s="98">
        <v>0</v>
      </c>
      <c r="U133" s="98">
        <v>0</v>
      </c>
      <c r="V133" s="98">
        <v>238096</v>
      </c>
      <c r="W133" s="98">
        <v>238096</v>
      </c>
      <c r="X133" s="99">
        <v>0</v>
      </c>
      <c r="Y133" s="191">
        <v>0</v>
      </c>
      <c r="Z133" s="192"/>
      <c r="AA133" s="99">
        <f t="shared" si="145"/>
        <v>238096</v>
      </c>
      <c r="AB133" s="99">
        <f t="shared" si="146"/>
        <v>0</v>
      </c>
      <c r="AC133" s="98">
        <v>0</v>
      </c>
      <c r="AD133" s="98">
        <v>476191</v>
      </c>
      <c r="AE133" s="98">
        <v>476192</v>
      </c>
      <c r="AF133" s="98">
        <v>952383</v>
      </c>
      <c r="AG133" s="98">
        <v>0</v>
      </c>
      <c r="AH133" s="89">
        <v>0</v>
      </c>
      <c r="AI133" s="91"/>
      <c r="AJ133" s="92">
        <f t="shared" si="147"/>
        <v>952383</v>
      </c>
      <c r="AK133" s="92">
        <f t="shared" si="148"/>
        <v>0</v>
      </c>
      <c r="AL133" s="47">
        <f t="shared" si="151"/>
        <v>1796404</v>
      </c>
      <c r="AM133" s="47">
        <f t="shared" si="152"/>
        <v>22776</v>
      </c>
      <c r="AN133"/>
      <c r="AO133" s="17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</row>
    <row r="134" spans="1:154" s="20" customFormat="1" ht="19.5">
      <c r="A134" s="178"/>
      <c r="B134" s="194" t="s">
        <v>253</v>
      </c>
      <c r="C134" s="181">
        <f t="shared" ref="C134:E134" si="154">SUM(C135:C137)</f>
        <v>25335213.425843999</v>
      </c>
      <c r="D134" s="181">
        <f t="shared" si="154"/>
        <v>25335213.425843999</v>
      </c>
      <c r="E134" s="181">
        <f t="shared" si="154"/>
        <v>11695311.630000001</v>
      </c>
      <c r="F134" s="181">
        <v>6807205.2300000004</v>
      </c>
      <c r="G134" s="181">
        <v>15297.942297000001</v>
      </c>
      <c r="H134" s="181">
        <f t="shared" ref="H134:I134" si="155">SUM(H135:H137)</f>
        <v>7299995.2400000002</v>
      </c>
      <c r="I134" s="181">
        <f t="shared" si="155"/>
        <v>137005.17000000001</v>
      </c>
      <c r="J134" s="181">
        <f t="shared" si="149"/>
        <v>492790.00999999978</v>
      </c>
      <c r="K134" s="181">
        <f t="shared" si="150"/>
        <v>121707.22770300001</v>
      </c>
      <c r="L134" s="181">
        <f t="shared" ref="L134:W134" si="156">SUM(L135:L137)</f>
        <v>237472.84</v>
      </c>
      <c r="M134" s="181">
        <f t="shared" si="156"/>
        <v>1619590.4</v>
      </c>
      <c r="N134" s="181">
        <f t="shared" si="156"/>
        <v>1780654.7799999998</v>
      </c>
      <c r="O134" s="181">
        <f t="shared" si="156"/>
        <v>2735643.14</v>
      </c>
      <c r="P134" s="181">
        <f t="shared" si="156"/>
        <v>2942617.46</v>
      </c>
      <c r="Q134" s="181">
        <f t="shared" si="156"/>
        <v>4147508.3899999997</v>
      </c>
      <c r="R134" s="181">
        <f t="shared" si="156"/>
        <v>4147508.3899999997</v>
      </c>
      <c r="S134" s="181">
        <f t="shared" si="156"/>
        <v>4307001.3899999997</v>
      </c>
      <c r="T134" s="181">
        <f t="shared" si="156"/>
        <v>5366738.18</v>
      </c>
      <c r="U134" s="181">
        <f t="shared" si="156"/>
        <v>5759576.8399999999</v>
      </c>
      <c r="V134" s="181">
        <f t="shared" si="156"/>
        <v>6110635.9100000001</v>
      </c>
      <c r="W134" s="181">
        <f t="shared" si="156"/>
        <v>6970309.0500000007</v>
      </c>
      <c r="X134" s="181">
        <f t="shared" ref="X134" si="157">SUM(X135:X137)</f>
        <v>19778.59</v>
      </c>
      <c r="Y134" s="181">
        <f>SUM(Y135:Y137)</f>
        <v>11020927</v>
      </c>
      <c r="Z134" s="181">
        <f>SUM(Z135:Z137)</f>
        <v>23369.9136492</v>
      </c>
      <c r="AA134" s="181">
        <f t="shared" ref="AA134:AA147" si="158">Y134-W134</f>
        <v>4050617.9499999993</v>
      </c>
      <c r="AB134" s="181">
        <f t="shared" ref="AB134:AB147" si="159">Z134-X134</f>
        <v>3591.3236491999996</v>
      </c>
      <c r="AC134" s="181">
        <f t="shared" ref="AC134:AG134" si="160">SUM(AC135:AC137)</f>
        <v>931244.6100000001</v>
      </c>
      <c r="AD134" s="181">
        <f t="shared" si="160"/>
        <v>3901941.9700000007</v>
      </c>
      <c r="AE134" s="181">
        <f t="shared" si="160"/>
        <v>10339683.32</v>
      </c>
      <c r="AF134" s="181">
        <f t="shared" si="160"/>
        <v>10339683.32</v>
      </c>
      <c r="AG134" s="181">
        <f t="shared" si="160"/>
        <v>28722.82</v>
      </c>
      <c r="AH134" s="93">
        <f>SUM(AH135:AH137)</f>
        <v>6854010.8800000008</v>
      </c>
      <c r="AI134" s="93">
        <f>SUM(AI135:AI137)</f>
        <v>19225.007455999999</v>
      </c>
      <c r="AJ134" s="94">
        <f t="shared" ref="AJ134:AJ147" si="161">AH134-AF134</f>
        <v>-3485672.4399999995</v>
      </c>
      <c r="AK134" s="94">
        <f t="shared" ref="AK134:AK147" si="162">AI134-AG134</f>
        <v>-9497.8125440000003</v>
      </c>
      <c r="AL134" s="79">
        <f t="shared" si="151"/>
        <v>24609987.609999999</v>
      </c>
      <c r="AM134" s="79">
        <f t="shared" si="152"/>
        <v>185506.58000000002</v>
      </c>
      <c r="AN134"/>
      <c r="AO134" s="17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</row>
    <row r="135" spans="1:154" s="19" customFormat="1" ht="91.5" customHeight="1">
      <c r="A135" s="190" t="s">
        <v>254</v>
      </c>
      <c r="B135" s="190" t="s">
        <v>255</v>
      </c>
      <c r="C135" s="183">
        <v>14890142.486256</v>
      </c>
      <c r="D135" s="183">
        <v>14890142.486256</v>
      </c>
      <c r="E135" s="98">
        <v>6777953.9199999999</v>
      </c>
      <c r="F135" s="191">
        <v>2716014.67</v>
      </c>
      <c r="G135" s="191">
        <v>3179</v>
      </c>
      <c r="H135" s="98">
        <v>2609036.4199999995</v>
      </c>
      <c r="I135" s="98">
        <v>106773.88</v>
      </c>
      <c r="J135" s="98">
        <f t="shared" si="149"/>
        <v>-106978.25000000047</v>
      </c>
      <c r="K135" s="98">
        <f t="shared" si="150"/>
        <v>103594.88</v>
      </c>
      <c r="L135" s="97">
        <v>0</v>
      </c>
      <c r="M135" s="98">
        <v>1053730.67</v>
      </c>
      <c r="N135" s="98">
        <v>1171656.5899999999</v>
      </c>
      <c r="O135" s="98">
        <v>1171656.5899999999</v>
      </c>
      <c r="P135" s="241">
        <v>1171656.5899999999</v>
      </c>
      <c r="Q135" s="98">
        <v>1485832.0399999998</v>
      </c>
      <c r="R135" s="98">
        <v>1485832.0399999998</v>
      </c>
      <c r="S135" s="98">
        <v>1485832.0399999998</v>
      </c>
      <c r="T135" s="98">
        <v>1800007.4899999998</v>
      </c>
      <c r="U135" s="98">
        <v>1798027.4799999997</v>
      </c>
      <c r="V135" s="98">
        <v>1798027.4799999997</v>
      </c>
      <c r="W135" s="98">
        <v>1798027.4799999997</v>
      </c>
      <c r="X135" s="99">
        <v>1980.01</v>
      </c>
      <c r="Y135" s="191">
        <v>2909841</v>
      </c>
      <c r="Z135" s="192">
        <v>3204</v>
      </c>
      <c r="AA135" s="99">
        <f t="shared" si="158"/>
        <v>1111813.5200000003</v>
      </c>
      <c r="AB135" s="99">
        <f t="shared" si="159"/>
        <v>1223.99</v>
      </c>
      <c r="AC135" s="98">
        <v>417375.45</v>
      </c>
      <c r="AD135" s="98">
        <v>889112.97000000009</v>
      </c>
      <c r="AE135" s="98">
        <v>3589112.9700000007</v>
      </c>
      <c r="AF135" s="98">
        <v>3589112.9700000007</v>
      </c>
      <c r="AG135" s="98">
        <v>3952.37</v>
      </c>
      <c r="AH135" s="89">
        <v>2477196</v>
      </c>
      <c r="AI135" s="91">
        <v>2536</v>
      </c>
      <c r="AJ135" s="92">
        <f t="shared" si="161"/>
        <v>-1111916.9700000007</v>
      </c>
      <c r="AK135" s="92">
        <f t="shared" si="162"/>
        <v>-1416.37</v>
      </c>
      <c r="AL135" s="47">
        <f t="shared" si="151"/>
        <v>7996176.8700000001</v>
      </c>
      <c r="AM135" s="47">
        <f t="shared" si="152"/>
        <v>112706.26</v>
      </c>
      <c r="AN135"/>
      <c r="AO135" s="17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</row>
    <row r="136" spans="1:154" s="19" customFormat="1" ht="162" customHeight="1">
      <c r="A136" s="190" t="s">
        <v>256</v>
      </c>
      <c r="B136" s="190" t="s">
        <v>257</v>
      </c>
      <c r="C136" s="183">
        <v>6445071.8128439998</v>
      </c>
      <c r="D136" s="183">
        <v>6445071.8128439998</v>
      </c>
      <c r="E136" s="98">
        <f>3185689.98</f>
        <v>3185689.98</v>
      </c>
      <c r="F136" s="191">
        <v>2633711.81</v>
      </c>
      <c r="G136" s="191">
        <v>10046.942297000001</v>
      </c>
      <c r="H136" s="98">
        <v>3647063.0400000005</v>
      </c>
      <c r="I136" s="98">
        <v>29633.95</v>
      </c>
      <c r="J136" s="98">
        <f t="shared" si="149"/>
        <v>1013351.2300000004</v>
      </c>
      <c r="K136" s="98">
        <f t="shared" si="150"/>
        <v>19587.007702999999</v>
      </c>
      <c r="L136" s="97">
        <v>196158.81</v>
      </c>
      <c r="M136" s="98">
        <v>263896.63</v>
      </c>
      <c r="N136" s="98">
        <v>263896.63</v>
      </c>
      <c r="O136" s="98">
        <v>1135691.8500000001</v>
      </c>
      <c r="P136" s="241">
        <v>1329042.33</v>
      </c>
      <c r="Q136" s="98">
        <v>1791954.3800000001</v>
      </c>
      <c r="R136" s="98">
        <v>1791954.3800000001</v>
      </c>
      <c r="S136" s="98">
        <v>1951447.3800000001</v>
      </c>
      <c r="T136" s="98">
        <v>2365008.7200000002</v>
      </c>
      <c r="U136" s="98">
        <v>2532442.39</v>
      </c>
      <c r="V136" s="98">
        <v>2883501.4600000004</v>
      </c>
      <c r="W136" s="98">
        <v>3333268.5400000005</v>
      </c>
      <c r="X136" s="99">
        <v>12378.9</v>
      </c>
      <c r="Y136" s="191">
        <v>5176703</v>
      </c>
      <c r="Z136" s="192">
        <v>18958.9136492</v>
      </c>
      <c r="AA136" s="99">
        <f t="shared" si="158"/>
        <v>1843434.4599999995</v>
      </c>
      <c r="AB136" s="99">
        <f t="shared" si="159"/>
        <v>6580.0136492000001</v>
      </c>
      <c r="AC136" s="98">
        <v>326248.90000000002</v>
      </c>
      <c r="AD136" s="98">
        <v>1082669.9500000002</v>
      </c>
      <c r="AE136" s="98">
        <v>4054306.38</v>
      </c>
      <c r="AF136" s="98">
        <v>4054306.38</v>
      </c>
      <c r="AG136" s="98">
        <v>15138.77</v>
      </c>
      <c r="AH136" s="89">
        <v>3181794.8800000004</v>
      </c>
      <c r="AI136" s="91">
        <v>12028.429456000002</v>
      </c>
      <c r="AJ136" s="92">
        <f t="shared" si="161"/>
        <v>-872511.49999999953</v>
      </c>
      <c r="AK136" s="92">
        <f t="shared" si="162"/>
        <v>-3110.3405439999988</v>
      </c>
      <c r="AL136" s="47">
        <f t="shared" si="151"/>
        <v>11034637.960000001</v>
      </c>
      <c r="AM136" s="47">
        <f t="shared" si="152"/>
        <v>57151.619999999995</v>
      </c>
      <c r="AN136"/>
      <c r="AO136" s="17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</row>
    <row r="137" spans="1:154" s="19" customFormat="1" ht="224.25" customHeight="1">
      <c r="A137" s="190" t="s">
        <v>258</v>
      </c>
      <c r="B137" s="190" t="s">
        <v>259</v>
      </c>
      <c r="C137" s="183">
        <v>3999999.1267439998</v>
      </c>
      <c r="D137" s="183">
        <v>3999999.1267439998</v>
      </c>
      <c r="E137" s="98">
        <v>1731667.73</v>
      </c>
      <c r="F137" s="191">
        <v>1457478.75</v>
      </c>
      <c r="G137" s="191">
        <v>2072</v>
      </c>
      <c r="H137" s="98">
        <v>1043895.7800000001</v>
      </c>
      <c r="I137" s="98">
        <v>597.34</v>
      </c>
      <c r="J137" s="98">
        <f t="shared" si="149"/>
        <v>-413582.96999999986</v>
      </c>
      <c r="K137" s="98">
        <f t="shared" si="150"/>
        <v>-1474.6599999999999</v>
      </c>
      <c r="L137" s="97">
        <v>41314.03</v>
      </c>
      <c r="M137" s="98">
        <v>301963.09999999998</v>
      </c>
      <c r="N137" s="98">
        <v>345101.56</v>
      </c>
      <c r="O137" s="98">
        <v>428294.7</v>
      </c>
      <c r="P137" s="241">
        <v>441918.54000000004</v>
      </c>
      <c r="Q137" s="98">
        <v>869721.97</v>
      </c>
      <c r="R137" s="98">
        <v>869721.97</v>
      </c>
      <c r="S137" s="98">
        <v>869721.97</v>
      </c>
      <c r="T137" s="98">
        <v>1201721.97</v>
      </c>
      <c r="U137" s="98">
        <v>1429106.97</v>
      </c>
      <c r="V137" s="98">
        <v>1429106.97</v>
      </c>
      <c r="W137" s="98">
        <v>1839013.03</v>
      </c>
      <c r="X137" s="99">
        <v>5419.68</v>
      </c>
      <c r="Y137" s="191">
        <v>2934383</v>
      </c>
      <c r="Z137" s="192">
        <v>1207</v>
      </c>
      <c r="AA137" s="99">
        <f t="shared" si="158"/>
        <v>1095369.97</v>
      </c>
      <c r="AB137" s="99">
        <f t="shared" si="159"/>
        <v>-4212.68</v>
      </c>
      <c r="AC137" s="98">
        <v>187620.26</v>
      </c>
      <c r="AD137" s="98">
        <v>1930159.05</v>
      </c>
      <c r="AE137" s="98">
        <v>2696263.97</v>
      </c>
      <c r="AF137" s="98">
        <v>2696263.97</v>
      </c>
      <c r="AG137" s="98">
        <v>9631.68</v>
      </c>
      <c r="AH137" s="89">
        <v>1195020</v>
      </c>
      <c r="AI137" s="91">
        <v>4660.5779999999995</v>
      </c>
      <c r="AJ137" s="92">
        <f t="shared" si="161"/>
        <v>-1501243.9700000002</v>
      </c>
      <c r="AK137" s="92">
        <f t="shared" si="162"/>
        <v>-4971.1020000000008</v>
      </c>
      <c r="AL137" s="47">
        <f t="shared" si="151"/>
        <v>5579172.7800000003</v>
      </c>
      <c r="AM137" s="47">
        <f t="shared" si="152"/>
        <v>15648.7</v>
      </c>
      <c r="AN137"/>
      <c r="AO137" s="1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</row>
    <row r="138" spans="1:154" s="18" customFormat="1" ht="19.5">
      <c r="A138" s="178"/>
      <c r="B138" s="179" t="s">
        <v>260</v>
      </c>
      <c r="C138" s="180">
        <f t="shared" ref="C138:E138" si="163">SUM(C139:C144)</f>
        <v>10218032.2158</v>
      </c>
      <c r="D138" s="180">
        <f t="shared" si="163"/>
        <v>10218032.2158</v>
      </c>
      <c r="E138" s="180">
        <f t="shared" si="163"/>
        <v>8589644.7899999991</v>
      </c>
      <c r="F138" s="180">
        <v>229117.49</v>
      </c>
      <c r="G138" s="180">
        <v>168200.45</v>
      </c>
      <c r="H138" s="180">
        <f t="shared" ref="H138:I138" si="164">SUM(H139:H144)</f>
        <v>175157.13999999998</v>
      </c>
      <c r="I138" s="180">
        <f t="shared" si="164"/>
        <v>393507.47</v>
      </c>
      <c r="J138" s="180">
        <f t="shared" si="149"/>
        <v>-53960.350000000006</v>
      </c>
      <c r="K138" s="180">
        <f t="shared" si="150"/>
        <v>225307.01999999996</v>
      </c>
      <c r="L138" s="180">
        <f t="shared" ref="L138:W138" si="165">SUM(L139:L144)</f>
        <v>0</v>
      </c>
      <c r="M138" s="180">
        <f t="shared" si="165"/>
        <v>0</v>
      </c>
      <c r="N138" s="180">
        <f t="shared" si="165"/>
        <v>0</v>
      </c>
      <c r="O138" s="180">
        <f t="shared" si="165"/>
        <v>0</v>
      </c>
      <c r="P138" s="180">
        <f t="shared" si="165"/>
        <v>0</v>
      </c>
      <c r="Q138" s="180">
        <f t="shared" si="165"/>
        <v>0</v>
      </c>
      <c r="R138" s="180">
        <f t="shared" si="165"/>
        <v>112009</v>
      </c>
      <c r="S138" s="180">
        <f t="shared" si="165"/>
        <v>112009</v>
      </c>
      <c r="T138" s="180">
        <f t="shared" si="165"/>
        <v>112009</v>
      </c>
      <c r="U138" s="180">
        <f t="shared" si="165"/>
        <v>112009</v>
      </c>
      <c r="V138" s="180">
        <f t="shared" si="165"/>
        <v>458321.47</v>
      </c>
      <c r="W138" s="180">
        <f t="shared" si="165"/>
        <v>458321.47</v>
      </c>
      <c r="X138" s="180">
        <f t="shared" ref="X138" si="166">SUM(X139:X144)</f>
        <v>9166.4293999999991</v>
      </c>
      <c r="Y138" s="180">
        <f>SUM(Y139:Y144)</f>
        <v>1130946.5279880001</v>
      </c>
      <c r="Z138" s="180">
        <f>SUM(Z139:Z144)</f>
        <v>17917.8698</v>
      </c>
      <c r="AA138" s="180">
        <f t="shared" si="158"/>
        <v>672625.0579880001</v>
      </c>
      <c r="AB138" s="180">
        <f t="shared" si="159"/>
        <v>8751.4404000000013</v>
      </c>
      <c r="AC138" s="181">
        <f t="shared" ref="AC138:AG138" si="167">SUM(AC139:AC144)</f>
        <v>0</v>
      </c>
      <c r="AD138" s="181">
        <f t="shared" si="167"/>
        <v>704892</v>
      </c>
      <c r="AE138" s="181">
        <f t="shared" si="167"/>
        <v>704892</v>
      </c>
      <c r="AF138" s="181">
        <f t="shared" si="167"/>
        <v>704892</v>
      </c>
      <c r="AG138" s="181">
        <f t="shared" si="167"/>
        <v>14097.84</v>
      </c>
      <c r="AH138" s="77">
        <f>SUM(AH139:AH144)</f>
        <v>0</v>
      </c>
      <c r="AI138" s="77">
        <f>SUM(AI139:AI144)</f>
        <v>0</v>
      </c>
      <c r="AJ138" s="78">
        <f t="shared" si="161"/>
        <v>-704892</v>
      </c>
      <c r="AK138" s="78">
        <f t="shared" si="162"/>
        <v>-14097.84</v>
      </c>
      <c r="AL138" s="76">
        <f t="shared" si="151"/>
        <v>1338370.6099999999</v>
      </c>
      <c r="AM138" s="76">
        <f t="shared" si="152"/>
        <v>416771.73940000002</v>
      </c>
      <c r="AN138"/>
      <c r="AO138" s="17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</row>
    <row r="139" spans="1:154" s="19" customFormat="1" ht="132.75" customHeight="1">
      <c r="A139" s="244" t="s">
        <v>261</v>
      </c>
      <c r="B139" s="244" t="s">
        <v>262</v>
      </c>
      <c r="C139" s="183">
        <v>447270.088032</v>
      </c>
      <c r="D139" s="183">
        <v>447270.088032</v>
      </c>
      <c r="E139" s="199">
        <v>377198.59</v>
      </c>
      <c r="F139" s="201">
        <v>5645.49</v>
      </c>
      <c r="G139" s="201">
        <v>63751.45</v>
      </c>
      <c r="H139" s="199">
        <v>57408.88</v>
      </c>
      <c r="I139" s="199">
        <v>13597.75</v>
      </c>
      <c r="J139" s="199">
        <f t="shared" si="149"/>
        <v>51763.39</v>
      </c>
      <c r="K139" s="199">
        <f t="shared" si="150"/>
        <v>-50153.7</v>
      </c>
      <c r="L139" s="196">
        <v>0</v>
      </c>
      <c r="M139" s="199">
        <v>0</v>
      </c>
      <c r="N139" s="199">
        <v>0</v>
      </c>
      <c r="O139" s="199">
        <v>0</v>
      </c>
      <c r="P139" s="245">
        <v>0</v>
      </c>
      <c r="Q139" s="199">
        <v>0</v>
      </c>
      <c r="R139" s="199">
        <v>0</v>
      </c>
      <c r="S139" s="199">
        <v>0</v>
      </c>
      <c r="T139" s="199">
        <v>0</v>
      </c>
      <c r="U139" s="199">
        <v>0</v>
      </c>
      <c r="V139" s="199">
        <v>0</v>
      </c>
      <c r="W139" s="199">
        <v>0</v>
      </c>
      <c r="X139" s="246">
        <v>0</v>
      </c>
      <c r="Y139" s="201">
        <v>0</v>
      </c>
      <c r="Z139" s="247"/>
      <c r="AA139" s="246">
        <f t="shared" si="158"/>
        <v>0</v>
      </c>
      <c r="AB139" s="246">
        <f t="shared" si="159"/>
        <v>0</v>
      </c>
      <c r="AC139" s="199">
        <v>0</v>
      </c>
      <c r="AD139" s="199">
        <v>0</v>
      </c>
      <c r="AE139" s="199">
        <v>0</v>
      </c>
      <c r="AF139" s="199">
        <v>0</v>
      </c>
      <c r="AG139" s="199">
        <v>0</v>
      </c>
      <c r="AH139" s="101">
        <v>0</v>
      </c>
      <c r="AI139" s="133"/>
      <c r="AJ139" s="134">
        <f t="shared" si="161"/>
        <v>0</v>
      </c>
      <c r="AK139" s="134">
        <f t="shared" si="162"/>
        <v>0</v>
      </c>
      <c r="AL139" s="100">
        <f t="shared" si="151"/>
        <v>57408.88</v>
      </c>
      <c r="AM139" s="100">
        <f t="shared" si="152"/>
        <v>13597.75</v>
      </c>
      <c r="AN139"/>
      <c r="AO139" s="17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</row>
    <row r="140" spans="1:154" s="19" customFormat="1" ht="75" outlineLevel="1">
      <c r="A140" s="243" t="s">
        <v>263</v>
      </c>
      <c r="B140" s="190" t="s">
        <v>264</v>
      </c>
      <c r="C140" s="183">
        <v>2146583.393652</v>
      </c>
      <c r="D140" s="183">
        <v>2146583.393652</v>
      </c>
      <c r="E140" s="98">
        <v>2146582.14</v>
      </c>
      <c r="F140" s="191">
        <v>0</v>
      </c>
      <c r="G140" s="191">
        <v>0</v>
      </c>
      <c r="H140" s="98"/>
      <c r="I140" s="98"/>
      <c r="J140" s="98">
        <f t="shared" si="149"/>
        <v>0</v>
      </c>
      <c r="K140" s="98">
        <f t="shared" si="150"/>
        <v>0</v>
      </c>
      <c r="L140" s="97">
        <v>0</v>
      </c>
      <c r="M140" s="98">
        <v>0</v>
      </c>
      <c r="N140" s="98">
        <v>0</v>
      </c>
      <c r="O140" s="98">
        <v>0</v>
      </c>
      <c r="P140" s="241">
        <v>0</v>
      </c>
      <c r="Q140" s="98">
        <v>0</v>
      </c>
      <c r="R140" s="98">
        <v>0</v>
      </c>
      <c r="S140" s="98">
        <v>0</v>
      </c>
      <c r="T140" s="98">
        <v>0</v>
      </c>
      <c r="U140" s="98">
        <v>0</v>
      </c>
      <c r="V140" s="98">
        <v>0</v>
      </c>
      <c r="W140" s="98">
        <v>0</v>
      </c>
      <c r="X140" s="99">
        <v>0</v>
      </c>
      <c r="Y140" s="191">
        <v>0</v>
      </c>
      <c r="Z140" s="192"/>
      <c r="AA140" s="99">
        <f t="shared" si="158"/>
        <v>0</v>
      </c>
      <c r="AB140" s="99">
        <f t="shared" si="159"/>
        <v>0</v>
      </c>
      <c r="AC140" s="98">
        <v>0</v>
      </c>
      <c r="AD140" s="98">
        <v>0</v>
      </c>
      <c r="AE140" s="98">
        <v>0</v>
      </c>
      <c r="AF140" s="98">
        <v>0</v>
      </c>
      <c r="AG140" s="98">
        <v>0</v>
      </c>
      <c r="AH140" s="89">
        <v>0</v>
      </c>
      <c r="AI140" s="91"/>
      <c r="AJ140" s="92">
        <f t="shared" si="161"/>
        <v>0</v>
      </c>
      <c r="AK140" s="92">
        <f t="shared" si="162"/>
        <v>0</v>
      </c>
      <c r="AL140" s="47">
        <f t="shared" si="151"/>
        <v>0</v>
      </c>
      <c r="AM140" s="47">
        <f t="shared" si="152"/>
        <v>0</v>
      </c>
      <c r="AN140"/>
      <c r="AO140" s="17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</row>
    <row r="141" spans="1:154" s="19" customFormat="1" ht="75" outlineLevel="1">
      <c r="A141" s="243" t="s">
        <v>265</v>
      </c>
      <c r="B141" s="190" t="s">
        <v>266</v>
      </c>
      <c r="C141" s="183">
        <v>519215.43070799997</v>
      </c>
      <c r="D141" s="183">
        <v>519215.43070799997</v>
      </c>
      <c r="E141" s="98">
        <v>519210.9</v>
      </c>
      <c r="F141" s="191">
        <v>0</v>
      </c>
      <c r="G141" s="191">
        <v>0</v>
      </c>
      <c r="H141" s="98"/>
      <c r="I141" s="98"/>
      <c r="J141" s="98">
        <f t="shared" si="149"/>
        <v>0</v>
      </c>
      <c r="K141" s="98">
        <f t="shared" si="150"/>
        <v>0</v>
      </c>
      <c r="L141" s="97">
        <v>0</v>
      </c>
      <c r="M141" s="98">
        <v>0</v>
      </c>
      <c r="N141" s="98">
        <v>0</v>
      </c>
      <c r="O141" s="98">
        <v>0</v>
      </c>
      <c r="P141" s="241">
        <v>0</v>
      </c>
      <c r="Q141" s="98">
        <v>0</v>
      </c>
      <c r="R141" s="98">
        <v>0</v>
      </c>
      <c r="S141" s="98">
        <v>0</v>
      </c>
      <c r="T141" s="98">
        <v>0</v>
      </c>
      <c r="U141" s="98">
        <v>0</v>
      </c>
      <c r="V141" s="98">
        <v>0</v>
      </c>
      <c r="W141" s="98">
        <v>0</v>
      </c>
      <c r="X141" s="99">
        <v>0</v>
      </c>
      <c r="Y141" s="191">
        <v>0</v>
      </c>
      <c r="Z141" s="192"/>
      <c r="AA141" s="99">
        <f t="shared" si="158"/>
        <v>0</v>
      </c>
      <c r="AB141" s="99">
        <f t="shared" si="159"/>
        <v>0</v>
      </c>
      <c r="AC141" s="98">
        <v>0</v>
      </c>
      <c r="AD141" s="98">
        <v>0</v>
      </c>
      <c r="AE141" s="98">
        <v>0</v>
      </c>
      <c r="AF141" s="98">
        <v>0</v>
      </c>
      <c r="AG141" s="98">
        <v>0</v>
      </c>
      <c r="AH141" s="89">
        <v>0</v>
      </c>
      <c r="AI141" s="91"/>
      <c r="AJ141" s="92">
        <f t="shared" si="161"/>
        <v>0</v>
      </c>
      <c r="AK141" s="92">
        <f t="shared" si="162"/>
        <v>0</v>
      </c>
      <c r="AL141" s="47">
        <f t="shared" si="151"/>
        <v>0</v>
      </c>
      <c r="AM141" s="47">
        <f t="shared" si="152"/>
        <v>0</v>
      </c>
      <c r="AN141"/>
      <c r="AO141" s="17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</row>
    <row r="142" spans="1:154" s="19" customFormat="1" ht="56.25" outlineLevel="1">
      <c r="A142" s="243" t="s">
        <v>267</v>
      </c>
      <c r="B142" s="190" t="s">
        <v>268</v>
      </c>
      <c r="C142" s="183">
        <v>0</v>
      </c>
      <c r="D142" s="183">
        <v>0</v>
      </c>
      <c r="E142" s="98">
        <v>0</v>
      </c>
      <c r="F142" s="191">
        <v>0</v>
      </c>
      <c r="G142" s="191">
        <v>0</v>
      </c>
      <c r="H142" s="98"/>
      <c r="I142" s="98"/>
      <c r="J142" s="98">
        <f t="shared" si="149"/>
        <v>0</v>
      </c>
      <c r="K142" s="98">
        <f t="shared" si="150"/>
        <v>0</v>
      </c>
      <c r="L142" s="97">
        <v>0</v>
      </c>
      <c r="M142" s="98">
        <v>0</v>
      </c>
      <c r="N142" s="98">
        <v>0</v>
      </c>
      <c r="O142" s="98">
        <v>0</v>
      </c>
      <c r="P142" s="241">
        <v>0</v>
      </c>
      <c r="Q142" s="98">
        <v>0</v>
      </c>
      <c r="R142" s="98">
        <v>0</v>
      </c>
      <c r="S142" s="98">
        <v>0</v>
      </c>
      <c r="T142" s="98">
        <v>0</v>
      </c>
      <c r="U142" s="98">
        <v>0</v>
      </c>
      <c r="V142" s="98">
        <v>0</v>
      </c>
      <c r="W142" s="98">
        <v>0</v>
      </c>
      <c r="X142" s="99">
        <v>0</v>
      </c>
      <c r="Y142" s="191">
        <v>0</v>
      </c>
      <c r="Z142" s="192"/>
      <c r="AA142" s="99">
        <f t="shared" si="158"/>
        <v>0</v>
      </c>
      <c r="AB142" s="99">
        <f t="shared" si="159"/>
        <v>0</v>
      </c>
      <c r="AC142" s="98">
        <v>0</v>
      </c>
      <c r="AD142" s="98">
        <v>0</v>
      </c>
      <c r="AE142" s="98">
        <v>0</v>
      </c>
      <c r="AF142" s="98">
        <v>0</v>
      </c>
      <c r="AG142" s="98">
        <v>0</v>
      </c>
      <c r="AH142" s="89">
        <v>0</v>
      </c>
      <c r="AI142" s="91"/>
      <c r="AJ142" s="92">
        <f t="shared" si="161"/>
        <v>0</v>
      </c>
      <c r="AK142" s="92">
        <f t="shared" si="162"/>
        <v>0</v>
      </c>
      <c r="AL142" s="47">
        <f t="shared" si="151"/>
        <v>0</v>
      </c>
      <c r="AM142" s="47">
        <f t="shared" si="152"/>
        <v>0</v>
      </c>
      <c r="AN142"/>
      <c r="AO142" s="17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</row>
    <row r="143" spans="1:154" s="19" customFormat="1" ht="75">
      <c r="A143" s="244" t="s">
        <v>269</v>
      </c>
      <c r="B143" s="244" t="s">
        <v>379</v>
      </c>
      <c r="C143" s="183">
        <v>5031406.867788</v>
      </c>
      <c r="D143" s="183">
        <v>5031406.867788</v>
      </c>
      <c r="E143" s="199">
        <v>3496789.92</v>
      </c>
      <c r="F143" s="201">
        <v>223472</v>
      </c>
      <c r="G143" s="201">
        <v>104449</v>
      </c>
      <c r="H143" s="199">
        <v>117748.26</v>
      </c>
      <c r="I143" s="199">
        <v>379909.72</v>
      </c>
      <c r="J143" s="199">
        <f t="shared" si="149"/>
        <v>-105723.74</v>
      </c>
      <c r="K143" s="199">
        <f t="shared" si="150"/>
        <v>275460.71999999997</v>
      </c>
      <c r="L143" s="196">
        <v>0</v>
      </c>
      <c r="M143" s="199">
        <v>0</v>
      </c>
      <c r="N143" s="199">
        <v>0</v>
      </c>
      <c r="O143" s="199">
        <v>0</v>
      </c>
      <c r="P143" s="245">
        <v>0</v>
      </c>
      <c r="Q143" s="199">
        <v>0</v>
      </c>
      <c r="R143" s="199">
        <v>112009</v>
      </c>
      <c r="S143" s="199">
        <v>112009</v>
      </c>
      <c r="T143" s="199">
        <v>112009</v>
      </c>
      <c r="U143" s="203">
        <v>112009</v>
      </c>
      <c r="V143" s="203">
        <v>458321.47</v>
      </c>
      <c r="W143" s="203">
        <v>458321.47</v>
      </c>
      <c r="X143" s="246">
        <v>9166.4293999999991</v>
      </c>
      <c r="Y143" s="201">
        <v>1130946.5279880001</v>
      </c>
      <c r="Z143" s="247">
        <v>17917.8698</v>
      </c>
      <c r="AA143" s="246">
        <f t="shared" si="158"/>
        <v>672625.0579880001</v>
      </c>
      <c r="AB143" s="246">
        <f t="shared" si="159"/>
        <v>8751.4404000000013</v>
      </c>
      <c r="AC143" s="199">
        <v>0</v>
      </c>
      <c r="AD143" s="199">
        <v>704892</v>
      </c>
      <c r="AE143" s="199">
        <v>704892</v>
      </c>
      <c r="AF143" s="203">
        <v>704892</v>
      </c>
      <c r="AG143" s="199">
        <v>14097.84</v>
      </c>
      <c r="AH143" s="101">
        <v>0</v>
      </c>
      <c r="AI143" s="133"/>
      <c r="AJ143" s="134">
        <f t="shared" si="161"/>
        <v>-704892</v>
      </c>
      <c r="AK143" s="134">
        <f t="shared" si="162"/>
        <v>-14097.84</v>
      </c>
      <c r="AL143" s="100">
        <f t="shared" si="151"/>
        <v>1280961.73</v>
      </c>
      <c r="AM143" s="100">
        <f t="shared" si="152"/>
        <v>403173.98940000002</v>
      </c>
      <c r="AN143"/>
      <c r="AO143" s="17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</row>
    <row r="144" spans="1:154" s="19" customFormat="1" ht="37.5">
      <c r="A144" s="248" t="s">
        <v>270</v>
      </c>
      <c r="B144" s="190" t="s">
        <v>271</v>
      </c>
      <c r="C144" s="183">
        <v>2073556.4356199999</v>
      </c>
      <c r="D144" s="183">
        <v>2073556.4356199999</v>
      </c>
      <c r="E144" s="98">
        <v>2049863.24</v>
      </c>
      <c r="F144" s="191">
        <v>0</v>
      </c>
      <c r="G144" s="191">
        <v>0</v>
      </c>
      <c r="H144" s="98"/>
      <c r="I144" s="98"/>
      <c r="J144" s="98">
        <f t="shared" si="149"/>
        <v>0</v>
      </c>
      <c r="K144" s="98">
        <f t="shared" si="150"/>
        <v>0</v>
      </c>
      <c r="L144" s="97">
        <v>0</v>
      </c>
      <c r="M144" s="98">
        <v>0</v>
      </c>
      <c r="N144" s="98">
        <v>0</v>
      </c>
      <c r="O144" s="98">
        <v>0</v>
      </c>
      <c r="P144" s="241">
        <v>0</v>
      </c>
      <c r="Q144" s="98">
        <v>0</v>
      </c>
      <c r="R144" s="98">
        <v>0</v>
      </c>
      <c r="S144" s="98">
        <v>0</v>
      </c>
      <c r="T144" s="98">
        <v>0</v>
      </c>
      <c r="U144" s="98">
        <v>0</v>
      </c>
      <c r="V144" s="98">
        <v>0</v>
      </c>
      <c r="W144" s="98">
        <v>0</v>
      </c>
      <c r="X144" s="99">
        <v>0</v>
      </c>
      <c r="Y144" s="191">
        <v>0</v>
      </c>
      <c r="Z144" s="192"/>
      <c r="AA144" s="99">
        <f t="shared" si="158"/>
        <v>0</v>
      </c>
      <c r="AB144" s="99">
        <f t="shared" si="159"/>
        <v>0</v>
      </c>
      <c r="AC144" s="98">
        <v>0</v>
      </c>
      <c r="AD144" s="98">
        <v>0</v>
      </c>
      <c r="AE144" s="98">
        <v>0</v>
      </c>
      <c r="AF144" s="98">
        <v>0</v>
      </c>
      <c r="AG144" s="98">
        <v>0</v>
      </c>
      <c r="AH144" s="89">
        <v>0</v>
      </c>
      <c r="AI144" s="91"/>
      <c r="AJ144" s="92">
        <f t="shared" si="161"/>
        <v>0</v>
      </c>
      <c r="AK144" s="92">
        <f t="shared" si="162"/>
        <v>0</v>
      </c>
      <c r="AL144" s="47">
        <f t="shared" si="151"/>
        <v>0</v>
      </c>
      <c r="AM144" s="47">
        <f t="shared" si="152"/>
        <v>0</v>
      </c>
      <c r="AN144"/>
      <c r="AO144" s="17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</row>
    <row r="145" spans="1:154" s="20" customFormat="1" ht="19.5">
      <c r="A145" s="178"/>
      <c r="B145" s="194" t="s">
        <v>272</v>
      </c>
      <c r="C145" s="181">
        <f t="shared" ref="C145:D145" si="168">SUM(C146:C154)</f>
        <v>247572042.939924</v>
      </c>
      <c r="D145" s="181">
        <f t="shared" si="168"/>
        <v>247572042.939924</v>
      </c>
      <c r="E145" s="181">
        <f t="shared" ref="E145:AI145" si="169">SUM(E146:E154)</f>
        <v>113607136.37</v>
      </c>
      <c r="F145" s="181">
        <v>58926214.816000007</v>
      </c>
      <c r="G145" s="181">
        <v>131568.35999999999</v>
      </c>
      <c r="H145" s="181">
        <f t="shared" si="169"/>
        <v>64167604</v>
      </c>
      <c r="I145" s="181">
        <f t="shared" si="169"/>
        <v>128135</v>
      </c>
      <c r="J145" s="181">
        <f t="shared" si="149"/>
        <v>5241389.1839999929</v>
      </c>
      <c r="K145" s="181">
        <f t="shared" si="150"/>
        <v>-3433.359999999986</v>
      </c>
      <c r="L145" s="181">
        <f t="shared" si="169"/>
        <v>500002</v>
      </c>
      <c r="M145" s="181">
        <f t="shared" si="169"/>
        <v>8879366</v>
      </c>
      <c r="N145" s="181">
        <f t="shared" si="169"/>
        <v>19244281</v>
      </c>
      <c r="O145" s="181">
        <f t="shared" si="169"/>
        <v>22026293</v>
      </c>
      <c r="P145" s="181">
        <f t="shared" si="169"/>
        <v>24017920</v>
      </c>
      <c r="Q145" s="181">
        <f t="shared" si="169"/>
        <v>28651186</v>
      </c>
      <c r="R145" s="181">
        <f t="shared" si="169"/>
        <v>32128086</v>
      </c>
      <c r="S145" s="181">
        <f t="shared" si="169"/>
        <v>34894814</v>
      </c>
      <c r="T145" s="181">
        <f t="shared" si="169"/>
        <v>41249001</v>
      </c>
      <c r="U145" s="181">
        <f t="shared" si="169"/>
        <v>43627551</v>
      </c>
      <c r="V145" s="181">
        <f t="shared" si="169"/>
        <v>52353375</v>
      </c>
      <c r="W145" s="181">
        <f t="shared" si="169"/>
        <v>56081917</v>
      </c>
      <c r="X145" s="181">
        <f t="shared" ref="X145" si="170">SUM(X146:X154)</f>
        <v>89638</v>
      </c>
      <c r="Y145" s="181">
        <f t="shared" si="169"/>
        <v>77198660</v>
      </c>
      <c r="Z145" s="181">
        <f t="shared" si="169"/>
        <v>0</v>
      </c>
      <c r="AA145" s="181">
        <f t="shared" si="158"/>
        <v>21116743</v>
      </c>
      <c r="AB145" s="181">
        <f t="shared" si="159"/>
        <v>-89638</v>
      </c>
      <c r="AC145" s="181">
        <f t="shared" ref="AC145:AG145" si="171">SUM(AC146:AC154)</f>
        <v>4908653</v>
      </c>
      <c r="AD145" s="181">
        <f t="shared" si="171"/>
        <v>16000940</v>
      </c>
      <c r="AE145" s="181">
        <f t="shared" si="171"/>
        <v>27319088</v>
      </c>
      <c r="AF145" s="181">
        <f t="shared" si="171"/>
        <v>35348038</v>
      </c>
      <c r="AG145" s="181">
        <f t="shared" si="171"/>
        <v>18018</v>
      </c>
      <c r="AH145" s="93">
        <f t="shared" si="169"/>
        <v>18921808</v>
      </c>
      <c r="AI145" s="93">
        <f t="shared" si="169"/>
        <v>0</v>
      </c>
      <c r="AJ145" s="94">
        <f t="shared" si="161"/>
        <v>-16426230</v>
      </c>
      <c r="AK145" s="94">
        <f t="shared" si="162"/>
        <v>-18018</v>
      </c>
      <c r="AL145" s="79">
        <f t="shared" si="151"/>
        <v>155597559</v>
      </c>
      <c r="AM145" s="79">
        <f t="shared" si="152"/>
        <v>235791</v>
      </c>
      <c r="AN145"/>
      <c r="AO145" s="17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</row>
    <row r="146" spans="1:154" s="19" customFormat="1" ht="64.5" customHeight="1">
      <c r="A146" s="249" t="s">
        <v>273</v>
      </c>
      <c r="B146" s="182" t="s">
        <v>274</v>
      </c>
      <c r="C146" s="183">
        <v>131276355.0477</v>
      </c>
      <c r="D146" s="183">
        <v>131276355.0477</v>
      </c>
      <c r="E146" s="138">
        <v>52931700.229999997</v>
      </c>
      <c r="F146" s="187">
        <v>39126588</v>
      </c>
      <c r="G146" s="187">
        <v>0</v>
      </c>
      <c r="H146" s="138">
        <v>33415090</v>
      </c>
      <c r="I146" s="138">
        <f>G146</f>
        <v>0</v>
      </c>
      <c r="J146" s="138">
        <f t="shared" si="149"/>
        <v>-5711498</v>
      </c>
      <c r="K146" s="138">
        <f t="shared" si="150"/>
        <v>0</v>
      </c>
      <c r="L146" s="183">
        <v>0</v>
      </c>
      <c r="M146" s="138">
        <v>3863392</v>
      </c>
      <c r="N146" s="138">
        <f>M146+3254385</f>
        <v>7117777</v>
      </c>
      <c r="O146" s="138">
        <f>N146+1908951</f>
        <v>9026728</v>
      </c>
      <c r="P146" s="138">
        <f t="shared" ref="P146:W146" si="172">O146+1700000</f>
        <v>10726728</v>
      </c>
      <c r="Q146" s="138">
        <f t="shared" si="172"/>
        <v>12426728</v>
      </c>
      <c r="R146" s="138">
        <f t="shared" si="172"/>
        <v>14126728</v>
      </c>
      <c r="S146" s="138">
        <f t="shared" si="172"/>
        <v>15826728</v>
      </c>
      <c r="T146" s="138">
        <f t="shared" si="172"/>
        <v>17526728</v>
      </c>
      <c r="U146" s="138">
        <f t="shared" si="172"/>
        <v>19226728</v>
      </c>
      <c r="V146" s="138">
        <f t="shared" si="172"/>
        <v>20926728</v>
      </c>
      <c r="W146" s="138">
        <f t="shared" si="172"/>
        <v>22626728</v>
      </c>
      <c r="X146" s="188">
        <v>0</v>
      </c>
      <c r="Y146" s="187">
        <v>31855143</v>
      </c>
      <c r="Z146" s="189">
        <v>0</v>
      </c>
      <c r="AA146" s="188">
        <f t="shared" si="158"/>
        <v>9228415</v>
      </c>
      <c r="AB146" s="188">
        <f t="shared" si="159"/>
        <v>0</v>
      </c>
      <c r="AC146" s="138">
        <v>0</v>
      </c>
      <c r="AD146" s="138">
        <v>7434279</v>
      </c>
      <c r="AE146" s="138">
        <f>AD146+7434279</f>
        <v>14868558</v>
      </c>
      <c r="AF146" s="138">
        <f>AE146+7434279</f>
        <v>22302837</v>
      </c>
      <c r="AG146" s="138">
        <v>0</v>
      </c>
      <c r="AH146" s="86">
        <v>7362924</v>
      </c>
      <c r="AI146" s="87">
        <v>0</v>
      </c>
      <c r="AJ146" s="88">
        <f t="shared" si="161"/>
        <v>-14939913</v>
      </c>
      <c r="AK146" s="88">
        <f t="shared" si="162"/>
        <v>0</v>
      </c>
      <c r="AL146" s="85">
        <f t="shared" si="151"/>
        <v>78344655</v>
      </c>
      <c r="AM146" s="85">
        <f t="shared" si="152"/>
        <v>0</v>
      </c>
      <c r="AN146" s="52"/>
      <c r="AO146" s="17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</row>
    <row r="147" spans="1:154" s="19" customFormat="1" ht="91.5" customHeight="1">
      <c r="A147" s="249" t="s">
        <v>275</v>
      </c>
      <c r="B147" s="182" t="s">
        <v>276</v>
      </c>
      <c r="C147" s="183">
        <v>64233387.939107999</v>
      </c>
      <c r="D147" s="183">
        <v>64233387.939107999</v>
      </c>
      <c r="E147" s="138">
        <v>41206134.509999998</v>
      </c>
      <c r="F147" s="187">
        <v>9120375.4800000004</v>
      </c>
      <c r="G147" s="187">
        <v>118564</v>
      </c>
      <c r="H147" s="138">
        <v>22178574</v>
      </c>
      <c r="I147" s="138">
        <f>G147</f>
        <v>118564</v>
      </c>
      <c r="J147" s="138">
        <f t="shared" si="149"/>
        <v>13058198.52</v>
      </c>
      <c r="K147" s="138">
        <f t="shared" si="150"/>
        <v>0</v>
      </c>
      <c r="L147" s="183">
        <v>0</v>
      </c>
      <c r="M147" s="138">
        <v>4515972</v>
      </c>
      <c r="N147" s="138">
        <f>M147+3860592</f>
        <v>8376564</v>
      </c>
      <c r="O147" s="138">
        <f>N147+873061</f>
        <v>9249625</v>
      </c>
      <c r="P147" s="138">
        <f>O147+291627</f>
        <v>9541252</v>
      </c>
      <c r="Q147" s="138">
        <f>P147+904984</f>
        <v>10446236</v>
      </c>
      <c r="R147" s="138">
        <f>Q147+18592</f>
        <v>10464828</v>
      </c>
      <c r="S147" s="138">
        <f>R147+891990</f>
        <v>11356818</v>
      </c>
      <c r="T147" s="138">
        <f>S147+2228096</f>
        <v>13584914</v>
      </c>
      <c r="U147" s="138">
        <f>T147+678550</f>
        <v>14263464</v>
      </c>
      <c r="V147" s="138">
        <f>U147+1178020</f>
        <v>15441484</v>
      </c>
      <c r="W147" s="138">
        <f>V147+1326070</f>
        <v>16767554</v>
      </c>
      <c r="X147" s="188">
        <v>89638</v>
      </c>
      <c r="Y147" s="187">
        <v>30688832</v>
      </c>
      <c r="Z147" s="189">
        <v>0</v>
      </c>
      <c r="AA147" s="188">
        <f t="shared" si="158"/>
        <v>13921278</v>
      </c>
      <c r="AB147" s="188">
        <f t="shared" si="159"/>
        <v>-89638</v>
      </c>
      <c r="AC147" s="98">
        <v>0</v>
      </c>
      <c r="AD147" s="241">
        <v>2294842</v>
      </c>
      <c r="AE147" s="241">
        <v>4559840</v>
      </c>
      <c r="AF147" s="241">
        <v>5154511</v>
      </c>
      <c r="AG147" s="98">
        <v>18018</v>
      </c>
      <c r="AH147" s="89">
        <v>5196889</v>
      </c>
      <c r="AI147" s="91">
        <v>0</v>
      </c>
      <c r="AJ147" s="88">
        <f t="shared" si="161"/>
        <v>42378</v>
      </c>
      <c r="AK147" s="88">
        <f t="shared" si="162"/>
        <v>-18018</v>
      </c>
      <c r="AL147" s="85">
        <f t="shared" si="151"/>
        <v>44100639</v>
      </c>
      <c r="AM147" s="85">
        <f t="shared" si="152"/>
        <v>226220</v>
      </c>
      <c r="AN147" s="52"/>
      <c r="AO147" s="17"/>
      <c r="AP147" s="52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</row>
    <row r="148" spans="1:154" s="55" customFormat="1" ht="84.75" customHeight="1">
      <c r="A148" s="250" t="s">
        <v>277</v>
      </c>
      <c r="B148" s="250" t="s">
        <v>278</v>
      </c>
      <c r="C148" s="183">
        <v>9343036.316172</v>
      </c>
      <c r="D148" s="183">
        <v>9343036.316172</v>
      </c>
      <c r="E148" s="231">
        <v>8839781</v>
      </c>
      <c r="F148" s="252">
        <v>379877</v>
      </c>
      <c r="G148" s="252">
        <v>13004</v>
      </c>
      <c r="H148" s="231">
        <v>383286</v>
      </c>
      <c r="I148" s="231">
        <v>9571</v>
      </c>
      <c r="J148" s="231">
        <v>3409</v>
      </c>
      <c r="K148" s="231">
        <v>-3433</v>
      </c>
      <c r="L148" s="251">
        <v>0</v>
      </c>
      <c r="M148" s="231">
        <v>0</v>
      </c>
      <c r="N148" s="231">
        <v>0</v>
      </c>
      <c r="O148" s="231">
        <v>0</v>
      </c>
      <c r="P148" s="231">
        <v>0</v>
      </c>
      <c r="Q148" s="231">
        <v>0</v>
      </c>
      <c r="R148" s="231">
        <v>0</v>
      </c>
      <c r="S148" s="231">
        <v>0</v>
      </c>
      <c r="T148" s="231">
        <v>0</v>
      </c>
      <c r="U148" s="231">
        <v>0</v>
      </c>
      <c r="V148" s="231">
        <v>0</v>
      </c>
      <c r="W148" s="231">
        <v>0</v>
      </c>
      <c r="X148" s="253">
        <v>0</v>
      </c>
      <c r="Y148" s="252">
        <v>0</v>
      </c>
      <c r="Z148" s="254">
        <v>0</v>
      </c>
      <c r="AA148" s="253">
        <v>0</v>
      </c>
      <c r="AB148" s="253">
        <v>0</v>
      </c>
      <c r="AC148" s="231">
        <v>0</v>
      </c>
      <c r="AD148" s="231">
        <v>0</v>
      </c>
      <c r="AE148" s="231">
        <v>0</v>
      </c>
      <c r="AF148" s="231">
        <v>0</v>
      </c>
      <c r="AG148" s="231">
        <v>0</v>
      </c>
      <c r="AH148" s="135">
        <v>0</v>
      </c>
      <c r="AI148" s="136">
        <v>0</v>
      </c>
      <c r="AJ148" s="137">
        <v>0</v>
      </c>
      <c r="AK148" s="137">
        <v>0</v>
      </c>
      <c r="AL148" s="129">
        <v>383286</v>
      </c>
      <c r="AM148" s="129">
        <v>9571</v>
      </c>
      <c r="AN148" s="51"/>
      <c r="AO148" s="51"/>
      <c r="AP148" s="58"/>
      <c r="AQ148" s="51"/>
      <c r="AR148" s="51"/>
      <c r="AS148" s="51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54"/>
      <c r="CO148" s="54"/>
      <c r="CP148" s="54"/>
      <c r="CQ148" s="54"/>
      <c r="CR148" s="54"/>
      <c r="CS148" s="54"/>
      <c r="CT148" s="54"/>
      <c r="CU148" s="54"/>
      <c r="CV148" s="54"/>
      <c r="CW148" s="54"/>
      <c r="CX148" s="54"/>
      <c r="CY148" s="54"/>
      <c r="CZ148" s="54"/>
      <c r="DA148" s="54"/>
      <c r="DB148" s="54"/>
      <c r="DC148" s="54"/>
      <c r="DD148" s="54"/>
      <c r="DE148" s="54"/>
      <c r="DF148" s="54"/>
      <c r="DG148" s="54"/>
      <c r="DH148" s="54"/>
      <c r="DI148" s="54"/>
      <c r="DJ148" s="54"/>
      <c r="DK148" s="54"/>
      <c r="DL148" s="54"/>
      <c r="DM148" s="54"/>
      <c r="DN148" s="54"/>
      <c r="DO148" s="54"/>
      <c r="DP148" s="54"/>
      <c r="DQ148" s="54"/>
      <c r="DR148" s="54"/>
      <c r="DS148" s="54"/>
      <c r="DT148" s="54"/>
      <c r="DU148" s="54"/>
      <c r="DV148" s="54"/>
      <c r="DW148" s="54"/>
      <c r="DX148" s="54"/>
      <c r="DY148" s="54"/>
      <c r="DZ148" s="54"/>
      <c r="EA148" s="54"/>
      <c r="EB148" s="54"/>
      <c r="EC148" s="54"/>
      <c r="ED148" s="54"/>
      <c r="EE148" s="54"/>
      <c r="EF148" s="54"/>
      <c r="EG148" s="54"/>
      <c r="EH148" s="54"/>
      <c r="EI148" s="54"/>
      <c r="EJ148" s="54"/>
      <c r="EK148" s="54"/>
      <c r="EL148" s="54"/>
      <c r="EM148" s="54"/>
      <c r="EN148" s="54"/>
      <c r="EO148" s="54"/>
      <c r="EP148" s="54"/>
      <c r="EQ148" s="54"/>
      <c r="ER148" s="54"/>
      <c r="ES148" s="54"/>
      <c r="ET148" s="54"/>
      <c r="EU148" s="54"/>
      <c r="EV148" s="54"/>
      <c r="EW148" s="54"/>
      <c r="EX148" s="54"/>
    </row>
    <row r="149" spans="1:154" s="55" customFormat="1" ht="228" customHeight="1">
      <c r="A149" s="250" t="s">
        <v>279</v>
      </c>
      <c r="B149" s="250" t="s">
        <v>280</v>
      </c>
      <c r="C149" s="183">
        <v>9000871.9719479997</v>
      </c>
      <c r="D149" s="183">
        <v>9000871.9719479997</v>
      </c>
      <c r="E149" s="231">
        <v>2000005</v>
      </c>
      <c r="F149" s="252">
        <v>990564</v>
      </c>
      <c r="G149" s="252">
        <v>0</v>
      </c>
      <c r="H149" s="231">
        <v>1232968</v>
      </c>
      <c r="I149" s="231"/>
      <c r="J149" s="231">
        <v>242404</v>
      </c>
      <c r="K149" s="231">
        <v>0</v>
      </c>
      <c r="L149" s="251">
        <v>500002</v>
      </c>
      <c r="M149" s="231">
        <v>500002</v>
      </c>
      <c r="N149" s="231">
        <v>500002</v>
      </c>
      <c r="O149" s="231">
        <v>500002</v>
      </c>
      <c r="P149" s="231">
        <v>500002</v>
      </c>
      <c r="Q149" s="231">
        <v>2155488</v>
      </c>
      <c r="R149" s="231">
        <v>3913796</v>
      </c>
      <c r="S149" s="231">
        <v>4088534</v>
      </c>
      <c r="T149" s="231">
        <v>4088534</v>
      </c>
      <c r="U149" s="231">
        <v>4088534</v>
      </c>
      <c r="V149" s="231">
        <v>4088534</v>
      </c>
      <c r="W149" s="231">
        <v>4088534</v>
      </c>
      <c r="X149" s="253">
        <v>0</v>
      </c>
      <c r="Y149" s="252">
        <v>3000003</v>
      </c>
      <c r="Z149" s="254">
        <v>0</v>
      </c>
      <c r="AA149" s="253">
        <v>-1088530</v>
      </c>
      <c r="AB149" s="253">
        <v>0</v>
      </c>
      <c r="AC149" s="231">
        <v>995436</v>
      </c>
      <c r="AD149" s="231">
        <v>2358602</v>
      </c>
      <c r="AE149" s="231">
        <v>2358602</v>
      </c>
      <c r="AF149" s="231">
        <v>2358602</v>
      </c>
      <c r="AG149" s="231">
        <v>0</v>
      </c>
      <c r="AH149" s="135">
        <v>2236612</v>
      </c>
      <c r="AI149" s="136">
        <v>0</v>
      </c>
      <c r="AJ149" s="137">
        <v>-121990</v>
      </c>
      <c r="AK149" s="137">
        <v>0</v>
      </c>
      <c r="AL149" s="129">
        <v>7680104</v>
      </c>
      <c r="AM149" s="129">
        <v>0</v>
      </c>
      <c r="AN149" s="51"/>
      <c r="AO149" s="51"/>
      <c r="AP149" s="58"/>
      <c r="AQ149" s="51"/>
      <c r="AR149" s="51"/>
      <c r="AS149" s="51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54"/>
      <c r="DB149" s="54"/>
      <c r="DC149" s="54"/>
      <c r="DD149" s="54"/>
      <c r="DE149" s="54"/>
      <c r="DF149" s="54"/>
      <c r="DG149" s="54"/>
      <c r="DH149" s="54"/>
      <c r="DI149" s="54"/>
      <c r="DJ149" s="54"/>
      <c r="DK149" s="54"/>
      <c r="DL149" s="54"/>
      <c r="DM149" s="54"/>
      <c r="DN149" s="54"/>
      <c r="DO149" s="54"/>
      <c r="DP149" s="54"/>
      <c r="DQ149" s="54"/>
      <c r="DR149" s="54"/>
      <c r="DS149" s="54"/>
      <c r="DT149" s="54"/>
      <c r="DU149" s="54"/>
      <c r="DV149" s="54"/>
      <c r="DW149" s="54"/>
      <c r="DX149" s="54"/>
      <c r="DY149" s="54"/>
      <c r="DZ149" s="54"/>
      <c r="EA149" s="54"/>
      <c r="EB149" s="54"/>
      <c r="EC149" s="54"/>
      <c r="ED149" s="54"/>
      <c r="EE149" s="54"/>
      <c r="EF149" s="54"/>
      <c r="EG149" s="54"/>
      <c r="EH149" s="54"/>
      <c r="EI149" s="54"/>
      <c r="EJ149" s="54"/>
      <c r="EK149" s="54"/>
      <c r="EL149" s="54"/>
      <c r="EM149" s="54"/>
      <c r="EN149" s="54"/>
      <c r="EO149" s="54"/>
      <c r="EP149" s="54"/>
      <c r="EQ149" s="54"/>
      <c r="ER149" s="54"/>
      <c r="ES149" s="54"/>
      <c r="ET149" s="54"/>
      <c r="EU149" s="54"/>
      <c r="EV149" s="54"/>
      <c r="EW149" s="54"/>
      <c r="EX149" s="54"/>
    </row>
    <row r="150" spans="1:154" s="19" customFormat="1" ht="64.5" customHeight="1">
      <c r="A150" s="182" t="s">
        <v>281</v>
      </c>
      <c r="B150" s="182" t="s">
        <v>282</v>
      </c>
      <c r="C150" s="183">
        <v>3473578.5494280001</v>
      </c>
      <c r="D150" s="183">
        <v>3473578.5494280001</v>
      </c>
      <c r="E150" s="138">
        <v>3473577.68</v>
      </c>
      <c r="F150" s="187">
        <v>0</v>
      </c>
      <c r="G150" s="187">
        <v>0</v>
      </c>
      <c r="H150" s="138">
        <v>0</v>
      </c>
      <c r="I150" s="138">
        <v>0</v>
      </c>
      <c r="J150" s="138">
        <f t="shared" ref="J150:K157" si="173">H150-F150</f>
        <v>0</v>
      </c>
      <c r="K150" s="138">
        <f t="shared" si="173"/>
        <v>0</v>
      </c>
      <c r="L150" s="183">
        <v>0</v>
      </c>
      <c r="M150" s="138">
        <v>0</v>
      </c>
      <c r="N150" s="138">
        <v>0</v>
      </c>
      <c r="O150" s="138">
        <v>0</v>
      </c>
      <c r="P150" s="138">
        <v>0</v>
      </c>
      <c r="Q150" s="138">
        <v>0</v>
      </c>
      <c r="R150" s="138">
        <v>0</v>
      </c>
      <c r="S150" s="138">
        <v>0</v>
      </c>
      <c r="T150" s="138">
        <v>0</v>
      </c>
      <c r="U150" s="138">
        <v>0</v>
      </c>
      <c r="V150" s="138">
        <v>0</v>
      </c>
      <c r="W150" s="138">
        <v>0</v>
      </c>
      <c r="X150" s="188">
        <v>0</v>
      </c>
      <c r="Y150" s="187">
        <v>0</v>
      </c>
      <c r="Z150" s="189">
        <v>0</v>
      </c>
      <c r="AA150" s="188">
        <f t="shared" ref="AA150:AA157" si="174">Y150-W150</f>
        <v>0</v>
      </c>
      <c r="AB150" s="188">
        <f t="shared" ref="AB150:AB157" si="175">Z150-X150</f>
        <v>0</v>
      </c>
      <c r="AC150" s="138">
        <v>0</v>
      </c>
      <c r="AD150" s="138">
        <v>0</v>
      </c>
      <c r="AE150" s="138">
        <v>0</v>
      </c>
      <c r="AF150" s="138">
        <v>0</v>
      </c>
      <c r="AG150" s="138">
        <v>0</v>
      </c>
      <c r="AH150" s="86">
        <v>0</v>
      </c>
      <c r="AI150" s="87">
        <v>0</v>
      </c>
      <c r="AJ150" s="88">
        <f t="shared" ref="AJ150:AK157" si="176">AH150-AF150</f>
        <v>0</v>
      </c>
      <c r="AK150" s="88">
        <f t="shared" si="176"/>
        <v>0</v>
      </c>
      <c r="AL150" s="85">
        <f t="shared" ref="AL150:AM157" si="177">H150+W150+AF150</f>
        <v>0</v>
      </c>
      <c r="AM150" s="85">
        <f t="shared" si="177"/>
        <v>0</v>
      </c>
      <c r="AN150" s="52"/>
      <c r="AO150" s="17"/>
      <c r="AP150"/>
      <c r="AQ150" s="52"/>
      <c r="AR150" s="52"/>
      <c r="AS150" s="53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</row>
    <row r="151" spans="1:154" s="19" customFormat="1" ht="37.5">
      <c r="A151" s="182" t="s">
        <v>283</v>
      </c>
      <c r="B151" s="182" t="s">
        <v>284</v>
      </c>
      <c r="C151" s="183">
        <v>14056080</v>
      </c>
      <c r="D151" s="183">
        <v>14056080</v>
      </c>
      <c r="E151" s="138">
        <v>5155937.95</v>
      </c>
      <c r="F151" s="187">
        <v>4603335</v>
      </c>
      <c r="G151" s="187">
        <v>0</v>
      </c>
      <c r="H151" s="138">
        <v>6271971</v>
      </c>
      <c r="I151" s="138">
        <f>G151</f>
        <v>0</v>
      </c>
      <c r="J151" s="138">
        <f t="shared" si="173"/>
        <v>1668636</v>
      </c>
      <c r="K151" s="138">
        <f t="shared" si="173"/>
        <v>0</v>
      </c>
      <c r="L151" s="183">
        <v>0</v>
      </c>
      <c r="M151" s="138">
        <v>0</v>
      </c>
      <c r="N151" s="138">
        <f t="shared" ref="N151:S151" si="178">M151</f>
        <v>0</v>
      </c>
      <c r="O151" s="138">
        <f t="shared" si="178"/>
        <v>0</v>
      </c>
      <c r="P151" s="138">
        <f t="shared" si="178"/>
        <v>0</v>
      </c>
      <c r="Q151" s="138">
        <f t="shared" si="178"/>
        <v>0</v>
      </c>
      <c r="R151" s="138">
        <f t="shared" si="178"/>
        <v>0</v>
      </c>
      <c r="S151" s="138">
        <f t="shared" si="178"/>
        <v>0</v>
      </c>
      <c r="T151" s="138">
        <v>0</v>
      </c>
      <c r="U151" s="138">
        <v>0</v>
      </c>
      <c r="V151" s="138">
        <v>1925699</v>
      </c>
      <c r="W151" s="138">
        <f>V151+702472</f>
        <v>2628171</v>
      </c>
      <c r="X151" s="188">
        <v>0</v>
      </c>
      <c r="Y151" s="187">
        <v>4296807</v>
      </c>
      <c r="Z151" s="189">
        <v>0</v>
      </c>
      <c r="AA151" s="188">
        <f t="shared" si="174"/>
        <v>1668636</v>
      </c>
      <c r="AB151" s="188">
        <f t="shared" si="175"/>
        <v>0</v>
      </c>
      <c r="AC151" s="138">
        <v>0</v>
      </c>
      <c r="AD151" s="138">
        <v>0</v>
      </c>
      <c r="AE151" s="138">
        <v>0</v>
      </c>
      <c r="AF151" s="138">
        <v>0</v>
      </c>
      <c r="AG151" s="138">
        <v>0</v>
      </c>
      <c r="AH151" s="86">
        <v>0</v>
      </c>
      <c r="AI151" s="87">
        <v>0</v>
      </c>
      <c r="AJ151" s="88">
        <f t="shared" si="176"/>
        <v>0</v>
      </c>
      <c r="AK151" s="88">
        <f t="shared" si="176"/>
        <v>0</v>
      </c>
      <c r="AL151" s="85">
        <f t="shared" si="177"/>
        <v>8900142</v>
      </c>
      <c r="AM151" s="85">
        <f t="shared" si="177"/>
        <v>0</v>
      </c>
      <c r="AN151" s="52"/>
      <c r="AO151" s="17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</row>
    <row r="152" spans="1:154" s="19" customFormat="1" ht="132" customHeight="1">
      <c r="A152" s="182" t="s">
        <v>285</v>
      </c>
      <c r="B152" s="182" t="s">
        <v>286</v>
      </c>
      <c r="C152" s="183">
        <v>16188733.115567999</v>
      </c>
      <c r="D152" s="183">
        <v>16188733.115567999</v>
      </c>
      <c r="E152" s="138">
        <v>0</v>
      </c>
      <c r="F152" s="187">
        <v>4705475</v>
      </c>
      <c r="G152" s="187">
        <v>0</v>
      </c>
      <c r="H152" s="138">
        <v>685715</v>
      </c>
      <c r="I152" s="138">
        <v>0</v>
      </c>
      <c r="J152" s="138">
        <f t="shared" si="173"/>
        <v>-4019760</v>
      </c>
      <c r="K152" s="138">
        <f t="shared" si="173"/>
        <v>0</v>
      </c>
      <c r="L152" s="183">
        <v>0</v>
      </c>
      <c r="M152" s="138">
        <v>0</v>
      </c>
      <c r="N152" s="138">
        <v>3249938</v>
      </c>
      <c r="O152" s="138">
        <f>N152</f>
        <v>3249938</v>
      </c>
      <c r="P152" s="138">
        <f>O152</f>
        <v>3249938</v>
      </c>
      <c r="Q152" s="138">
        <f>N152+372796</f>
        <v>3622734</v>
      </c>
      <c r="R152" s="138">
        <f>Q152</f>
        <v>3622734</v>
      </c>
      <c r="S152" s="138">
        <f>R152</f>
        <v>3622734</v>
      </c>
      <c r="T152" s="138">
        <f>S152+2426091</f>
        <v>6048825</v>
      </c>
      <c r="U152" s="138">
        <f>T152</f>
        <v>6048825</v>
      </c>
      <c r="V152" s="138">
        <f>U152+3922105</f>
        <v>9970930</v>
      </c>
      <c r="W152" s="138">
        <f>V152</f>
        <v>9970930</v>
      </c>
      <c r="X152" s="188">
        <v>0</v>
      </c>
      <c r="Y152" s="187">
        <v>7357875</v>
      </c>
      <c r="Z152" s="189">
        <v>0</v>
      </c>
      <c r="AA152" s="188">
        <f t="shared" si="174"/>
        <v>-2613055</v>
      </c>
      <c r="AB152" s="188">
        <f t="shared" si="175"/>
        <v>0</v>
      </c>
      <c r="AC152" s="138">
        <v>3913217</v>
      </c>
      <c r="AD152" s="138">
        <f>AC152</f>
        <v>3913217</v>
      </c>
      <c r="AE152" s="138">
        <f>AD152+1618871</f>
        <v>5532088</v>
      </c>
      <c r="AF152" s="138">
        <f>AE152</f>
        <v>5532088</v>
      </c>
      <c r="AG152" s="138">
        <v>0</v>
      </c>
      <c r="AH152" s="86">
        <v>4125383</v>
      </c>
      <c r="AI152" s="87">
        <v>0</v>
      </c>
      <c r="AJ152" s="88">
        <f t="shared" si="176"/>
        <v>-1406705</v>
      </c>
      <c r="AK152" s="88">
        <f t="shared" si="176"/>
        <v>0</v>
      </c>
      <c r="AL152" s="85">
        <f t="shared" si="177"/>
        <v>16188733</v>
      </c>
      <c r="AM152" s="85">
        <f t="shared" si="177"/>
        <v>0</v>
      </c>
      <c r="AN152" s="52"/>
      <c r="AO152" s="17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</row>
    <row r="153" spans="1:154" s="19" customFormat="1" ht="56.25" hidden="1" outlineLevel="1">
      <c r="A153" s="182" t="s">
        <v>287</v>
      </c>
      <c r="B153" s="182" t="s">
        <v>288</v>
      </c>
      <c r="C153" s="183">
        <v>0</v>
      </c>
      <c r="D153" s="183">
        <v>0</v>
      </c>
      <c r="E153" s="138">
        <v>0</v>
      </c>
      <c r="F153" s="187">
        <v>0</v>
      </c>
      <c r="G153" s="187">
        <v>0</v>
      </c>
      <c r="H153" s="138">
        <v>0</v>
      </c>
      <c r="I153" s="138">
        <v>0</v>
      </c>
      <c r="J153" s="138">
        <f t="shared" si="173"/>
        <v>0</v>
      </c>
      <c r="K153" s="138">
        <f t="shared" si="173"/>
        <v>0</v>
      </c>
      <c r="L153" s="183">
        <v>0</v>
      </c>
      <c r="M153" s="138">
        <v>0</v>
      </c>
      <c r="N153" s="138">
        <v>0</v>
      </c>
      <c r="O153" s="138">
        <v>0</v>
      </c>
      <c r="P153" s="231">
        <v>0</v>
      </c>
      <c r="Q153" s="138">
        <v>0</v>
      </c>
      <c r="R153" s="138">
        <v>0</v>
      </c>
      <c r="S153" s="138">
        <v>0</v>
      </c>
      <c r="T153" s="138">
        <v>0</v>
      </c>
      <c r="U153" s="138">
        <v>0</v>
      </c>
      <c r="V153" s="138">
        <v>0</v>
      </c>
      <c r="W153" s="138">
        <v>0</v>
      </c>
      <c r="X153" s="188">
        <v>0</v>
      </c>
      <c r="Y153" s="187">
        <v>0</v>
      </c>
      <c r="Z153" s="189">
        <v>0</v>
      </c>
      <c r="AA153" s="188">
        <f t="shared" si="174"/>
        <v>0</v>
      </c>
      <c r="AB153" s="188">
        <f t="shared" si="175"/>
        <v>0</v>
      </c>
      <c r="AC153" s="138">
        <v>0</v>
      </c>
      <c r="AD153" s="138">
        <v>0</v>
      </c>
      <c r="AE153" s="138">
        <v>0</v>
      </c>
      <c r="AF153" s="138">
        <v>0</v>
      </c>
      <c r="AG153" s="138">
        <v>0</v>
      </c>
      <c r="AH153" s="86">
        <v>0</v>
      </c>
      <c r="AI153" s="87">
        <v>0</v>
      </c>
      <c r="AJ153" s="88">
        <f t="shared" si="176"/>
        <v>0</v>
      </c>
      <c r="AK153" s="88">
        <f t="shared" si="176"/>
        <v>0</v>
      </c>
      <c r="AL153" s="85">
        <f t="shared" si="177"/>
        <v>0</v>
      </c>
      <c r="AM153" s="85">
        <f t="shared" si="177"/>
        <v>0</v>
      </c>
      <c r="AN153" s="52"/>
      <c r="AO153" s="17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</row>
    <row r="154" spans="1:154" s="19" customFormat="1" ht="87.75" hidden="1" customHeight="1" outlineLevel="1">
      <c r="A154" s="182" t="s">
        <v>289</v>
      </c>
      <c r="B154" s="182" t="s">
        <v>290</v>
      </c>
      <c r="C154" s="183">
        <v>0</v>
      </c>
      <c r="D154" s="183">
        <v>0</v>
      </c>
      <c r="E154" s="138">
        <v>0</v>
      </c>
      <c r="F154" s="187">
        <v>0</v>
      </c>
      <c r="G154" s="187">
        <v>0</v>
      </c>
      <c r="H154" s="138">
        <v>0</v>
      </c>
      <c r="I154" s="138">
        <v>0</v>
      </c>
      <c r="J154" s="138">
        <f t="shared" si="173"/>
        <v>0</v>
      </c>
      <c r="K154" s="138">
        <f t="shared" si="173"/>
        <v>0</v>
      </c>
      <c r="L154" s="183">
        <v>0</v>
      </c>
      <c r="M154" s="138">
        <v>0</v>
      </c>
      <c r="N154" s="138">
        <v>0</v>
      </c>
      <c r="O154" s="138">
        <v>0</v>
      </c>
      <c r="P154" s="231">
        <v>0</v>
      </c>
      <c r="Q154" s="138">
        <v>0</v>
      </c>
      <c r="R154" s="138">
        <v>0</v>
      </c>
      <c r="S154" s="138">
        <v>0</v>
      </c>
      <c r="T154" s="138">
        <v>0</v>
      </c>
      <c r="U154" s="138">
        <v>0</v>
      </c>
      <c r="V154" s="138">
        <v>0</v>
      </c>
      <c r="W154" s="138">
        <v>0</v>
      </c>
      <c r="X154" s="188">
        <v>0</v>
      </c>
      <c r="Y154" s="187">
        <v>0</v>
      </c>
      <c r="Z154" s="189">
        <v>0</v>
      </c>
      <c r="AA154" s="188">
        <f t="shared" si="174"/>
        <v>0</v>
      </c>
      <c r="AB154" s="188">
        <f t="shared" si="175"/>
        <v>0</v>
      </c>
      <c r="AC154" s="138">
        <v>0</v>
      </c>
      <c r="AD154" s="138">
        <v>0</v>
      </c>
      <c r="AE154" s="138">
        <v>0</v>
      </c>
      <c r="AF154" s="138">
        <v>0</v>
      </c>
      <c r="AG154" s="138">
        <v>0</v>
      </c>
      <c r="AH154" s="86">
        <v>0</v>
      </c>
      <c r="AI154" s="87">
        <v>0</v>
      </c>
      <c r="AJ154" s="88">
        <f t="shared" si="176"/>
        <v>0</v>
      </c>
      <c r="AK154" s="88">
        <f t="shared" si="176"/>
        <v>0</v>
      </c>
      <c r="AL154" s="85">
        <f t="shared" si="177"/>
        <v>0</v>
      </c>
      <c r="AM154" s="85">
        <f t="shared" si="177"/>
        <v>0</v>
      </c>
      <c r="AN154" s="52"/>
      <c r="AO154" s="17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</row>
    <row r="155" spans="1:154" s="20" customFormat="1" ht="64.5" customHeight="1" collapsed="1">
      <c r="A155" s="178"/>
      <c r="B155" s="194" t="s">
        <v>291</v>
      </c>
      <c r="C155" s="181">
        <f>SUM(C156:C167)</f>
        <v>452200135.1013</v>
      </c>
      <c r="D155" s="181">
        <f>SUM(D156:D167)</f>
        <v>452200135.1013</v>
      </c>
      <c r="E155" s="181">
        <f>SUM(E156:E167)</f>
        <v>276114680.68999994</v>
      </c>
      <c r="F155" s="181">
        <f t="shared" ref="F155:W155" si="179">SUM(F156:F167)</f>
        <v>78250995.230000004</v>
      </c>
      <c r="G155" s="181">
        <v>2812553.3952859999</v>
      </c>
      <c r="H155" s="181">
        <f t="shared" si="179"/>
        <v>77821243.089999989</v>
      </c>
      <c r="I155" s="181">
        <f t="shared" si="179"/>
        <v>3124691.4199999981</v>
      </c>
      <c r="J155" s="181">
        <f t="shared" si="173"/>
        <v>-429752.1400000155</v>
      </c>
      <c r="K155" s="181">
        <f t="shared" si="173"/>
        <v>312138.02471399819</v>
      </c>
      <c r="L155" s="181">
        <f t="shared" si="179"/>
        <v>6044718.9529999997</v>
      </c>
      <c r="M155" s="181">
        <f t="shared" si="179"/>
        <v>16061065.389</v>
      </c>
      <c r="N155" s="181">
        <f t="shared" si="179"/>
        <v>19869503.454</v>
      </c>
      <c r="O155" s="181">
        <f t="shared" si="179"/>
        <v>27269417.605999999</v>
      </c>
      <c r="P155" s="181">
        <f t="shared" si="179"/>
        <v>33029312.442000002</v>
      </c>
      <c r="Q155" s="181">
        <f t="shared" si="179"/>
        <v>35940967.082999997</v>
      </c>
      <c r="R155" s="181">
        <f t="shared" si="179"/>
        <v>42146780.206</v>
      </c>
      <c r="S155" s="181">
        <f t="shared" si="179"/>
        <v>46489723.925999999</v>
      </c>
      <c r="T155" s="181">
        <f t="shared" si="179"/>
        <v>54281464.910000004</v>
      </c>
      <c r="U155" s="181">
        <f t="shared" si="179"/>
        <v>62611158.100000001</v>
      </c>
      <c r="V155" s="181">
        <f t="shared" si="179"/>
        <v>67468780.25999999</v>
      </c>
      <c r="W155" s="181">
        <f t="shared" si="179"/>
        <v>67269903.150000006</v>
      </c>
      <c r="X155" s="181">
        <f t="shared" ref="X155" si="180">SUM(X156:X167)</f>
        <v>11991433.63748</v>
      </c>
      <c r="Y155" s="181">
        <f>SUM(Y158:Y167)</f>
        <v>60064634.82</v>
      </c>
      <c r="Z155" s="181">
        <f>SUM(Z156:Z167)</f>
        <v>338530.848444</v>
      </c>
      <c r="AA155" s="181">
        <f t="shared" si="174"/>
        <v>-7205268.3300000057</v>
      </c>
      <c r="AB155" s="181">
        <f t="shared" si="175"/>
        <v>-11652902.789036</v>
      </c>
      <c r="AC155" s="181">
        <f t="shared" ref="AC155:AG155" si="181">SUM(AC156:AC167)</f>
        <v>25966054.361229997</v>
      </c>
      <c r="AD155" s="181">
        <f t="shared" si="181"/>
        <v>45422722.722460002</v>
      </c>
      <c r="AE155" s="181">
        <f t="shared" si="181"/>
        <v>55155411.003690004</v>
      </c>
      <c r="AF155" s="181">
        <f t="shared" si="181"/>
        <v>62740449.754920006</v>
      </c>
      <c r="AG155" s="181">
        <f t="shared" si="181"/>
        <v>2878867.4576000003</v>
      </c>
      <c r="AH155" s="93">
        <f>SUM(AH156:AH167)</f>
        <v>44238801.098000005</v>
      </c>
      <c r="AI155" s="93">
        <f>SUM(AI158:AI167)</f>
        <v>114295.04773200001</v>
      </c>
      <c r="AJ155" s="94">
        <f t="shared" si="176"/>
        <v>-18501648.656920001</v>
      </c>
      <c r="AK155" s="94">
        <f t="shared" si="176"/>
        <v>-2764572.4098680001</v>
      </c>
      <c r="AL155" s="79">
        <f t="shared" si="177"/>
        <v>207831595.99492002</v>
      </c>
      <c r="AM155" s="79">
        <f t="shared" si="177"/>
        <v>17994992.515079997</v>
      </c>
      <c r="AN155" s="52"/>
      <c r="AO155" s="17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</row>
    <row r="156" spans="1:154" s="19" customFormat="1" ht="115.5" customHeight="1">
      <c r="A156" s="248" t="s">
        <v>292</v>
      </c>
      <c r="B156" s="190" t="s">
        <v>293</v>
      </c>
      <c r="C156" s="183">
        <v>21093929.738231998</v>
      </c>
      <c r="D156" s="183">
        <v>21093929.738231998</v>
      </c>
      <c r="E156" s="98">
        <v>20517107.280000001</v>
      </c>
      <c r="F156" s="191">
        <v>6328249.0800000001</v>
      </c>
      <c r="G156" s="191">
        <v>10100</v>
      </c>
      <c r="H156" s="98">
        <v>5021492.5199999996</v>
      </c>
      <c r="I156" s="98">
        <v>31052</v>
      </c>
      <c r="J156" s="98"/>
      <c r="K156" s="98"/>
      <c r="L156" s="97">
        <v>924767.36</v>
      </c>
      <c r="M156" s="98">
        <v>1266959.26</v>
      </c>
      <c r="N156" s="98">
        <v>1266959.26</v>
      </c>
      <c r="O156" s="98">
        <v>1474889.24</v>
      </c>
      <c r="P156" s="98">
        <v>1712391.69</v>
      </c>
      <c r="Q156" s="98">
        <v>1895764.5699999998</v>
      </c>
      <c r="R156" s="98">
        <v>2098853.0599999996</v>
      </c>
      <c r="S156" s="98">
        <v>2629063.2699999996</v>
      </c>
      <c r="T156" s="98">
        <v>4059851.3</v>
      </c>
      <c r="U156" s="98">
        <v>4059851.3</v>
      </c>
      <c r="V156" s="98">
        <v>4558912.6499999994</v>
      </c>
      <c r="W156" s="98">
        <v>4574642.1399999997</v>
      </c>
      <c r="X156" s="255">
        <v>221000</v>
      </c>
      <c r="Y156" s="191"/>
      <c r="Z156" s="256"/>
      <c r="AA156" s="255"/>
      <c r="AB156" s="255"/>
      <c r="AC156" s="141">
        <v>357877.61</v>
      </c>
      <c r="AD156" s="141">
        <v>652060.53</v>
      </c>
      <c r="AE156" s="141">
        <v>652060.53</v>
      </c>
      <c r="AF156" s="141">
        <v>652060.53</v>
      </c>
      <c r="AG156" s="141">
        <v>32300</v>
      </c>
      <c r="AH156" s="89"/>
      <c r="AI156" s="139"/>
      <c r="AJ156" s="140"/>
      <c r="AK156" s="140"/>
      <c r="AL156" s="47">
        <v>10248195.189999999</v>
      </c>
      <c r="AM156" s="47">
        <v>284352</v>
      </c>
      <c r="AN156" s="52"/>
      <c r="AO156" s="17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</row>
    <row r="157" spans="1:154" s="19" customFormat="1" ht="56.25">
      <c r="A157" s="248" t="s">
        <v>294</v>
      </c>
      <c r="B157" s="190" t="s">
        <v>295</v>
      </c>
      <c r="C157" s="183">
        <v>1804121.0605319999</v>
      </c>
      <c r="D157" s="183">
        <v>1804121.0605319999</v>
      </c>
      <c r="E157" s="98">
        <v>1803828.69</v>
      </c>
      <c r="F157" s="191">
        <v>0</v>
      </c>
      <c r="G157" s="191">
        <v>0</v>
      </c>
      <c r="H157" s="98">
        <v>0</v>
      </c>
      <c r="I157" s="98">
        <v>9680.84</v>
      </c>
      <c r="J157" s="98">
        <f t="shared" si="173"/>
        <v>0</v>
      </c>
      <c r="K157" s="98">
        <f t="shared" si="173"/>
        <v>9680.84</v>
      </c>
      <c r="L157" s="97">
        <v>0</v>
      </c>
      <c r="M157" s="98">
        <v>0</v>
      </c>
      <c r="N157" s="98">
        <v>0</v>
      </c>
      <c r="O157" s="98">
        <v>0</v>
      </c>
      <c r="P157" s="241">
        <v>0</v>
      </c>
      <c r="Q157" s="98">
        <v>0</v>
      </c>
      <c r="R157" s="98">
        <v>0</v>
      </c>
      <c r="S157" s="98">
        <v>0</v>
      </c>
      <c r="T157" s="98">
        <v>0</v>
      </c>
      <c r="U157" s="98">
        <v>0</v>
      </c>
      <c r="V157" s="98">
        <v>0</v>
      </c>
      <c r="W157" s="98">
        <v>0</v>
      </c>
      <c r="X157" s="255">
        <v>0</v>
      </c>
      <c r="Y157" s="191">
        <v>0</v>
      </c>
      <c r="Z157" s="256">
        <v>0</v>
      </c>
      <c r="AA157" s="255">
        <f t="shared" si="174"/>
        <v>0</v>
      </c>
      <c r="AB157" s="255">
        <f t="shared" si="175"/>
        <v>0</v>
      </c>
      <c r="AC157" s="141">
        <v>0</v>
      </c>
      <c r="AD157" s="141">
        <v>0</v>
      </c>
      <c r="AE157" s="141">
        <v>0</v>
      </c>
      <c r="AF157" s="141">
        <v>0</v>
      </c>
      <c r="AG157" s="141">
        <v>0</v>
      </c>
      <c r="AH157" s="89">
        <v>0</v>
      </c>
      <c r="AI157" s="139">
        <v>0</v>
      </c>
      <c r="AJ157" s="140">
        <f t="shared" si="176"/>
        <v>0</v>
      </c>
      <c r="AK157" s="140">
        <f t="shared" si="176"/>
        <v>0</v>
      </c>
      <c r="AL157" s="47">
        <f t="shared" si="177"/>
        <v>0</v>
      </c>
      <c r="AM157" s="47">
        <f t="shared" si="177"/>
        <v>9680.84</v>
      </c>
      <c r="AN157" s="52"/>
      <c r="AO157" s="1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</row>
    <row r="158" spans="1:154" s="19" customFormat="1" ht="113.25" customHeight="1">
      <c r="A158" s="190" t="s">
        <v>296</v>
      </c>
      <c r="B158" s="190" t="s">
        <v>297</v>
      </c>
      <c r="C158" s="183">
        <v>100848003.261924</v>
      </c>
      <c r="D158" s="183">
        <v>100848003.261924</v>
      </c>
      <c r="E158" s="98">
        <v>52040354.409999996</v>
      </c>
      <c r="F158" s="191">
        <v>12871968.359999999</v>
      </c>
      <c r="G158" s="191">
        <v>1526324.5</v>
      </c>
      <c r="H158" s="98">
        <v>18393259.219999999</v>
      </c>
      <c r="I158" s="98">
        <v>1108860.1900000002</v>
      </c>
      <c r="J158" s="98">
        <v>5521290.8599999994</v>
      </c>
      <c r="K158" s="98">
        <v>-417464.30999999982</v>
      </c>
      <c r="L158" s="97">
        <v>802402</v>
      </c>
      <c r="M158" s="98">
        <v>1798756</v>
      </c>
      <c r="N158" s="98">
        <v>2534022</v>
      </c>
      <c r="O158" s="98">
        <v>3368527</v>
      </c>
      <c r="P158" s="241">
        <v>4067497</v>
      </c>
      <c r="Q158" s="98">
        <v>5002698</v>
      </c>
      <c r="R158" s="98">
        <v>6001676</v>
      </c>
      <c r="S158" s="98">
        <v>7098194</v>
      </c>
      <c r="T158" s="98">
        <v>8253161</v>
      </c>
      <c r="U158" s="98">
        <v>9350199</v>
      </c>
      <c r="V158" s="98">
        <v>10491787</v>
      </c>
      <c r="W158" s="98">
        <v>11639513</v>
      </c>
      <c r="X158" s="255">
        <v>1352120</v>
      </c>
      <c r="Y158" s="191">
        <v>14504072.18</v>
      </c>
      <c r="Z158" s="256">
        <v>0</v>
      </c>
      <c r="AA158" s="255">
        <v>2864559.1799999997</v>
      </c>
      <c r="AB158" s="255">
        <v>-1352120</v>
      </c>
      <c r="AC158" s="141">
        <v>2653427</v>
      </c>
      <c r="AD158" s="141">
        <v>5543019</v>
      </c>
      <c r="AE158" s="141">
        <v>8737787</v>
      </c>
      <c r="AF158" s="141">
        <v>9707498</v>
      </c>
      <c r="AG158" s="141">
        <v>1150146.25</v>
      </c>
      <c r="AH158" s="89">
        <v>16607823.140000001</v>
      </c>
      <c r="AI158" s="139">
        <v>0</v>
      </c>
      <c r="AJ158" s="140">
        <v>6900325.1400000006</v>
      </c>
      <c r="AK158" s="140">
        <v>-1150146.25</v>
      </c>
      <c r="AL158" s="47">
        <v>39740270.219999999</v>
      </c>
      <c r="AM158" s="47">
        <v>3611126.4400000004</v>
      </c>
      <c r="AN158" s="52"/>
      <c r="AO158" s="17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</row>
    <row r="159" spans="1:154" s="19" customFormat="1" ht="104.25" customHeight="1">
      <c r="A159" s="190" t="s">
        <v>298</v>
      </c>
      <c r="B159" s="190" t="s">
        <v>299</v>
      </c>
      <c r="C159" s="183">
        <v>96944797.816080004</v>
      </c>
      <c r="D159" s="183">
        <v>96944797.816080004</v>
      </c>
      <c r="E159" s="98">
        <v>40752218.479999997</v>
      </c>
      <c r="F159" s="191">
        <v>13090358.290000001</v>
      </c>
      <c r="G159" s="191">
        <v>635128.89528599998</v>
      </c>
      <c r="H159" s="98">
        <v>12028327</v>
      </c>
      <c r="I159" s="98">
        <v>1252450.2599999979</v>
      </c>
      <c r="J159" s="98">
        <v>872880.70999999903</v>
      </c>
      <c r="K159" s="98">
        <v>617321.36471399793</v>
      </c>
      <c r="L159" s="97">
        <v>1251822.0029999998</v>
      </c>
      <c r="M159" s="98">
        <v>2094668.2789999999</v>
      </c>
      <c r="N159" s="98">
        <v>2872658.324</v>
      </c>
      <c r="O159" s="98">
        <v>4454195.1359999999</v>
      </c>
      <c r="P159" s="241">
        <v>6164966.6119999997</v>
      </c>
      <c r="Q159" s="98">
        <v>7562801.7229999993</v>
      </c>
      <c r="R159" s="98">
        <v>8901628.3629999999</v>
      </c>
      <c r="S159" s="98">
        <v>9991635.6630000006</v>
      </c>
      <c r="T159" s="98">
        <v>11101026.327000001</v>
      </c>
      <c r="U159" s="98">
        <v>12748125.077000001</v>
      </c>
      <c r="V159" s="98">
        <v>14307401.717000002</v>
      </c>
      <c r="W159" s="98">
        <v>16020516.437000003</v>
      </c>
      <c r="X159" s="99">
        <v>640820.65748000017</v>
      </c>
      <c r="Y159" s="191">
        <v>35056238.57</v>
      </c>
      <c r="Z159" s="192">
        <v>338530.848444</v>
      </c>
      <c r="AA159" s="99">
        <v>19035722.132999998</v>
      </c>
      <c r="AB159" s="99">
        <v>-302289.80903600017</v>
      </c>
      <c r="AC159" s="98">
        <v>6745184.0812299997</v>
      </c>
      <c r="AD159" s="98">
        <v>15881496.162459999</v>
      </c>
      <c r="AE159" s="98">
        <v>21998648.243689999</v>
      </c>
      <c r="AF159" s="98">
        <v>28115800.324919999</v>
      </c>
      <c r="AG159" s="98">
        <v>1117571.2076000001</v>
      </c>
      <c r="AH159" s="89">
        <v>18156019.208000001</v>
      </c>
      <c r="AI159" s="91">
        <v>114295.04773200001</v>
      </c>
      <c r="AJ159" s="92">
        <v>-8024869.1169200018</v>
      </c>
      <c r="AK159" s="92">
        <v>-1003276.1598680001</v>
      </c>
      <c r="AL159" s="47">
        <v>56164643.761920005</v>
      </c>
      <c r="AM159" s="47">
        <v>3010842.1250799978</v>
      </c>
      <c r="AN159" s="52"/>
      <c r="AO159" s="17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</row>
    <row r="160" spans="1:154" s="19" customFormat="1" ht="64.5" customHeight="1">
      <c r="A160" s="190" t="s">
        <v>300</v>
      </c>
      <c r="B160" s="190" t="s">
        <v>301</v>
      </c>
      <c r="C160" s="183">
        <v>2550000.6204960002</v>
      </c>
      <c r="D160" s="183">
        <v>2550000.6204960002</v>
      </c>
      <c r="E160" s="98">
        <v>0</v>
      </c>
      <c r="F160" s="191">
        <v>0</v>
      </c>
      <c r="G160" s="191">
        <v>0</v>
      </c>
      <c r="H160" s="98">
        <v>0</v>
      </c>
      <c r="I160" s="98">
        <v>0</v>
      </c>
      <c r="J160" s="98">
        <f t="shared" ref="J160:K163" si="182">H160-F160</f>
        <v>0</v>
      </c>
      <c r="K160" s="98">
        <f t="shared" si="182"/>
        <v>0</v>
      </c>
      <c r="L160" s="97">
        <v>0</v>
      </c>
      <c r="M160" s="98">
        <v>0</v>
      </c>
      <c r="N160" s="98">
        <v>0</v>
      </c>
      <c r="O160" s="98">
        <v>0</v>
      </c>
      <c r="P160" s="241">
        <v>0</v>
      </c>
      <c r="Q160" s="98">
        <v>0</v>
      </c>
      <c r="R160" s="98">
        <v>0</v>
      </c>
      <c r="S160" s="98">
        <v>0</v>
      </c>
      <c r="T160" s="98">
        <v>0</v>
      </c>
      <c r="U160" s="98">
        <v>0</v>
      </c>
      <c r="V160" s="98">
        <v>0</v>
      </c>
      <c r="W160" s="98">
        <v>0</v>
      </c>
      <c r="X160" s="99">
        <v>0</v>
      </c>
      <c r="Y160" s="191">
        <v>1402500</v>
      </c>
      <c r="Z160" s="192">
        <v>0</v>
      </c>
      <c r="AA160" s="99">
        <f>Y160-W160</f>
        <v>1402500</v>
      </c>
      <c r="AB160" s="99">
        <f t="shared" ref="AB160:AB163" si="183">Z160-X160</f>
        <v>0</v>
      </c>
      <c r="AC160" s="98">
        <v>2550001</v>
      </c>
      <c r="AD160" s="98">
        <v>2550001</v>
      </c>
      <c r="AE160" s="98">
        <v>2550001</v>
      </c>
      <c r="AF160" s="98">
        <v>2550001</v>
      </c>
      <c r="AG160" s="98">
        <v>0</v>
      </c>
      <c r="AH160" s="89">
        <v>1147500</v>
      </c>
      <c r="AI160" s="91">
        <v>0</v>
      </c>
      <c r="AJ160" s="92">
        <f t="shared" ref="AJ160:AK163" si="184">AH160-AF160</f>
        <v>-1402501</v>
      </c>
      <c r="AK160" s="92">
        <f t="shared" si="184"/>
        <v>0</v>
      </c>
      <c r="AL160" s="47">
        <f t="shared" ref="AL160:AM163" si="185">H160+W160+AF160</f>
        <v>2550001</v>
      </c>
      <c r="AM160" s="47">
        <f t="shared" si="185"/>
        <v>0</v>
      </c>
      <c r="AN160" s="52"/>
      <c r="AO160" s="17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</row>
    <row r="161" spans="1:154" s="19" customFormat="1" ht="56.25">
      <c r="A161" s="190" t="s">
        <v>302</v>
      </c>
      <c r="B161" s="190" t="s">
        <v>303</v>
      </c>
      <c r="C161" s="183">
        <v>2124999.5800080001</v>
      </c>
      <c r="D161" s="183">
        <v>2124999.5800080001</v>
      </c>
      <c r="E161" s="98">
        <v>0</v>
      </c>
      <c r="F161" s="191">
        <v>1008337</v>
      </c>
      <c r="G161" s="191">
        <v>0</v>
      </c>
      <c r="H161" s="98">
        <v>1008338.53</v>
      </c>
      <c r="I161" s="98">
        <v>0</v>
      </c>
      <c r="J161" s="98">
        <f t="shared" si="182"/>
        <v>1.5300000000279397</v>
      </c>
      <c r="K161" s="98">
        <f t="shared" si="182"/>
        <v>0</v>
      </c>
      <c r="L161" s="97">
        <v>0</v>
      </c>
      <c r="M161" s="98">
        <v>904160</v>
      </c>
      <c r="N161" s="98">
        <v>904160</v>
      </c>
      <c r="O161" s="98">
        <v>904160</v>
      </c>
      <c r="P161" s="98">
        <v>904160</v>
      </c>
      <c r="Q161" s="98">
        <v>904160</v>
      </c>
      <c r="R161" s="98">
        <v>904160</v>
      </c>
      <c r="S161" s="98">
        <v>904160</v>
      </c>
      <c r="T161" s="98">
        <v>904160</v>
      </c>
      <c r="U161" s="98">
        <f>904160+212501</f>
        <v>1116661</v>
      </c>
      <c r="V161" s="98">
        <f t="shared" ref="V161:W161" si="186">904160+212501</f>
        <v>1116661</v>
      </c>
      <c r="W161" s="98">
        <f t="shared" si="186"/>
        <v>1116661</v>
      </c>
      <c r="X161" s="255">
        <v>0</v>
      </c>
      <c r="Y161" s="191">
        <v>1116662</v>
      </c>
      <c r="Z161" s="256">
        <v>0</v>
      </c>
      <c r="AA161" s="255">
        <f>Y161-W161</f>
        <v>1</v>
      </c>
      <c r="AB161" s="255">
        <f t="shared" si="183"/>
        <v>0</v>
      </c>
      <c r="AC161" s="141">
        <v>0</v>
      </c>
      <c r="AD161" s="141">
        <v>0</v>
      </c>
      <c r="AE161" s="141">
        <v>0</v>
      </c>
      <c r="AF161" s="141">
        <v>0</v>
      </c>
      <c r="AG161" s="141">
        <v>0</v>
      </c>
      <c r="AH161" s="89">
        <v>0</v>
      </c>
      <c r="AI161" s="139">
        <v>0</v>
      </c>
      <c r="AJ161" s="140">
        <f t="shared" si="184"/>
        <v>0</v>
      </c>
      <c r="AK161" s="140">
        <f t="shared" si="184"/>
        <v>0</v>
      </c>
      <c r="AL161" s="47">
        <f t="shared" si="185"/>
        <v>2124999.5300000003</v>
      </c>
      <c r="AM161" s="47">
        <f t="shared" si="185"/>
        <v>0</v>
      </c>
      <c r="AN161" s="52"/>
      <c r="AO161" s="17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</row>
    <row r="162" spans="1:154" s="19" customFormat="1" ht="64.5" customHeight="1">
      <c r="A162" s="190" t="s">
        <v>304</v>
      </c>
      <c r="B162" s="190" t="s">
        <v>305</v>
      </c>
      <c r="C162" s="183">
        <v>22696450.065756001</v>
      </c>
      <c r="D162" s="183">
        <v>22696450.065756001</v>
      </c>
      <c r="E162" s="98">
        <v>7766594.21</v>
      </c>
      <c r="F162" s="191">
        <v>3498007.25</v>
      </c>
      <c r="G162" s="191">
        <v>0</v>
      </c>
      <c r="H162" s="98">
        <v>458374.7</v>
      </c>
      <c r="I162" s="98"/>
      <c r="J162" s="98">
        <f t="shared" si="182"/>
        <v>-3039632.55</v>
      </c>
      <c r="K162" s="98">
        <f t="shared" si="182"/>
        <v>0</v>
      </c>
      <c r="L162" s="97">
        <v>0</v>
      </c>
      <c r="M162" s="98">
        <v>0</v>
      </c>
      <c r="N162" s="98">
        <v>0</v>
      </c>
      <c r="O162" s="98">
        <v>0</v>
      </c>
      <c r="P162" s="241">
        <v>0</v>
      </c>
      <c r="Q162" s="98">
        <v>0</v>
      </c>
      <c r="R162" s="98">
        <v>0</v>
      </c>
      <c r="S162" s="98">
        <v>0</v>
      </c>
      <c r="T162" s="98">
        <v>0</v>
      </c>
      <c r="U162" s="98">
        <v>0</v>
      </c>
      <c r="V162" s="98">
        <v>0</v>
      </c>
      <c r="W162" s="98">
        <v>0</v>
      </c>
      <c r="X162" s="255">
        <v>4122857.98</v>
      </c>
      <c r="Y162" s="191">
        <v>4946829.04</v>
      </c>
      <c r="Z162" s="256">
        <v>0</v>
      </c>
      <c r="AA162" s="255">
        <f>Y162-W162</f>
        <v>4946829.04</v>
      </c>
      <c r="AB162" s="255">
        <f t="shared" si="183"/>
        <v>-4122857.98</v>
      </c>
      <c r="AC162" s="141">
        <v>7836436</v>
      </c>
      <c r="AD162" s="141">
        <f>AC162</f>
        <v>7836436</v>
      </c>
      <c r="AE162" s="141">
        <f>AD162</f>
        <v>7836436</v>
      </c>
      <c r="AF162" s="141">
        <f>AE162</f>
        <v>7836436</v>
      </c>
      <c r="AG162" s="141">
        <v>0</v>
      </c>
      <c r="AH162" s="89">
        <v>7156802.5</v>
      </c>
      <c r="AI162" s="139">
        <v>0</v>
      </c>
      <c r="AJ162" s="140">
        <f t="shared" si="184"/>
        <v>-679633.5</v>
      </c>
      <c r="AK162" s="140">
        <f t="shared" si="184"/>
        <v>0</v>
      </c>
      <c r="AL162" s="47">
        <f t="shared" si="185"/>
        <v>8294810.7000000002</v>
      </c>
      <c r="AM162" s="47">
        <f t="shared" si="185"/>
        <v>4122857.98</v>
      </c>
      <c r="AN162" s="52"/>
      <c r="AO162" s="17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</row>
    <row r="163" spans="1:154" s="19" customFormat="1" ht="56.25">
      <c r="A163" s="190" t="s">
        <v>306</v>
      </c>
      <c r="B163" s="190" t="s">
        <v>307</v>
      </c>
      <c r="C163" s="183">
        <v>6881321.9341559997</v>
      </c>
      <c r="D163" s="183">
        <v>6881321.9341559997</v>
      </c>
      <c r="E163" s="98">
        <v>2305146.9899999998</v>
      </c>
      <c r="F163" s="191">
        <v>1783717.4800000004</v>
      </c>
      <c r="G163" s="191">
        <v>0</v>
      </c>
      <c r="H163" s="98">
        <v>1069196.6000000001</v>
      </c>
      <c r="I163" s="98">
        <v>0</v>
      </c>
      <c r="J163" s="98">
        <f t="shared" si="182"/>
        <v>-714520.88000000035</v>
      </c>
      <c r="K163" s="98">
        <f t="shared" si="182"/>
        <v>0</v>
      </c>
      <c r="L163" s="97">
        <v>17675.68</v>
      </c>
      <c r="M163" s="98">
        <v>168919.78</v>
      </c>
      <c r="N163" s="98">
        <v>168919.78</v>
      </c>
      <c r="O163" s="98">
        <v>504613.78</v>
      </c>
      <c r="P163" s="241">
        <v>555247.80000000005</v>
      </c>
      <c r="Q163" s="98">
        <v>828941.38000000012</v>
      </c>
      <c r="R163" s="98">
        <v>853865.94300000009</v>
      </c>
      <c r="S163" s="98">
        <v>1152585.273</v>
      </c>
      <c r="T163" s="98">
        <v>1222782.263</v>
      </c>
      <c r="U163" s="98">
        <v>1369570.1329999999</v>
      </c>
      <c r="V163" s="98">
        <v>1385294.683</v>
      </c>
      <c r="W163" s="98">
        <v>1385294.683</v>
      </c>
      <c r="X163" s="255">
        <v>0</v>
      </c>
      <c r="Y163" s="191">
        <v>1907336.46</v>
      </c>
      <c r="Z163" s="256">
        <v>0</v>
      </c>
      <c r="AA163" s="255">
        <f>Y163-W163</f>
        <v>522041.777</v>
      </c>
      <c r="AB163" s="255">
        <f t="shared" si="183"/>
        <v>0</v>
      </c>
      <c r="AC163" s="141">
        <v>0</v>
      </c>
      <c r="AD163" s="141">
        <v>2268401.9300000002</v>
      </c>
      <c r="AE163" s="141">
        <v>2268401.9300000002</v>
      </c>
      <c r="AF163" s="141">
        <v>2268401.9300000002</v>
      </c>
      <c r="AG163" s="141">
        <v>0</v>
      </c>
      <c r="AH163" s="89">
        <v>1031839.07</v>
      </c>
      <c r="AI163" s="139">
        <v>0</v>
      </c>
      <c r="AJ163" s="140">
        <f t="shared" si="184"/>
        <v>-1236562.8600000003</v>
      </c>
      <c r="AK163" s="140">
        <f t="shared" si="184"/>
        <v>0</v>
      </c>
      <c r="AL163" s="47">
        <f t="shared" si="185"/>
        <v>4722893.2129999995</v>
      </c>
      <c r="AM163" s="47">
        <f t="shared" si="185"/>
        <v>0</v>
      </c>
      <c r="AN163" s="52"/>
      <c r="AO163" s="17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</row>
    <row r="164" spans="1:154" s="19" customFormat="1" ht="109.5" customHeight="1">
      <c r="A164" s="190" t="s">
        <v>308</v>
      </c>
      <c r="B164" s="190" t="s">
        <v>309</v>
      </c>
      <c r="C164" s="183">
        <v>4332521.0000879997</v>
      </c>
      <c r="D164" s="183">
        <v>4332521.0000879997</v>
      </c>
      <c r="E164" s="98">
        <v>2008889.06</v>
      </c>
      <c r="F164" s="191">
        <v>479317.19000000006</v>
      </c>
      <c r="G164" s="191">
        <v>0</v>
      </c>
      <c r="H164" s="98">
        <v>346418</v>
      </c>
      <c r="I164" s="98">
        <v>34338.129999999997</v>
      </c>
      <c r="J164" s="98">
        <v>7557.8099999999395</v>
      </c>
      <c r="K164" s="98">
        <v>34338.129999999997</v>
      </c>
      <c r="L164" s="97">
        <v>21537</v>
      </c>
      <c r="M164" s="98">
        <v>26886</v>
      </c>
      <c r="N164" s="98">
        <v>31922</v>
      </c>
      <c r="O164" s="98">
        <v>88740</v>
      </c>
      <c r="P164" s="241">
        <v>111633</v>
      </c>
      <c r="Q164" s="98">
        <v>148216</v>
      </c>
      <c r="R164" s="98">
        <v>298205</v>
      </c>
      <c r="S164" s="98">
        <v>343990</v>
      </c>
      <c r="T164" s="98">
        <v>572132</v>
      </c>
      <c r="U164" s="98">
        <v>614775</v>
      </c>
      <c r="V164" s="98">
        <v>797452</v>
      </c>
      <c r="W164" s="98">
        <v>797452</v>
      </c>
      <c r="X164" s="255">
        <v>0</v>
      </c>
      <c r="Y164" s="191">
        <v>886996.57</v>
      </c>
      <c r="Z164" s="256">
        <v>0</v>
      </c>
      <c r="AA164" s="255">
        <v>89544.569999999949</v>
      </c>
      <c r="AB164" s="255">
        <v>0</v>
      </c>
      <c r="AC164" s="141">
        <v>838820</v>
      </c>
      <c r="AD164" s="141">
        <v>1359841</v>
      </c>
      <c r="AE164" s="141">
        <v>1359841</v>
      </c>
      <c r="AF164" s="141">
        <v>1359841</v>
      </c>
      <c r="AG164" s="141">
        <v>0</v>
      </c>
      <c r="AH164" s="89">
        <v>138817.18</v>
      </c>
      <c r="AI164" s="139">
        <v>0</v>
      </c>
      <c r="AJ164" s="140">
        <v>-1080567.06</v>
      </c>
      <c r="AK164" s="140">
        <v>0</v>
      </c>
      <c r="AL164" s="47">
        <v>2503711.2400000002</v>
      </c>
      <c r="AM164" s="47">
        <v>34338.129999999997</v>
      </c>
      <c r="AN164" s="52"/>
      <c r="AO164" s="17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</row>
    <row r="165" spans="1:154" s="19" customFormat="1" ht="123.75" customHeight="1">
      <c r="A165" s="190" t="s">
        <v>310</v>
      </c>
      <c r="B165" s="190" t="s">
        <v>311</v>
      </c>
      <c r="C165" s="183">
        <v>177834211.14194399</v>
      </c>
      <c r="D165" s="183">
        <v>177834211.14194399</v>
      </c>
      <c r="E165" s="98">
        <v>144244221.56999999</v>
      </c>
      <c r="F165" s="191">
        <v>26080704.770000003</v>
      </c>
      <c r="G165" s="191">
        <v>600000</v>
      </c>
      <c r="H165" s="98">
        <v>28125634.760000002</v>
      </c>
      <c r="I165" s="98">
        <v>674710</v>
      </c>
      <c r="J165" s="98"/>
      <c r="K165" s="98"/>
      <c r="L165" s="97">
        <v>2095997.08</v>
      </c>
      <c r="M165" s="98">
        <v>8632196.7400000002</v>
      </c>
      <c r="N165" s="98">
        <v>10572411.140000001</v>
      </c>
      <c r="O165" s="98">
        <v>14014714.700000001</v>
      </c>
      <c r="P165" s="98">
        <v>17053838.59</v>
      </c>
      <c r="Q165" s="98">
        <v>17138807.66</v>
      </c>
      <c r="R165" s="98">
        <v>18764780.280000001</v>
      </c>
      <c r="S165" s="98">
        <v>20046484.16</v>
      </c>
      <c r="T165" s="98">
        <v>20464975.23</v>
      </c>
      <c r="U165" s="98">
        <v>24458587.850000001</v>
      </c>
      <c r="V165" s="98">
        <v>25917882.470000003</v>
      </c>
      <c r="W165" s="98">
        <v>22293622.59</v>
      </c>
      <c r="X165" s="255">
        <v>759000</v>
      </c>
      <c r="Y165" s="191"/>
      <c r="Z165" s="256"/>
      <c r="AA165" s="255"/>
      <c r="AB165" s="255"/>
      <c r="AC165" s="141">
        <v>2142914.4500000002</v>
      </c>
      <c r="AD165" s="141">
        <v>4514625.8499999996</v>
      </c>
      <c r="AE165" s="141">
        <v>4914910.3199999994</v>
      </c>
      <c r="AF165" s="141">
        <v>4965281.9899999993</v>
      </c>
      <c r="AG165" s="141">
        <v>496000</v>
      </c>
      <c r="AH165" s="89"/>
      <c r="AI165" s="139"/>
      <c r="AJ165" s="140"/>
      <c r="AK165" s="140"/>
      <c r="AL165" s="47">
        <v>55384539.340000004</v>
      </c>
      <c r="AM165" s="47">
        <v>1929710</v>
      </c>
      <c r="AN165" s="52"/>
      <c r="AO165" s="17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</row>
    <row r="166" spans="1:154" s="19" customFormat="1" ht="64.5" customHeight="1">
      <c r="A166" s="190" t="s">
        <v>312</v>
      </c>
      <c r="B166" s="190" t="s">
        <v>313</v>
      </c>
      <c r="C166" s="183">
        <v>7028040</v>
      </c>
      <c r="D166" s="183">
        <v>7028040</v>
      </c>
      <c r="E166" s="98">
        <v>1536297.12</v>
      </c>
      <c r="F166" s="191">
        <v>5229551.08</v>
      </c>
      <c r="G166" s="191">
        <v>11000</v>
      </c>
      <c r="H166" s="98">
        <v>1181918.07</v>
      </c>
      <c r="I166" s="98">
        <v>0</v>
      </c>
      <c r="J166" s="98">
        <f t="shared" ref="J166:J191" si="187">H166-F166</f>
        <v>-4047633.01</v>
      </c>
      <c r="K166" s="98">
        <f t="shared" ref="K166:K191" si="188">I166-G166</f>
        <v>-11000</v>
      </c>
      <c r="L166" s="97">
        <v>0</v>
      </c>
      <c r="M166" s="98">
        <v>0</v>
      </c>
      <c r="N166" s="98">
        <v>314186.96000000002</v>
      </c>
      <c r="O166" s="98">
        <f>N166</f>
        <v>314186.96000000002</v>
      </c>
      <c r="P166" s="241">
        <f>O166+0</f>
        <v>314186.96000000002</v>
      </c>
      <c r="Q166" s="98">
        <f>P166+0</f>
        <v>314186.96000000002</v>
      </c>
      <c r="R166" s="98">
        <f>Q166+0</f>
        <v>314186.96000000002</v>
      </c>
      <c r="S166" s="98">
        <f>R166+0</f>
        <v>314186.96000000002</v>
      </c>
      <c r="T166" s="98">
        <f>S166+0</f>
        <v>314186.96000000002</v>
      </c>
      <c r="U166" s="98">
        <f>T166+502535.95</f>
        <v>816722.91</v>
      </c>
      <c r="V166" s="98">
        <f>U166+0</f>
        <v>816722.91</v>
      </c>
      <c r="W166" s="98">
        <f>V166+0</f>
        <v>816722.91</v>
      </c>
      <c r="X166" s="255">
        <v>4478040</v>
      </c>
      <c r="Y166" s="191">
        <v>244000</v>
      </c>
      <c r="Z166" s="256">
        <v>0</v>
      </c>
      <c r="AA166" s="255">
        <f t="shared" ref="AA166:AA191" si="189">Y166-W166</f>
        <v>-572722.91</v>
      </c>
      <c r="AB166" s="255">
        <f t="shared" ref="AB166:AB191" si="190">Z166-X166</f>
        <v>-4478040</v>
      </c>
      <c r="AC166" s="141">
        <v>1969928.4</v>
      </c>
      <c r="AD166" s="141">
        <f>AC166+1068169.7</f>
        <v>3038098.0999999996</v>
      </c>
      <c r="AE166" s="141">
        <f>AD166+0</f>
        <v>3038098.0999999996</v>
      </c>
      <c r="AF166" s="141">
        <f>AE166+447804</f>
        <v>3485902.0999999996</v>
      </c>
      <c r="AG166" s="141">
        <v>0</v>
      </c>
      <c r="AH166" s="89">
        <v>0</v>
      </c>
      <c r="AI166" s="139">
        <v>0</v>
      </c>
      <c r="AJ166" s="140">
        <f t="shared" ref="AJ166:AJ184" si="191">AH166-AF166</f>
        <v>-3485902.0999999996</v>
      </c>
      <c r="AK166" s="140">
        <f t="shared" ref="AK166:AK184" si="192">AI166-AG166</f>
        <v>0</v>
      </c>
      <c r="AL166" s="47">
        <f t="shared" ref="AL166:AL190" si="193">H166+W166+AF166</f>
        <v>5484543.0800000001</v>
      </c>
      <c r="AM166" s="47">
        <f t="shared" ref="AM166:AM191" si="194">I166+X166+AG166</f>
        <v>4478040</v>
      </c>
      <c r="AN166" s="52"/>
      <c r="AO166" s="17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</row>
    <row r="167" spans="1:154" s="19" customFormat="1" ht="64.5" customHeight="1">
      <c r="A167" s="257" t="s">
        <v>314</v>
      </c>
      <c r="B167" s="257" t="s">
        <v>315</v>
      </c>
      <c r="C167" s="183">
        <v>8061738.8820839999</v>
      </c>
      <c r="D167" s="183">
        <v>8061738.8820839999</v>
      </c>
      <c r="E167" s="98">
        <v>3140022.88</v>
      </c>
      <c r="F167" s="191">
        <v>7880784.7300000004</v>
      </c>
      <c r="G167" s="191">
        <v>30000</v>
      </c>
      <c r="H167" s="98">
        <v>10188283.689999999</v>
      </c>
      <c r="I167" s="98">
        <v>13600</v>
      </c>
      <c r="J167" s="98"/>
      <c r="K167" s="98"/>
      <c r="L167" s="97">
        <v>930517.83000000007</v>
      </c>
      <c r="M167" s="98">
        <v>1168519.33</v>
      </c>
      <c r="N167" s="98">
        <v>1204263.99</v>
      </c>
      <c r="O167" s="98">
        <v>2145390.79</v>
      </c>
      <c r="P167" s="98">
        <v>2145390.79</v>
      </c>
      <c r="Q167" s="98">
        <v>2145390.79</v>
      </c>
      <c r="R167" s="98">
        <v>4009424.5999999996</v>
      </c>
      <c r="S167" s="98">
        <v>4009424.5999999996</v>
      </c>
      <c r="T167" s="98">
        <v>7389189.8300000001</v>
      </c>
      <c r="U167" s="98">
        <v>8076665.8300000001</v>
      </c>
      <c r="V167" s="98">
        <v>8076665.8300000001</v>
      </c>
      <c r="W167" s="98">
        <v>8625478.3900000006</v>
      </c>
      <c r="X167" s="255">
        <v>417595</v>
      </c>
      <c r="Y167" s="191"/>
      <c r="Z167" s="256"/>
      <c r="AA167" s="255"/>
      <c r="AB167" s="255"/>
      <c r="AC167" s="141">
        <v>871465.82</v>
      </c>
      <c r="AD167" s="141">
        <v>1778743.15</v>
      </c>
      <c r="AE167" s="141">
        <v>1799226.88</v>
      </c>
      <c r="AF167" s="141">
        <v>1799226.88</v>
      </c>
      <c r="AG167" s="141">
        <v>82850</v>
      </c>
      <c r="AH167" s="89"/>
      <c r="AI167" s="139"/>
      <c r="AJ167" s="140"/>
      <c r="AK167" s="140"/>
      <c r="AL167" s="47">
        <v>20612988.959999997</v>
      </c>
      <c r="AM167" s="47">
        <v>514045</v>
      </c>
      <c r="AN167" s="52"/>
      <c r="AO167" s="1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</row>
    <row r="168" spans="1:154" s="18" customFormat="1" ht="19.5">
      <c r="A168" s="178"/>
      <c r="B168" s="179" t="s">
        <v>316</v>
      </c>
      <c r="C168" s="180">
        <f t="shared" ref="C168:D168" si="195">SUM(C169:C173)</f>
        <v>145516627.32562801</v>
      </c>
      <c r="D168" s="180">
        <f t="shared" si="195"/>
        <v>145516627.32562801</v>
      </c>
      <c r="E168" s="180">
        <f t="shared" ref="E168:AI168" si="196">SUM(E169:E173)</f>
        <v>91451099.840000004</v>
      </c>
      <c r="F168" s="180">
        <v>22345855.609999999</v>
      </c>
      <c r="G168" s="180">
        <v>271111.48</v>
      </c>
      <c r="H168" s="180">
        <f t="shared" si="196"/>
        <v>22345855.609999999</v>
      </c>
      <c r="I168" s="180">
        <f t="shared" si="196"/>
        <v>1063970.396433973</v>
      </c>
      <c r="J168" s="180">
        <f t="shared" si="187"/>
        <v>0</v>
      </c>
      <c r="K168" s="180">
        <f t="shared" si="188"/>
        <v>792858.91643397301</v>
      </c>
      <c r="L168" s="180">
        <f t="shared" si="196"/>
        <v>635885.77724292735</v>
      </c>
      <c r="M168" s="180">
        <f t="shared" si="196"/>
        <v>1319648.7540187254</v>
      </c>
      <c r="N168" s="180">
        <f t="shared" si="196"/>
        <v>2164340.374968125</v>
      </c>
      <c r="O168" s="180">
        <f t="shared" si="196"/>
        <v>2889940.0081637027</v>
      </c>
      <c r="P168" s="180">
        <f t="shared" si="196"/>
        <v>4114901.2249300294</v>
      </c>
      <c r="Q168" s="180">
        <f t="shared" si="196"/>
        <v>5626205.231990573</v>
      </c>
      <c r="R168" s="180">
        <f t="shared" si="196"/>
        <v>7980589.6862833239</v>
      </c>
      <c r="S168" s="180">
        <f t="shared" si="196"/>
        <v>11445306.09188924</v>
      </c>
      <c r="T168" s="180">
        <f t="shared" si="196"/>
        <v>13763795.891213743</v>
      </c>
      <c r="U168" s="180">
        <f t="shared" si="196"/>
        <v>16358865.352388263</v>
      </c>
      <c r="V168" s="180">
        <f t="shared" si="196"/>
        <v>17495410.044045597</v>
      </c>
      <c r="W168" s="180">
        <f t="shared" si="196"/>
        <v>19831351.230681926</v>
      </c>
      <c r="X168" s="180">
        <f t="shared" ref="X168" si="197">SUM(X169:X173)</f>
        <v>523763.76999999996</v>
      </c>
      <c r="Y168" s="180">
        <f t="shared" si="196"/>
        <v>19813497.430083998</v>
      </c>
      <c r="Z168" s="180">
        <f t="shared" si="196"/>
        <v>251767.03</v>
      </c>
      <c r="AA168" s="180">
        <f t="shared" si="189"/>
        <v>-17853.800597928464</v>
      </c>
      <c r="AB168" s="180">
        <f t="shared" si="190"/>
        <v>-271996.74</v>
      </c>
      <c r="AC168" s="181">
        <f t="shared" ref="AC168:AG168" si="198">SUM(AC169:AC173)</f>
        <v>2924058.9500274835</v>
      </c>
      <c r="AD168" s="181">
        <f t="shared" si="198"/>
        <v>15320003.762552911</v>
      </c>
      <c r="AE168" s="181">
        <f t="shared" si="198"/>
        <v>18250813.502637692</v>
      </c>
      <c r="AF168" s="181">
        <f t="shared" si="198"/>
        <v>18875451.502637692</v>
      </c>
      <c r="AG168" s="181">
        <f t="shared" si="198"/>
        <v>489025.16502731555</v>
      </c>
      <c r="AH168" s="77">
        <f t="shared" si="196"/>
        <v>20341523.550000001</v>
      </c>
      <c r="AI168" s="77">
        <f t="shared" si="196"/>
        <v>305257.3</v>
      </c>
      <c r="AJ168" s="78">
        <f t="shared" si="191"/>
        <v>1466072.0473623089</v>
      </c>
      <c r="AK168" s="78">
        <f t="shared" si="192"/>
        <v>-183767.86502731557</v>
      </c>
      <c r="AL168" s="76">
        <f t="shared" si="193"/>
        <v>61052658.343319617</v>
      </c>
      <c r="AM168" s="76">
        <f t="shared" si="194"/>
        <v>2076759.3314612885</v>
      </c>
      <c r="AN168" s="52"/>
      <c r="AO168" s="17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</row>
    <row r="169" spans="1:154" s="19" customFormat="1" ht="64.5" customHeight="1">
      <c r="A169" s="248" t="s">
        <v>317</v>
      </c>
      <c r="B169" s="190" t="s">
        <v>318</v>
      </c>
      <c r="C169" s="183">
        <v>3552899.820084</v>
      </c>
      <c r="D169" s="183">
        <v>3552899.820084</v>
      </c>
      <c r="E169" s="98">
        <v>564250.94999999995</v>
      </c>
      <c r="F169" s="191">
        <v>1117055.2</v>
      </c>
      <c r="G169" s="191">
        <v>16256.4</v>
      </c>
      <c r="H169" s="98">
        <v>751388.49</v>
      </c>
      <c r="I169" s="98">
        <v>23441.3</v>
      </c>
      <c r="J169" s="98">
        <f t="shared" si="187"/>
        <v>-365666.70999999996</v>
      </c>
      <c r="K169" s="98">
        <f t="shared" si="188"/>
        <v>7184.9</v>
      </c>
      <c r="L169" s="97">
        <v>22823.010000000002</v>
      </c>
      <c r="M169" s="98">
        <v>47211.840000000004</v>
      </c>
      <c r="N169" s="98">
        <v>72813.62000000001</v>
      </c>
      <c r="O169" s="98">
        <v>364249.505</v>
      </c>
      <c r="P169" s="98">
        <v>538754.76</v>
      </c>
      <c r="Q169" s="98">
        <v>705974.97</v>
      </c>
      <c r="R169" s="98">
        <v>880181.255</v>
      </c>
      <c r="S169" s="98">
        <v>1101898.345</v>
      </c>
      <c r="T169" s="98">
        <v>1339452.3700000001</v>
      </c>
      <c r="U169" s="98">
        <v>1466495.59</v>
      </c>
      <c r="V169" s="98">
        <v>1512773.1434240001</v>
      </c>
      <c r="W169" s="98">
        <v>1537447.0134240002</v>
      </c>
      <c r="X169" s="99">
        <v>22805.19</v>
      </c>
      <c r="Y169" s="191">
        <v>1844502.6000840003</v>
      </c>
      <c r="Z169" s="192">
        <v>10834.67</v>
      </c>
      <c r="AA169" s="99">
        <f t="shared" si="189"/>
        <v>307055.58666000003</v>
      </c>
      <c r="AB169" s="99">
        <f t="shared" si="190"/>
        <v>-11970.519999999999</v>
      </c>
      <c r="AC169" s="98">
        <f>AF169/2</f>
        <v>312319</v>
      </c>
      <c r="AD169" s="98">
        <v>624638</v>
      </c>
      <c r="AE169" s="98">
        <v>0</v>
      </c>
      <c r="AF169" s="98">
        <f>AD169</f>
        <v>624638</v>
      </c>
      <c r="AG169" s="98">
        <v>0</v>
      </c>
      <c r="AH169" s="89">
        <v>0</v>
      </c>
      <c r="AI169" s="91">
        <v>0</v>
      </c>
      <c r="AJ169" s="92">
        <f t="shared" si="191"/>
        <v>-624638</v>
      </c>
      <c r="AK169" s="92">
        <f t="shared" si="192"/>
        <v>0</v>
      </c>
      <c r="AL169" s="47">
        <f t="shared" si="193"/>
        <v>2913473.503424</v>
      </c>
      <c r="AM169" s="47">
        <f t="shared" si="194"/>
        <v>46246.49</v>
      </c>
      <c r="AN169" s="52"/>
      <c r="AO169" s="17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</row>
    <row r="170" spans="1:154" s="19" customFormat="1" ht="64.5" customHeight="1">
      <c r="A170" s="248" t="s">
        <v>319</v>
      </c>
      <c r="B170" s="190" t="s">
        <v>320</v>
      </c>
      <c r="C170" s="183">
        <v>3919715.0146079999</v>
      </c>
      <c r="D170" s="183">
        <v>3919715.0146079999</v>
      </c>
      <c r="E170" s="98">
        <v>3935578.96</v>
      </c>
      <c r="F170" s="191">
        <v>12249.91</v>
      </c>
      <c r="G170" s="191">
        <v>0</v>
      </c>
      <c r="H170" s="98">
        <v>12249.91</v>
      </c>
      <c r="I170" s="98">
        <v>0</v>
      </c>
      <c r="J170" s="98">
        <f t="shared" si="187"/>
        <v>0</v>
      </c>
      <c r="K170" s="98">
        <f t="shared" si="188"/>
        <v>0</v>
      </c>
      <c r="L170" s="97">
        <v>0</v>
      </c>
      <c r="M170" s="98">
        <v>0</v>
      </c>
      <c r="N170" s="98">
        <v>0</v>
      </c>
      <c r="O170" s="98">
        <v>0</v>
      </c>
      <c r="P170" s="98">
        <v>0</v>
      </c>
      <c r="Q170" s="98">
        <v>0</v>
      </c>
      <c r="R170" s="98">
        <v>0</v>
      </c>
      <c r="S170" s="98">
        <v>0</v>
      </c>
      <c r="T170" s="98">
        <v>0</v>
      </c>
      <c r="U170" s="98">
        <v>0</v>
      </c>
      <c r="V170" s="98">
        <v>0</v>
      </c>
      <c r="W170" s="98">
        <v>0</v>
      </c>
      <c r="X170" s="99">
        <v>0</v>
      </c>
      <c r="Y170" s="191">
        <v>0</v>
      </c>
      <c r="Z170" s="192">
        <v>0</v>
      </c>
      <c r="AA170" s="99">
        <f t="shared" si="189"/>
        <v>0</v>
      </c>
      <c r="AB170" s="99">
        <f t="shared" si="190"/>
        <v>0</v>
      </c>
      <c r="AC170" s="98">
        <v>0</v>
      </c>
      <c r="AD170" s="98">
        <v>0</v>
      </c>
      <c r="AE170" s="98">
        <v>0</v>
      </c>
      <c r="AF170" s="98">
        <v>0</v>
      </c>
      <c r="AG170" s="98">
        <v>0</v>
      </c>
      <c r="AH170" s="89">
        <v>0</v>
      </c>
      <c r="AI170" s="91">
        <v>40142.31</v>
      </c>
      <c r="AJ170" s="92">
        <f t="shared" si="191"/>
        <v>0</v>
      </c>
      <c r="AK170" s="92">
        <f t="shared" si="192"/>
        <v>40142.31</v>
      </c>
      <c r="AL170" s="47">
        <f t="shared" si="193"/>
        <v>12249.91</v>
      </c>
      <c r="AM170" s="47">
        <f t="shared" si="194"/>
        <v>0</v>
      </c>
      <c r="AN170" s="52"/>
      <c r="AO170" s="17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</row>
    <row r="171" spans="1:154" s="19" customFormat="1" ht="81" customHeight="1">
      <c r="A171" s="248" t="s">
        <v>321</v>
      </c>
      <c r="B171" s="190" t="s">
        <v>322</v>
      </c>
      <c r="C171" s="183">
        <v>9526644.5639759991</v>
      </c>
      <c r="D171" s="183">
        <v>9526644.5639759991</v>
      </c>
      <c r="E171" s="241">
        <v>7113449.9000000004</v>
      </c>
      <c r="F171" s="258">
        <v>4059117.4799999995</v>
      </c>
      <c r="G171" s="258">
        <v>27869.919999999998</v>
      </c>
      <c r="H171" s="241">
        <v>4736908.2200000007</v>
      </c>
      <c r="I171" s="259">
        <v>267243.18</v>
      </c>
      <c r="J171" s="241">
        <f t="shared" si="187"/>
        <v>677790.74000000115</v>
      </c>
      <c r="K171" s="259">
        <f t="shared" si="188"/>
        <v>239373.26</v>
      </c>
      <c r="L171" s="97">
        <v>0</v>
      </c>
      <c r="M171" s="99">
        <v>0</v>
      </c>
      <c r="N171" s="99">
        <v>0</v>
      </c>
      <c r="O171" s="99">
        <v>87987.4</v>
      </c>
      <c r="P171" s="99">
        <v>87987.4</v>
      </c>
      <c r="Q171" s="99">
        <v>87987.4</v>
      </c>
      <c r="R171" s="99">
        <v>1298469.71</v>
      </c>
      <c r="S171" s="99">
        <v>1298469.71</v>
      </c>
      <c r="T171" s="99">
        <v>1298469.71</v>
      </c>
      <c r="U171" s="99">
        <v>2508952.0299999998</v>
      </c>
      <c r="V171" s="99">
        <v>2508952.0299999998</v>
      </c>
      <c r="W171" s="99">
        <v>3323143.25</v>
      </c>
      <c r="X171" s="99">
        <v>26799.54</v>
      </c>
      <c r="Y171" s="192">
        <v>3065690.23</v>
      </c>
      <c r="Z171" s="192">
        <v>24723.31</v>
      </c>
      <c r="AA171" s="99">
        <f t="shared" si="189"/>
        <v>-257453.02000000002</v>
      </c>
      <c r="AB171" s="99">
        <f t="shared" si="190"/>
        <v>-2076.2299999999996</v>
      </c>
      <c r="AC171" s="98">
        <v>1147610.4433333334</v>
      </c>
      <c r="AD171" s="98">
        <f>1147610.44333333+AC171</f>
        <v>2295220.8866666635</v>
      </c>
      <c r="AE171" s="98">
        <f>1147610.44333333+AD171</f>
        <v>3442831.3299999936</v>
      </c>
      <c r="AF171" s="98">
        <f>AE171</f>
        <v>3442831.3299999936</v>
      </c>
      <c r="AG171" s="98">
        <v>27764.77</v>
      </c>
      <c r="AH171" s="91">
        <v>4654516.74</v>
      </c>
      <c r="AI171" s="91">
        <v>37536.42</v>
      </c>
      <c r="AJ171" s="92">
        <f t="shared" si="191"/>
        <v>1211685.4100000067</v>
      </c>
      <c r="AK171" s="92">
        <f t="shared" si="192"/>
        <v>9771.6499999999978</v>
      </c>
      <c r="AL171" s="90">
        <f t="shared" si="193"/>
        <v>11502882.799999993</v>
      </c>
      <c r="AM171" s="90">
        <f t="shared" si="194"/>
        <v>321807.49</v>
      </c>
      <c r="AN171" s="52"/>
      <c r="AO171" s="17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</row>
    <row r="172" spans="1:154" s="19" customFormat="1" ht="64.5" customHeight="1">
      <c r="A172" s="248" t="s">
        <v>323</v>
      </c>
      <c r="B172" s="190" t="s">
        <v>324</v>
      </c>
      <c r="C172" s="183">
        <v>120260175.035652</v>
      </c>
      <c r="D172" s="183">
        <v>120260175.035652</v>
      </c>
      <c r="E172" s="241">
        <v>71580627.609999999</v>
      </c>
      <c r="F172" s="258">
        <v>17157433.02</v>
      </c>
      <c r="G172" s="258">
        <v>226985.16</v>
      </c>
      <c r="H172" s="241">
        <v>16845308.989999998</v>
      </c>
      <c r="I172" s="241">
        <v>773285.91643397301</v>
      </c>
      <c r="J172" s="241">
        <f t="shared" si="187"/>
        <v>-312124.03000000119</v>
      </c>
      <c r="K172" s="241">
        <f t="shared" si="188"/>
        <v>546300.75643397297</v>
      </c>
      <c r="L172" s="97">
        <v>613062.76724292734</v>
      </c>
      <c r="M172" s="98">
        <v>1272436.9140187253</v>
      </c>
      <c r="N172" s="98">
        <v>2091526.7549681249</v>
      </c>
      <c r="O172" s="98">
        <v>2437703.1031637029</v>
      </c>
      <c r="P172" s="98">
        <v>3488159.0649300292</v>
      </c>
      <c r="Q172" s="98">
        <v>4832242.8619905729</v>
      </c>
      <c r="R172" s="98">
        <v>5801938.7212833241</v>
      </c>
      <c r="S172" s="98">
        <v>9044938.0368892401</v>
      </c>
      <c r="T172" s="98">
        <v>11125873.811213743</v>
      </c>
      <c r="U172" s="98">
        <v>12383417.732388264</v>
      </c>
      <c r="V172" s="98">
        <v>13473684.870621596</v>
      </c>
      <c r="W172" s="98">
        <v>14970760.967257928</v>
      </c>
      <c r="X172" s="99">
        <v>474159.04</v>
      </c>
      <c r="Y172" s="191">
        <v>14903304.6</v>
      </c>
      <c r="Z172" s="192">
        <v>216209.05</v>
      </c>
      <c r="AA172" s="99">
        <f t="shared" si="189"/>
        <v>-67456.367257928476</v>
      </c>
      <c r="AB172" s="99">
        <f t="shared" si="190"/>
        <v>-257949.99</v>
      </c>
      <c r="AC172" s="98">
        <v>1464129.5066941499</v>
      </c>
      <c r="AD172" s="98">
        <v>12400144.875886248</v>
      </c>
      <c r="AE172" s="98">
        <f>14563508.1726377+244474</f>
        <v>14807982.172637699</v>
      </c>
      <c r="AF172" s="98">
        <f>AE172</f>
        <v>14807982.172637699</v>
      </c>
      <c r="AG172" s="98">
        <v>461260.39502731554</v>
      </c>
      <c r="AH172" s="89">
        <v>15687006.810000001</v>
      </c>
      <c r="AI172" s="91">
        <v>227578.57</v>
      </c>
      <c r="AJ172" s="92">
        <f t="shared" si="191"/>
        <v>879024.63736230135</v>
      </c>
      <c r="AK172" s="92">
        <f t="shared" si="192"/>
        <v>-233681.82502731553</v>
      </c>
      <c r="AL172" s="47">
        <f t="shared" si="193"/>
        <v>46624052.129895627</v>
      </c>
      <c r="AM172" s="47">
        <f t="shared" si="194"/>
        <v>1708705.3514612885</v>
      </c>
      <c r="AN172" s="52"/>
      <c r="AO172" s="17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</row>
    <row r="173" spans="1:154" s="19" customFormat="1" ht="56.25">
      <c r="A173" s="248" t="s">
        <v>325</v>
      </c>
      <c r="B173" s="190" t="s">
        <v>326</v>
      </c>
      <c r="C173" s="183">
        <v>8257192.8913079994</v>
      </c>
      <c r="D173" s="183">
        <v>8257192.8913079994</v>
      </c>
      <c r="E173" s="98">
        <v>8257192.4199999999</v>
      </c>
      <c r="F173" s="191">
        <v>0</v>
      </c>
      <c r="G173" s="191">
        <v>0</v>
      </c>
      <c r="H173" s="98">
        <v>0</v>
      </c>
      <c r="I173" s="98">
        <v>0</v>
      </c>
      <c r="J173" s="98">
        <f t="shared" si="187"/>
        <v>0</v>
      </c>
      <c r="K173" s="98">
        <f t="shared" si="188"/>
        <v>0</v>
      </c>
      <c r="L173" s="97">
        <v>0</v>
      </c>
      <c r="M173" s="98">
        <v>0</v>
      </c>
      <c r="N173" s="98">
        <v>0</v>
      </c>
      <c r="O173" s="98">
        <v>0</v>
      </c>
      <c r="P173" s="98">
        <v>0</v>
      </c>
      <c r="Q173" s="98">
        <v>0</v>
      </c>
      <c r="R173" s="98">
        <v>0</v>
      </c>
      <c r="S173" s="98">
        <v>0</v>
      </c>
      <c r="T173" s="98">
        <v>0</v>
      </c>
      <c r="U173" s="98">
        <v>0</v>
      </c>
      <c r="V173" s="98">
        <v>0</v>
      </c>
      <c r="W173" s="98">
        <v>0</v>
      </c>
      <c r="X173" s="99">
        <v>0</v>
      </c>
      <c r="Y173" s="191">
        <v>0</v>
      </c>
      <c r="Z173" s="192">
        <v>0</v>
      </c>
      <c r="AA173" s="99">
        <f t="shared" si="189"/>
        <v>0</v>
      </c>
      <c r="AB173" s="99">
        <f t="shared" si="190"/>
        <v>0</v>
      </c>
      <c r="AC173" s="98">
        <v>0</v>
      </c>
      <c r="AD173" s="98">
        <v>0</v>
      </c>
      <c r="AE173" s="98">
        <v>0</v>
      </c>
      <c r="AF173" s="98">
        <v>0</v>
      </c>
      <c r="AG173" s="98">
        <v>0</v>
      </c>
      <c r="AH173" s="89">
        <v>0</v>
      </c>
      <c r="AI173" s="91">
        <v>0</v>
      </c>
      <c r="AJ173" s="92">
        <f t="shared" si="191"/>
        <v>0</v>
      </c>
      <c r="AK173" s="92">
        <f t="shared" si="192"/>
        <v>0</v>
      </c>
      <c r="AL173" s="47">
        <f t="shared" si="193"/>
        <v>0</v>
      </c>
      <c r="AM173" s="47">
        <f t="shared" si="194"/>
        <v>0</v>
      </c>
      <c r="AN173" s="52"/>
      <c r="AO173" s="17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</row>
    <row r="174" spans="1:154" s="14" customFormat="1" ht="19.5">
      <c r="A174" s="226"/>
      <c r="B174" s="175" t="s">
        <v>327</v>
      </c>
      <c r="C174" s="176">
        <f t="shared" ref="C174:E174" si="199">C190+C183+C175+C181</f>
        <v>1082161120.5546119</v>
      </c>
      <c r="D174" s="176">
        <f t="shared" si="199"/>
        <v>1082161120.5546119</v>
      </c>
      <c r="E174" s="176">
        <f t="shared" si="199"/>
        <v>536762736.77000004</v>
      </c>
      <c r="F174" s="177">
        <v>183225324.12256023</v>
      </c>
      <c r="G174" s="177">
        <v>737647.36522000004</v>
      </c>
      <c r="H174" s="176">
        <f t="shared" ref="H174:I174" si="200">H190+H183+H175+H181</f>
        <v>148230176.03798199</v>
      </c>
      <c r="I174" s="176">
        <f t="shared" si="200"/>
        <v>3288542.6</v>
      </c>
      <c r="J174" s="176">
        <f t="shared" si="187"/>
        <v>-34995148.084578246</v>
      </c>
      <c r="K174" s="176">
        <f t="shared" si="188"/>
        <v>2550895.2347800001</v>
      </c>
      <c r="L174" s="176">
        <f t="shared" ref="L174:W174" si="201">L190+L183+L175+L181</f>
        <v>4691444.9187319539</v>
      </c>
      <c r="M174" s="176">
        <f t="shared" si="201"/>
        <v>28743654.692003824</v>
      </c>
      <c r="N174" s="176">
        <f t="shared" si="201"/>
        <v>42652570.72795298</v>
      </c>
      <c r="O174" s="176">
        <f t="shared" si="201"/>
        <v>59867504.034952991</v>
      </c>
      <c r="P174" s="176">
        <f t="shared" si="201"/>
        <v>75575983.590452999</v>
      </c>
      <c r="Q174" s="176">
        <f t="shared" si="201"/>
        <v>97720483.318039715</v>
      </c>
      <c r="R174" s="176">
        <f t="shared" si="201"/>
        <v>117807405.33887337</v>
      </c>
      <c r="S174" s="176">
        <f t="shared" si="201"/>
        <v>143682767.30720714</v>
      </c>
      <c r="T174" s="176">
        <f t="shared" si="201"/>
        <v>172708491.82007328</v>
      </c>
      <c r="U174" s="176">
        <f t="shared" si="201"/>
        <v>199725766.70846143</v>
      </c>
      <c r="V174" s="176">
        <f t="shared" si="201"/>
        <v>219365542.87638846</v>
      </c>
      <c r="W174" s="176">
        <f t="shared" si="201"/>
        <v>239336117.94191781</v>
      </c>
      <c r="X174" s="176">
        <f t="shared" ref="X174" si="202">X190+X183+X175+X181</f>
        <v>362070.60330000002</v>
      </c>
      <c r="Y174" s="177">
        <f>Y190+Y183+Y175+Y181</f>
        <v>172916325.87810001</v>
      </c>
      <c r="Z174" s="177">
        <f>Z190+Z183+Z175+Z181</f>
        <v>1767082.2830000001</v>
      </c>
      <c r="AA174" s="176">
        <f t="shared" si="189"/>
        <v>-66419792.063817799</v>
      </c>
      <c r="AB174" s="176">
        <f t="shared" si="190"/>
        <v>1405011.6797</v>
      </c>
      <c r="AC174" s="176">
        <f t="shared" ref="AC174:AG174" si="203">AC190+AC183+AC175+AC181</f>
        <v>58233161.539999992</v>
      </c>
      <c r="AD174" s="176">
        <f t="shared" si="203"/>
        <v>97703860.359999999</v>
      </c>
      <c r="AE174" s="176">
        <f t="shared" si="203"/>
        <v>125737291.56</v>
      </c>
      <c r="AF174" s="176">
        <f t="shared" si="203"/>
        <v>166339710.83000001</v>
      </c>
      <c r="AG174" s="176">
        <f t="shared" si="203"/>
        <v>231907.61798000001</v>
      </c>
      <c r="AH174" s="74">
        <f>AH190+AH183+AH175+AH181</f>
        <v>123449155.49764679</v>
      </c>
      <c r="AI174" s="74">
        <f>AI190+AI183+AI175+AI181</f>
        <v>1552628.3490072058</v>
      </c>
      <c r="AJ174" s="75">
        <f t="shared" si="191"/>
        <v>-42890555.332353219</v>
      </c>
      <c r="AK174" s="75">
        <f t="shared" si="192"/>
        <v>1320720.7310272057</v>
      </c>
      <c r="AL174" s="73">
        <f t="shared" si="193"/>
        <v>553906004.80989981</v>
      </c>
      <c r="AM174" s="73">
        <f t="shared" si="194"/>
        <v>3882520.8212800003</v>
      </c>
      <c r="AN174" s="52"/>
      <c r="AO174" s="17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</row>
    <row r="175" spans="1:154" s="18" customFormat="1" ht="19.5">
      <c r="A175" s="178"/>
      <c r="B175" s="179" t="s">
        <v>328</v>
      </c>
      <c r="C175" s="180">
        <f t="shared" ref="C175:E175" si="204">SUM(C176:C180)</f>
        <v>79852137.874223992</v>
      </c>
      <c r="D175" s="180">
        <f t="shared" si="204"/>
        <v>79852137.874223992</v>
      </c>
      <c r="E175" s="180">
        <f t="shared" si="204"/>
        <v>22501090.289999999</v>
      </c>
      <c r="F175" s="180">
        <v>19096369.161399998</v>
      </c>
      <c r="G175" s="180">
        <v>420242.83860000002</v>
      </c>
      <c r="H175" s="180">
        <f t="shared" ref="H175:I175" si="205">SUM(H176:H180)</f>
        <v>14602120.35</v>
      </c>
      <c r="I175" s="180">
        <f t="shared" si="205"/>
        <v>440801.48</v>
      </c>
      <c r="J175" s="180">
        <f t="shared" si="187"/>
        <v>-4494248.8113999981</v>
      </c>
      <c r="K175" s="180">
        <f t="shared" si="188"/>
        <v>20558.641399999964</v>
      </c>
      <c r="L175" s="180">
        <f t="shared" ref="L175:W175" si="206">SUM(L176:L180)</f>
        <v>529390.07999999996</v>
      </c>
      <c r="M175" s="180">
        <f t="shared" si="206"/>
        <v>1243112.1400000001</v>
      </c>
      <c r="N175" s="180">
        <f t="shared" si="206"/>
        <v>1977698.9400000002</v>
      </c>
      <c r="O175" s="180">
        <f t="shared" si="206"/>
        <v>5062864.5600000005</v>
      </c>
      <c r="P175" s="180">
        <f t="shared" si="206"/>
        <v>9570025.3599999994</v>
      </c>
      <c r="Q175" s="180">
        <f t="shared" si="206"/>
        <v>11554183.600000001</v>
      </c>
      <c r="R175" s="180">
        <f t="shared" si="206"/>
        <v>13741693.390000001</v>
      </c>
      <c r="S175" s="180">
        <f t="shared" si="206"/>
        <v>16230152</v>
      </c>
      <c r="T175" s="180">
        <f t="shared" si="206"/>
        <v>18393262.460000001</v>
      </c>
      <c r="U175" s="180">
        <f t="shared" si="206"/>
        <v>20693569.400000002</v>
      </c>
      <c r="V175" s="180">
        <f t="shared" si="206"/>
        <v>21831559.130000003</v>
      </c>
      <c r="W175" s="180">
        <f t="shared" si="206"/>
        <v>22799160.290000003</v>
      </c>
      <c r="X175" s="180">
        <f t="shared" ref="X175" si="207">SUM(X176:X180)</f>
        <v>0</v>
      </c>
      <c r="Y175" s="180">
        <f>SUM(Y176:Y180)</f>
        <v>14593084.3651</v>
      </c>
      <c r="Z175" s="180">
        <f>SUM(Z176:Z180)</f>
        <v>537464.29489999998</v>
      </c>
      <c r="AA175" s="180">
        <f t="shared" si="189"/>
        <v>-8206075.9249000028</v>
      </c>
      <c r="AB175" s="180">
        <f t="shared" si="190"/>
        <v>537464.29489999998</v>
      </c>
      <c r="AC175" s="181">
        <f t="shared" ref="AC175:AG175" si="208">SUM(AC176:AC180)</f>
        <v>3226249.55</v>
      </c>
      <c r="AD175" s="181">
        <f t="shared" si="208"/>
        <v>6598949.25</v>
      </c>
      <c r="AE175" s="181">
        <f t="shared" si="208"/>
        <v>7777632.1600000001</v>
      </c>
      <c r="AF175" s="181">
        <f t="shared" si="208"/>
        <v>8923358.75</v>
      </c>
      <c r="AG175" s="181">
        <f t="shared" si="208"/>
        <v>0</v>
      </c>
      <c r="AH175" s="77">
        <f>SUM(AH176:AH180)</f>
        <v>18219057.027646799</v>
      </c>
      <c r="AI175" s="77">
        <f>SUM(AI176:AI180)</f>
        <v>744401.58797720599</v>
      </c>
      <c r="AJ175" s="78">
        <f t="shared" si="191"/>
        <v>9295698.2776467986</v>
      </c>
      <c r="AK175" s="78">
        <f t="shared" si="192"/>
        <v>744401.58797720599</v>
      </c>
      <c r="AL175" s="76">
        <f t="shared" si="193"/>
        <v>46324639.390000001</v>
      </c>
      <c r="AM175" s="76">
        <f t="shared" si="194"/>
        <v>440801.48</v>
      </c>
      <c r="AN175" s="52"/>
      <c r="AO175" s="17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</row>
    <row r="176" spans="1:154" s="19" customFormat="1" ht="84" customHeight="1">
      <c r="A176" s="182" t="s">
        <v>329</v>
      </c>
      <c r="B176" s="182" t="s">
        <v>330</v>
      </c>
      <c r="C176" s="183">
        <v>59056401.547955997</v>
      </c>
      <c r="D176" s="183">
        <v>59056401.547955997</v>
      </c>
      <c r="E176" s="183">
        <v>12510260.91</v>
      </c>
      <c r="F176" s="184">
        <v>10007619.1614</v>
      </c>
      <c r="G176" s="184">
        <v>420242.83860000002</v>
      </c>
      <c r="H176" s="183">
        <f>5393823.92+1526425.71+4303401.23</f>
        <v>11223650.859999999</v>
      </c>
      <c r="I176" s="183">
        <v>440801.48</v>
      </c>
      <c r="J176" s="183">
        <f t="shared" si="187"/>
        <v>1216031.6985999998</v>
      </c>
      <c r="K176" s="183">
        <f t="shared" si="188"/>
        <v>20558.641399999964</v>
      </c>
      <c r="L176" s="183">
        <v>529390.07999999996</v>
      </c>
      <c r="M176" s="185">
        <f>L176+713722.06</f>
        <v>1243112.1400000001</v>
      </c>
      <c r="N176" s="185">
        <f>M176+734586.8</f>
        <v>1977698.9400000002</v>
      </c>
      <c r="O176" s="185">
        <f>N176+486031.21</f>
        <v>2463730.1500000004</v>
      </c>
      <c r="P176" s="236">
        <f>O176+507160.8</f>
        <v>2970890.95</v>
      </c>
      <c r="Q176" s="185">
        <f>P176+1156855.61</f>
        <v>4127746.5600000005</v>
      </c>
      <c r="R176" s="185">
        <f>Q176+2187509.79</f>
        <v>6315256.3500000006</v>
      </c>
      <c r="S176" s="185">
        <f>R176+2488458.61</f>
        <v>8803714.9600000009</v>
      </c>
      <c r="T176" s="185">
        <f>S176+2163110.46</f>
        <v>10966825.420000002</v>
      </c>
      <c r="U176" s="185">
        <f>T176+2300306.94</f>
        <v>13267132.360000001</v>
      </c>
      <c r="V176" s="185">
        <f>U176+1137989.73</f>
        <v>14405122.090000002</v>
      </c>
      <c r="W176" s="185">
        <f>V176+967601.16</f>
        <v>15372723.250000002</v>
      </c>
      <c r="X176" s="185">
        <v>0</v>
      </c>
      <c r="Y176" s="186">
        <v>12799118.7051</v>
      </c>
      <c r="Z176" s="186">
        <v>537464.29489999998</v>
      </c>
      <c r="AA176" s="185">
        <f t="shared" si="189"/>
        <v>-2573604.544900002</v>
      </c>
      <c r="AB176" s="185">
        <f t="shared" si="190"/>
        <v>537464.29489999998</v>
      </c>
      <c r="AC176" s="183">
        <v>3226249.55</v>
      </c>
      <c r="AD176" s="183">
        <f>AC176+3372699.7</f>
        <v>6598949.25</v>
      </c>
      <c r="AE176" s="183">
        <f>AD176+1178682.91</f>
        <v>7777632.1600000001</v>
      </c>
      <c r="AF176" s="183">
        <f>AE176+1145726.59</f>
        <v>8923358.75</v>
      </c>
      <c r="AG176" s="183">
        <v>0</v>
      </c>
      <c r="AH176" s="83">
        <v>17727101.835774798</v>
      </c>
      <c r="AI176" s="83">
        <v>744401.58797720599</v>
      </c>
      <c r="AJ176" s="84">
        <f t="shared" si="191"/>
        <v>8803743.0857747979</v>
      </c>
      <c r="AK176" s="84">
        <f t="shared" si="192"/>
        <v>744401.58797720599</v>
      </c>
      <c r="AL176" s="130">
        <f t="shared" si="193"/>
        <v>35519732.859999999</v>
      </c>
      <c r="AM176" s="131">
        <f t="shared" si="194"/>
        <v>440801.48</v>
      </c>
      <c r="AN176" s="52"/>
      <c r="AO176" s="17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</row>
    <row r="177" spans="1:154" s="19" customFormat="1" ht="56.25" hidden="1" outlineLevel="1">
      <c r="A177" s="182" t="s">
        <v>331</v>
      </c>
      <c r="B177" s="182" t="s">
        <v>332</v>
      </c>
      <c r="C177" s="183">
        <v>0</v>
      </c>
      <c r="D177" s="183">
        <v>0</v>
      </c>
      <c r="E177" s="138">
        <v>0</v>
      </c>
      <c r="F177" s="187">
        <v>0</v>
      </c>
      <c r="G177" s="187"/>
      <c r="H177" s="138">
        <v>0</v>
      </c>
      <c r="I177" s="138"/>
      <c r="J177" s="138">
        <f t="shared" si="187"/>
        <v>0</v>
      </c>
      <c r="K177" s="138">
        <f t="shared" si="188"/>
        <v>0</v>
      </c>
      <c r="L177" s="183">
        <v>0</v>
      </c>
      <c r="M177" s="138">
        <f t="shared" ref="M177:W178" si="209">L177</f>
        <v>0</v>
      </c>
      <c r="N177" s="138">
        <f t="shared" si="209"/>
        <v>0</v>
      </c>
      <c r="O177" s="138">
        <f t="shared" si="209"/>
        <v>0</v>
      </c>
      <c r="P177" s="138">
        <f t="shared" si="209"/>
        <v>0</v>
      </c>
      <c r="Q177" s="138">
        <f t="shared" si="209"/>
        <v>0</v>
      </c>
      <c r="R177" s="138">
        <f t="shared" si="209"/>
        <v>0</v>
      </c>
      <c r="S177" s="138">
        <f t="shared" si="209"/>
        <v>0</v>
      </c>
      <c r="T177" s="138">
        <f t="shared" si="209"/>
        <v>0</v>
      </c>
      <c r="U177" s="138">
        <f t="shared" si="209"/>
        <v>0</v>
      </c>
      <c r="V177" s="138">
        <f t="shared" si="209"/>
        <v>0</v>
      </c>
      <c r="W177" s="138">
        <f t="shared" si="209"/>
        <v>0</v>
      </c>
      <c r="X177" s="188">
        <v>0</v>
      </c>
      <c r="Y177" s="187">
        <v>0</v>
      </c>
      <c r="Z177" s="189"/>
      <c r="AA177" s="188">
        <f t="shared" si="189"/>
        <v>0</v>
      </c>
      <c r="AB177" s="188">
        <f t="shared" si="190"/>
        <v>0</v>
      </c>
      <c r="AC177" s="138">
        <v>0</v>
      </c>
      <c r="AD177" s="138">
        <v>0</v>
      </c>
      <c r="AE177" s="138">
        <v>0</v>
      </c>
      <c r="AF177" s="138">
        <v>0</v>
      </c>
      <c r="AG177" s="138">
        <v>0</v>
      </c>
      <c r="AH177" s="86">
        <v>0</v>
      </c>
      <c r="AI177" s="87"/>
      <c r="AJ177" s="88">
        <f t="shared" si="191"/>
        <v>0</v>
      </c>
      <c r="AK177" s="88">
        <f t="shared" si="192"/>
        <v>0</v>
      </c>
      <c r="AL177" s="85">
        <f t="shared" si="193"/>
        <v>0</v>
      </c>
      <c r="AM177" s="85">
        <f t="shared" si="194"/>
        <v>0</v>
      </c>
      <c r="AN177" s="52"/>
      <c r="AO177" s="1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</row>
    <row r="178" spans="1:154" s="19" customFormat="1" ht="117.75" customHeight="1" collapsed="1">
      <c r="A178" s="182" t="s">
        <v>333</v>
      </c>
      <c r="B178" s="182" t="s">
        <v>334</v>
      </c>
      <c r="C178" s="183">
        <v>20795736.326267999</v>
      </c>
      <c r="D178" s="183">
        <v>20795736.326267999</v>
      </c>
      <c r="E178" s="138">
        <v>9990829.3800000008</v>
      </c>
      <c r="F178" s="187">
        <v>9088750</v>
      </c>
      <c r="G178" s="187"/>
      <c r="H178" s="138">
        <v>3378469.49</v>
      </c>
      <c r="I178" s="138"/>
      <c r="J178" s="138">
        <f t="shared" si="187"/>
        <v>-5710280.5099999998</v>
      </c>
      <c r="K178" s="138">
        <f t="shared" si="188"/>
        <v>0</v>
      </c>
      <c r="L178" s="183">
        <v>0</v>
      </c>
      <c r="M178" s="138">
        <f t="shared" si="209"/>
        <v>0</v>
      </c>
      <c r="N178" s="138">
        <f t="shared" si="209"/>
        <v>0</v>
      </c>
      <c r="O178" s="138">
        <v>2599134.41</v>
      </c>
      <c r="P178" s="231">
        <f>O178+4000000</f>
        <v>6599134.4100000001</v>
      </c>
      <c r="Q178" s="138">
        <f>P178+827302.63</f>
        <v>7426437.04</v>
      </c>
      <c r="R178" s="138">
        <f t="shared" si="209"/>
        <v>7426437.04</v>
      </c>
      <c r="S178" s="138">
        <f t="shared" si="209"/>
        <v>7426437.04</v>
      </c>
      <c r="T178" s="138">
        <f t="shared" si="209"/>
        <v>7426437.04</v>
      </c>
      <c r="U178" s="138">
        <f t="shared" si="209"/>
        <v>7426437.04</v>
      </c>
      <c r="V178" s="138">
        <f t="shared" si="209"/>
        <v>7426437.04</v>
      </c>
      <c r="W178" s="138">
        <f t="shared" si="209"/>
        <v>7426437.04</v>
      </c>
      <c r="X178" s="188">
        <v>0</v>
      </c>
      <c r="Y178" s="187">
        <v>1793965.66</v>
      </c>
      <c r="Z178" s="189"/>
      <c r="AA178" s="188">
        <f t="shared" si="189"/>
        <v>-5632471.3799999999</v>
      </c>
      <c r="AB178" s="188">
        <f t="shared" si="190"/>
        <v>0</v>
      </c>
      <c r="AC178" s="138">
        <v>0</v>
      </c>
      <c r="AD178" s="138">
        <v>0</v>
      </c>
      <c r="AE178" s="138">
        <v>0</v>
      </c>
      <c r="AF178" s="138">
        <v>0</v>
      </c>
      <c r="AG178" s="138">
        <v>0</v>
      </c>
      <c r="AH178" s="86">
        <v>491955.19187199901</v>
      </c>
      <c r="AI178" s="87"/>
      <c r="AJ178" s="88">
        <f t="shared" si="191"/>
        <v>491955.19187199901</v>
      </c>
      <c r="AK178" s="88">
        <f t="shared" si="192"/>
        <v>0</v>
      </c>
      <c r="AL178" s="85">
        <f t="shared" si="193"/>
        <v>10804906.530000001</v>
      </c>
      <c r="AM178" s="85">
        <f t="shared" si="194"/>
        <v>0</v>
      </c>
      <c r="AN178" s="52"/>
      <c r="AO178" s="17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</row>
    <row r="179" spans="1:154" s="19" customFormat="1" ht="48.75" hidden="1" customHeight="1" outlineLevel="1">
      <c r="A179" s="190" t="s">
        <v>335</v>
      </c>
      <c r="B179" s="190" t="s">
        <v>336</v>
      </c>
      <c r="C179" s="183">
        <v>0</v>
      </c>
      <c r="D179" s="183">
        <v>0</v>
      </c>
      <c r="E179" s="98">
        <v>0</v>
      </c>
      <c r="F179" s="191">
        <v>0</v>
      </c>
      <c r="G179" s="191"/>
      <c r="H179" s="98"/>
      <c r="I179" s="98"/>
      <c r="J179" s="98">
        <f t="shared" si="187"/>
        <v>0</v>
      </c>
      <c r="K179" s="98">
        <f t="shared" si="188"/>
        <v>0</v>
      </c>
      <c r="L179" s="97">
        <v>0</v>
      </c>
      <c r="M179" s="98">
        <v>0</v>
      </c>
      <c r="N179" s="98">
        <v>0</v>
      </c>
      <c r="O179" s="98">
        <v>0</v>
      </c>
      <c r="P179" s="98">
        <v>0</v>
      </c>
      <c r="Q179" s="98">
        <v>0</v>
      </c>
      <c r="R179" s="98">
        <v>0</v>
      </c>
      <c r="S179" s="98">
        <v>0</v>
      </c>
      <c r="T179" s="98">
        <v>0</v>
      </c>
      <c r="U179" s="98">
        <v>0</v>
      </c>
      <c r="V179" s="98">
        <v>0</v>
      </c>
      <c r="W179" s="98">
        <v>0</v>
      </c>
      <c r="X179" s="99">
        <v>0</v>
      </c>
      <c r="Y179" s="191">
        <v>0</v>
      </c>
      <c r="Z179" s="192"/>
      <c r="AA179" s="99">
        <f t="shared" si="189"/>
        <v>0</v>
      </c>
      <c r="AB179" s="99">
        <f t="shared" si="190"/>
        <v>0</v>
      </c>
      <c r="AC179" s="98">
        <v>0</v>
      </c>
      <c r="AD179" s="98">
        <v>0</v>
      </c>
      <c r="AE179" s="98">
        <v>0</v>
      </c>
      <c r="AF179" s="98">
        <v>0</v>
      </c>
      <c r="AG179" s="98">
        <v>0</v>
      </c>
      <c r="AH179" s="89">
        <v>0</v>
      </c>
      <c r="AI179" s="91"/>
      <c r="AJ179" s="92">
        <f t="shared" si="191"/>
        <v>0</v>
      </c>
      <c r="AK179" s="92">
        <f t="shared" si="192"/>
        <v>0</v>
      </c>
      <c r="AL179" s="47">
        <f t="shared" si="193"/>
        <v>0</v>
      </c>
      <c r="AM179" s="47">
        <f t="shared" si="194"/>
        <v>0</v>
      </c>
      <c r="AN179" s="52"/>
      <c r="AO179" s="17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</row>
    <row r="180" spans="1:154" s="19" customFormat="1" ht="56.25" hidden="1" outlineLevel="1">
      <c r="A180" s="190" t="s">
        <v>337</v>
      </c>
      <c r="B180" s="190" t="s">
        <v>338</v>
      </c>
      <c r="C180" s="183">
        <v>0</v>
      </c>
      <c r="D180" s="183">
        <v>0</v>
      </c>
      <c r="E180" s="98">
        <v>0</v>
      </c>
      <c r="F180" s="191">
        <v>0</v>
      </c>
      <c r="G180" s="191"/>
      <c r="H180" s="98"/>
      <c r="I180" s="98"/>
      <c r="J180" s="98">
        <f t="shared" si="187"/>
        <v>0</v>
      </c>
      <c r="K180" s="98">
        <f t="shared" si="188"/>
        <v>0</v>
      </c>
      <c r="L180" s="97">
        <v>0</v>
      </c>
      <c r="M180" s="98">
        <v>0</v>
      </c>
      <c r="N180" s="98">
        <v>0</v>
      </c>
      <c r="O180" s="98">
        <v>0</v>
      </c>
      <c r="P180" s="98">
        <v>0</v>
      </c>
      <c r="Q180" s="98">
        <v>0</v>
      </c>
      <c r="R180" s="98">
        <v>0</v>
      </c>
      <c r="S180" s="98">
        <v>0</v>
      </c>
      <c r="T180" s="98">
        <v>0</v>
      </c>
      <c r="U180" s="98">
        <v>0</v>
      </c>
      <c r="V180" s="98">
        <v>0</v>
      </c>
      <c r="W180" s="98">
        <v>0</v>
      </c>
      <c r="X180" s="99">
        <v>0</v>
      </c>
      <c r="Y180" s="191">
        <v>0</v>
      </c>
      <c r="Z180" s="192"/>
      <c r="AA180" s="99">
        <f t="shared" si="189"/>
        <v>0</v>
      </c>
      <c r="AB180" s="99">
        <f t="shared" si="190"/>
        <v>0</v>
      </c>
      <c r="AC180" s="98">
        <v>0</v>
      </c>
      <c r="AD180" s="98">
        <v>0</v>
      </c>
      <c r="AE180" s="98">
        <v>0</v>
      </c>
      <c r="AF180" s="98">
        <v>0</v>
      </c>
      <c r="AG180" s="98">
        <v>0</v>
      </c>
      <c r="AH180" s="89">
        <v>0</v>
      </c>
      <c r="AI180" s="91"/>
      <c r="AJ180" s="92">
        <f t="shared" si="191"/>
        <v>0</v>
      </c>
      <c r="AK180" s="92">
        <f t="shared" si="192"/>
        <v>0</v>
      </c>
      <c r="AL180" s="47">
        <f t="shared" si="193"/>
        <v>0</v>
      </c>
      <c r="AM180" s="47">
        <f t="shared" si="194"/>
        <v>0</v>
      </c>
      <c r="AN180" s="52"/>
      <c r="AO180" s="17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</row>
    <row r="181" spans="1:154" s="18" customFormat="1" ht="19.5" collapsed="1">
      <c r="A181" s="178"/>
      <c r="B181" s="179" t="s">
        <v>339</v>
      </c>
      <c r="C181" s="180">
        <f t="shared" ref="C181:AI181" si="210">C182</f>
        <v>8574208.7999999989</v>
      </c>
      <c r="D181" s="180">
        <f t="shared" si="210"/>
        <v>8574208.7999999989</v>
      </c>
      <c r="E181" s="180">
        <f t="shared" si="210"/>
        <v>2870628.5</v>
      </c>
      <c r="F181" s="180">
        <v>804255.54</v>
      </c>
      <c r="G181" s="180">
        <v>2412.7666200000003</v>
      </c>
      <c r="H181" s="180">
        <f t="shared" si="210"/>
        <v>1230133.3099999998</v>
      </c>
      <c r="I181" s="180">
        <f t="shared" si="210"/>
        <v>1099.3499999999999</v>
      </c>
      <c r="J181" s="180">
        <f t="shared" si="187"/>
        <v>425877.76999999979</v>
      </c>
      <c r="K181" s="180">
        <f t="shared" si="188"/>
        <v>-1313.4166200000004</v>
      </c>
      <c r="L181" s="180">
        <f t="shared" si="210"/>
        <v>0</v>
      </c>
      <c r="M181" s="180">
        <f t="shared" si="210"/>
        <v>98939.48</v>
      </c>
      <c r="N181" s="180">
        <f t="shared" si="210"/>
        <v>231787.40000000002</v>
      </c>
      <c r="O181" s="180">
        <f t="shared" si="210"/>
        <v>268523.93000000005</v>
      </c>
      <c r="P181" s="180">
        <f t="shared" si="210"/>
        <v>298163.04000000004</v>
      </c>
      <c r="Q181" s="180">
        <f t="shared" si="210"/>
        <v>492904.94000000006</v>
      </c>
      <c r="R181" s="180">
        <f t="shared" si="210"/>
        <v>492904.94000000006</v>
      </c>
      <c r="S181" s="180">
        <f t="shared" si="210"/>
        <v>577385.10000000009</v>
      </c>
      <c r="T181" s="180">
        <f t="shared" si="210"/>
        <v>736152.12000000011</v>
      </c>
      <c r="U181" s="180">
        <f t="shared" si="210"/>
        <v>785439.04000000015</v>
      </c>
      <c r="V181" s="180">
        <f t="shared" si="210"/>
        <v>814015.5900000002</v>
      </c>
      <c r="W181" s="180">
        <f t="shared" si="210"/>
        <v>1012155.5000000002</v>
      </c>
      <c r="X181" s="180">
        <f t="shared" si="210"/>
        <v>3045.6033000000007</v>
      </c>
      <c r="Y181" s="180">
        <f t="shared" si="210"/>
        <v>1695112.7</v>
      </c>
      <c r="Z181" s="180">
        <f t="shared" si="210"/>
        <v>5085.3380999999999</v>
      </c>
      <c r="AA181" s="180">
        <f t="shared" si="189"/>
        <v>682957.19999999972</v>
      </c>
      <c r="AB181" s="180">
        <f t="shared" si="190"/>
        <v>2039.7347999999993</v>
      </c>
      <c r="AC181" s="181">
        <f t="shared" si="210"/>
        <v>406198.94</v>
      </c>
      <c r="AD181" s="181">
        <f t="shared" si="210"/>
        <v>820806.75</v>
      </c>
      <c r="AE181" s="181">
        <f t="shared" si="210"/>
        <v>1169236.04</v>
      </c>
      <c r="AF181" s="181">
        <f t="shared" si="210"/>
        <v>2498355.04</v>
      </c>
      <c r="AG181" s="181">
        <f t="shared" si="210"/>
        <v>7517.6179800000009</v>
      </c>
      <c r="AH181" s="77">
        <f t="shared" si="210"/>
        <v>2309497</v>
      </c>
      <c r="AI181" s="77">
        <f t="shared" si="210"/>
        <v>6971.9010299999991</v>
      </c>
      <c r="AJ181" s="78">
        <f t="shared" si="191"/>
        <v>-188858.04000000004</v>
      </c>
      <c r="AK181" s="78">
        <f t="shared" si="192"/>
        <v>-545.71695000000182</v>
      </c>
      <c r="AL181" s="76">
        <f t="shared" si="193"/>
        <v>4740643.8499999996</v>
      </c>
      <c r="AM181" s="76">
        <f t="shared" si="194"/>
        <v>11662.571280000002</v>
      </c>
      <c r="AN181" s="52"/>
      <c r="AO181" s="17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</row>
    <row r="182" spans="1:154" s="19" customFormat="1" ht="48.75" customHeight="1">
      <c r="A182" s="190" t="s">
        <v>340</v>
      </c>
      <c r="B182" s="190" t="s">
        <v>341</v>
      </c>
      <c r="C182" s="183">
        <v>8574208.7999999989</v>
      </c>
      <c r="D182" s="183">
        <v>8574208.7999999989</v>
      </c>
      <c r="E182" s="98">
        <v>2870628.5</v>
      </c>
      <c r="F182" s="191">
        <v>804255.54</v>
      </c>
      <c r="G182" s="191">
        <v>2412.7666200000003</v>
      </c>
      <c r="H182" s="270">
        <f>305681.91+925550.75-1099.35</f>
        <v>1230133.3099999998</v>
      </c>
      <c r="I182" s="270">
        <f>182.3+917.05</f>
        <v>1099.3499999999999</v>
      </c>
      <c r="J182" s="98">
        <f t="shared" si="187"/>
        <v>425877.76999999979</v>
      </c>
      <c r="K182" s="98">
        <f t="shared" si="188"/>
        <v>-1313.4166200000004</v>
      </c>
      <c r="L182" s="97">
        <v>0</v>
      </c>
      <c r="M182" s="99">
        <v>98939.48</v>
      </c>
      <c r="N182" s="99">
        <v>231787.40000000002</v>
      </c>
      <c r="O182" s="99">
        <v>268523.93000000005</v>
      </c>
      <c r="P182" s="238">
        <v>298163.04000000004</v>
      </c>
      <c r="Q182" s="99">
        <v>492904.94000000006</v>
      </c>
      <c r="R182" s="99">
        <v>492904.94000000006</v>
      </c>
      <c r="S182" s="99">
        <v>577385.10000000009</v>
      </c>
      <c r="T182" s="99">
        <v>736152.12000000011</v>
      </c>
      <c r="U182" s="99">
        <v>785439.04000000015</v>
      </c>
      <c r="V182" s="99">
        <v>814015.5900000002</v>
      </c>
      <c r="W182" s="99">
        <v>1012155.5000000002</v>
      </c>
      <c r="X182" s="99">
        <v>3045.6033000000007</v>
      </c>
      <c r="Y182" s="192">
        <v>1695112.7</v>
      </c>
      <c r="Z182" s="192">
        <v>5085.3380999999999</v>
      </c>
      <c r="AA182" s="99">
        <f t="shared" si="189"/>
        <v>682957.19999999972</v>
      </c>
      <c r="AB182" s="99">
        <f t="shared" si="190"/>
        <v>2039.7347999999993</v>
      </c>
      <c r="AC182" s="98">
        <v>406198.94</v>
      </c>
      <c r="AD182" s="98">
        <v>820806.75</v>
      </c>
      <c r="AE182" s="98">
        <v>1169236.04</v>
      </c>
      <c r="AF182" s="98">
        <v>2498355.04</v>
      </c>
      <c r="AG182" s="98">
        <v>7517.6179800000009</v>
      </c>
      <c r="AH182" s="91">
        <v>2309497</v>
      </c>
      <c r="AI182" s="91">
        <v>6971.9010299999991</v>
      </c>
      <c r="AJ182" s="92">
        <f t="shared" si="191"/>
        <v>-188858.04000000004</v>
      </c>
      <c r="AK182" s="92">
        <f t="shared" si="192"/>
        <v>-545.71695000000182</v>
      </c>
      <c r="AL182" s="90">
        <f t="shared" si="193"/>
        <v>4740643.8499999996</v>
      </c>
      <c r="AM182" s="90">
        <f t="shared" si="194"/>
        <v>11662.571280000002</v>
      </c>
      <c r="AN182" s="52"/>
      <c r="AO182" s="17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</row>
    <row r="183" spans="1:154" s="20" customFormat="1" ht="19.5">
      <c r="A183" s="178"/>
      <c r="B183" s="194" t="s">
        <v>342</v>
      </c>
      <c r="C183" s="181">
        <f>SUM(C184:C189)</f>
        <v>591210286.62860405</v>
      </c>
      <c r="D183" s="181">
        <f t="shared" ref="D183:AI183" si="211">SUM(D184:D189)</f>
        <v>591210286.62860405</v>
      </c>
      <c r="E183" s="181">
        <f t="shared" si="211"/>
        <v>240189683.67000002</v>
      </c>
      <c r="F183" s="181">
        <v>110661781</v>
      </c>
      <c r="G183" s="181">
        <v>0</v>
      </c>
      <c r="H183" s="181">
        <f t="shared" si="211"/>
        <v>103053918.64798199</v>
      </c>
      <c r="I183" s="181">
        <f t="shared" si="211"/>
        <v>2570821.06</v>
      </c>
      <c r="J183" s="181">
        <f t="shared" si="187"/>
        <v>-7607862.3520180136</v>
      </c>
      <c r="K183" s="181">
        <f t="shared" si="188"/>
        <v>2570821.06</v>
      </c>
      <c r="L183" s="181">
        <f t="shared" si="211"/>
        <v>2135144.09</v>
      </c>
      <c r="M183" s="181">
        <f t="shared" si="211"/>
        <v>22414711.18</v>
      </c>
      <c r="N183" s="181">
        <f t="shared" si="211"/>
        <v>31447089.200000003</v>
      </c>
      <c r="O183" s="181">
        <f t="shared" si="211"/>
        <v>39952245.450000003</v>
      </c>
      <c r="P183" s="181">
        <f t="shared" si="211"/>
        <v>42779840.440000005</v>
      </c>
      <c r="Q183" s="181">
        <f t="shared" si="211"/>
        <v>55001712.07</v>
      </c>
      <c r="R183" s="181">
        <f t="shared" si="211"/>
        <v>66211174.603333332</v>
      </c>
      <c r="S183" s="181">
        <f t="shared" si="211"/>
        <v>83182395.376666665</v>
      </c>
      <c r="T183" s="181">
        <f t="shared" si="211"/>
        <v>100319635.23999998</v>
      </c>
      <c r="U183" s="181">
        <f t="shared" si="211"/>
        <v>113647006.08333331</v>
      </c>
      <c r="V183" s="181">
        <f t="shared" si="211"/>
        <v>121707934.60666665</v>
      </c>
      <c r="W183" s="181">
        <f t="shared" si="211"/>
        <v>136556145.49000001</v>
      </c>
      <c r="X183" s="181">
        <f t="shared" ref="X183" si="212">SUM(X184:X189)</f>
        <v>0</v>
      </c>
      <c r="Y183" s="181">
        <f t="shared" si="211"/>
        <v>98384005</v>
      </c>
      <c r="Z183" s="181">
        <f t="shared" si="211"/>
        <v>0</v>
      </c>
      <c r="AA183" s="181">
        <f t="shared" si="189"/>
        <v>-38172140.49000001</v>
      </c>
      <c r="AB183" s="181">
        <f t="shared" si="190"/>
        <v>0</v>
      </c>
      <c r="AC183" s="181">
        <f t="shared" ref="AC183:AG183" si="213">SUM(AC184:AC189)</f>
        <v>38161077.030000001</v>
      </c>
      <c r="AD183" s="181">
        <f t="shared" si="213"/>
        <v>71016101.340000004</v>
      </c>
      <c r="AE183" s="181">
        <f t="shared" si="213"/>
        <v>96415504.340000004</v>
      </c>
      <c r="AF183" s="181">
        <f t="shared" si="213"/>
        <v>134543078.02000001</v>
      </c>
      <c r="AG183" s="181">
        <f t="shared" si="213"/>
        <v>0</v>
      </c>
      <c r="AH183" s="93">
        <f t="shared" si="211"/>
        <v>71683027</v>
      </c>
      <c r="AI183" s="93">
        <f t="shared" si="211"/>
        <v>0</v>
      </c>
      <c r="AJ183" s="94">
        <f t="shared" si="191"/>
        <v>-62860051.020000011</v>
      </c>
      <c r="AK183" s="94">
        <f t="shared" si="192"/>
        <v>0</v>
      </c>
      <c r="AL183" s="79">
        <f t="shared" si="193"/>
        <v>374153142.15798199</v>
      </c>
      <c r="AM183" s="79">
        <f t="shared" si="194"/>
        <v>2570821.06</v>
      </c>
      <c r="AN183" s="52"/>
      <c r="AO183" s="17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</row>
    <row r="184" spans="1:154" s="28" customFormat="1" ht="172.5" customHeight="1">
      <c r="A184" s="182" t="s">
        <v>343</v>
      </c>
      <c r="B184" s="182" t="s">
        <v>344</v>
      </c>
      <c r="C184" s="183">
        <v>216739674.43549201</v>
      </c>
      <c r="D184" s="183">
        <v>216739674.43549201</v>
      </c>
      <c r="E184" s="138">
        <v>114917628.42</v>
      </c>
      <c r="F184" s="187">
        <v>53688785</v>
      </c>
      <c r="G184" s="187">
        <v>0</v>
      </c>
      <c r="H184" s="138">
        <v>61102104.140000001</v>
      </c>
      <c r="I184" s="138">
        <v>122214</v>
      </c>
      <c r="J184" s="138">
        <f t="shared" si="187"/>
        <v>7413319.1400000006</v>
      </c>
      <c r="K184" s="138">
        <f t="shared" si="188"/>
        <v>122214</v>
      </c>
      <c r="L184" s="183">
        <v>1192936.75</v>
      </c>
      <c r="M184" s="138">
        <f>L184+10002878.73</f>
        <v>11195815.48</v>
      </c>
      <c r="N184" s="138">
        <f>M184+6847660.01</f>
        <v>18043475.490000002</v>
      </c>
      <c r="O184" s="138">
        <f>N184+3537468.8</f>
        <v>21580944.290000003</v>
      </c>
      <c r="P184" s="231">
        <f>O184+1117046.2</f>
        <v>22697990.490000002</v>
      </c>
      <c r="Q184" s="138">
        <f>P184+3999309.55</f>
        <v>26697300.040000003</v>
      </c>
      <c r="R184" s="138">
        <f>Q184+2172837.2</f>
        <v>28870137.240000002</v>
      </c>
      <c r="S184" s="138">
        <f>R184+4277203.45</f>
        <v>33147340.690000001</v>
      </c>
      <c r="T184" s="138">
        <f>S184+2086137.2</f>
        <v>35233477.890000001</v>
      </c>
      <c r="U184" s="138">
        <f>T184+4277203.45</f>
        <v>39510681.340000004</v>
      </c>
      <c r="V184" s="138">
        <f>U184+1976314.6</f>
        <v>41486995.940000005</v>
      </c>
      <c r="W184" s="138">
        <f>V184+3342203.45</f>
        <v>44829199.390000008</v>
      </c>
      <c r="X184" s="188">
        <v>0</v>
      </c>
      <c r="Y184" s="187">
        <v>41656204</v>
      </c>
      <c r="Z184" s="189">
        <v>0</v>
      </c>
      <c r="AA184" s="188">
        <f t="shared" si="189"/>
        <v>-3172995.390000008</v>
      </c>
      <c r="AB184" s="188">
        <f t="shared" si="190"/>
        <v>0</v>
      </c>
      <c r="AC184" s="138">
        <v>8026511.4000000004</v>
      </c>
      <c r="AD184" s="138">
        <f>AC184+4727937.95</f>
        <v>12754449.350000001</v>
      </c>
      <c r="AE184" s="138">
        <f>AD184+3785098.95</f>
        <v>16539548.300000001</v>
      </c>
      <c r="AF184" s="138">
        <f>AE184+4970176.43</f>
        <v>21509724.73</v>
      </c>
      <c r="AG184" s="138">
        <v>0</v>
      </c>
      <c r="AH184" s="86">
        <v>36264557</v>
      </c>
      <c r="AI184" s="87">
        <v>0</v>
      </c>
      <c r="AJ184" s="88">
        <f t="shared" si="191"/>
        <v>14754832.27</v>
      </c>
      <c r="AK184" s="88">
        <f t="shared" si="192"/>
        <v>0</v>
      </c>
      <c r="AL184" s="85">
        <f t="shared" si="193"/>
        <v>127441028.26000001</v>
      </c>
      <c r="AM184" s="85">
        <f t="shared" si="194"/>
        <v>122214</v>
      </c>
      <c r="AN184" s="52"/>
      <c r="AO184" s="17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</row>
    <row r="185" spans="1:154" s="49" customFormat="1" ht="120" customHeight="1">
      <c r="A185" s="250" t="s">
        <v>345</v>
      </c>
      <c r="B185" s="250" t="s">
        <v>346</v>
      </c>
      <c r="C185" s="183">
        <v>170292617.50026</v>
      </c>
      <c r="D185" s="183">
        <v>170292618.20306399</v>
      </c>
      <c r="E185" s="231">
        <v>48678400.07</v>
      </c>
      <c r="F185" s="252">
        <v>19540584</v>
      </c>
      <c r="G185" s="252">
        <v>0</v>
      </c>
      <c r="H185" s="231">
        <v>14032513.82</v>
      </c>
      <c r="I185" s="231">
        <v>2273193</v>
      </c>
      <c r="J185" s="231">
        <f t="shared" si="187"/>
        <v>-5508070.1799999997</v>
      </c>
      <c r="K185" s="231">
        <f t="shared" si="188"/>
        <v>2273193</v>
      </c>
      <c r="L185" s="251">
        <v>742454.97</v>
      </c>
      <c r="M185" s="231">
        <f>L185+1523851.85</f>
        <v>2266306.8200000003</v>
      </c>
      <c r="N185" s="231">
        <f>M185+1144503.25</f>
        <v>3410810.0700000003</v>
      </c>
      <c r="O185" s="231">
        <f>N185+511357.78</f>
        <v>3922167.8500000006</v>
      </c>
      <c r="P185" s="231">
        <f>O185+0</f>
        <v>3922167.8500000006</v>
      </c>
      <c r="Q185" s="138">
        <f>P185+1414859.41</f>
        <v>5337027.2600000007</v>
      </c>
      <c r="R185" s="138">
        <f>Q185+5640810.10333333</f>
        <v>10977837.36333333</v>
      </c>
      <c r="S185" s="138">
        <f>R185+4238624.33333333</f>
        <v>15216461.69666666</v>
      </c>
      <c r="T185" s="138">
        <f>S185+8375742.05333333</f>
        <v>23592203.749999989</v>
      </c>
      <c r="U185" s="138">
        <f>T185+5057859.02333333</f>
        <v>28650062.773333319</v>
      </c>
      <c r="V185" s="138">
        <f>U185+4328909.53333333</f>
        <v>32978972.30666665</v>
      </c>
      <c r="W185" s="138">
        <f>V185+7563681.33333333</f>
        <v>40542653.639999978</v>
      </c>
      <c r="X185" s="188">
        <v>0</v>
      </c>
      <c r="Y185" s="187">
        <v>8949392</v>
      </c>
      <c r="Z185" s="189">
        <v>0</v>
      </c>
      <c r="AA185" s="188">
        <f t="shared" si="189"/>
        <v>-31593261.639999978</v>
      </c>
      <c r="AB185" s="188">
        <f t="shared" si="190"/>
        <v>0</v>
      </c>
      <c r="AC185" s="138">
        <v>16570381.640000001</v>
      </c>
      <c r="AD185" s="138">
        <v>32224674.640000001</v>
      </c>
      <c r="AE185" s="138">
        <v>47200679.640000001</v>
      </c>
      <c r="AF185" s="138">
        <v>64765857.640000001</v>
      </c>
      <c r="AG185" s="138">
        <v>0</v>
      </c>
      <c r="AH185" s="86">
        <v>14544875</v>
      </c>
      <c r="AI185" s="87">
        <v>0</v>
      </c>
      <c r="AJ185" s="88">
        <v>-50220982.640000001</v>
      </c>
      <c r="AK185" s="88">
        <v>0</v>
      </c>
      <c r="AL185" s="85">
        <f t="shared" si="193"/>
        <v>119341025.09999998</v>
      </c>
      <c r="AM185" s="85">
        <f t="shared" si="194"/>
        <v>2273193</v>
      </c>
      <c r="AN185" s="52"/>
      <c r="AO185" s="51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/>
      <c r="CK185" s="50"/>
      <c r="CL185" s="50"/>
      <c r="CM185" s="50"/>
      <c r="CN185" s="50"/>
      <c r="CO185" s="50"/>
      <c r="CP185" s="50"/>
      <c r="CQ185" s="50"/>
      <c r="CR185" s="50"/>
      <c r="CS185" s="50"/>
      <c r="CT185" s="50"/>
      <c r="CU185" s="50"/>
      <c r="CV185" s="50"/>
      <c r="CW185" s="50"/>
      <c r="CX185" s="50"/>
      <c r="CY185" s="50"/>
      <c r="CZ185" s="50"/>
      <c r="DA185" s="50"/>
      <c r="DB185" s="50"/>
      <c r="DC185" s="50"/>
      <c r="DD185" s="50"/>
      <c r="DE185" s="50"/>
      <c r="DF185" s="50"/>
      <c r="DG185" s="50"/>
      <c r="DH185" s="50"/>
      <c r="DI185" s="50"/>
      <c r="DJ185" s="50"/>
      <c r="DK185" s="50"/>
      <c r="DL185" s="50"/>
      <c r="DM185" s="50"/>
      <c r="DN185" s="50"/>
      <c r="DO185" s="50"/>
      <c r="DP185" s="50"/>
      <c r="DQ185" s="50"/>
      <c r="DR185" s="50"/>
      <c r="DS185" s="50"/>
      <c r="DT185" s="50"/>
      <c r="DU185" s="50"/>
      <c r="DV185" s="50"/>
      <c r="DW185" s="50"/>
      <c r="DX185" s="50"/>
      <c r="DY185" s="50"/>
      <c r="DZ185" s="50"/>
      <c r="EA185" s="50"/>
      <c r="EB185" s="50"/>
      <c r="EC185" s="50"/>
      <c r="ED185" s="50"/>
      <c r="EE185" s="50"/>
      <c r="EF185" s="50"/>
      <c r="EG185" s="50"/>
      <c r="EH185" s="50"/>
      <c r="EI185" s="50"/>
      <c r="EJ185" s="50"/>
      <c r="EK185" s="50"/>
      <c r="EL185" s="50"/>
      <c r="EM185" s="50"/>
      <c r="EN185" s="50"/>
      <c r="EO185" s="50"/>
      <c r="EP185" s="50"/>
      <c r="EQ185" s="50"/>
      <c r="ER185" s="50"/>
      <c r="ES185" s="50"/>
      <c r="ET185" s="50"/>
      <c r="EU185" s="50"/>
      <c r="EV185" s="50"/>
      <c r="EW185" s="50"/>
      <c r="EX185" s="50"/>
    </row>
    <row r="186" spans="1:154" s="28" customFormat="1" ht="37.5">
      <c r="A186" s="182" t="s">
        <v>347</v>
      </c>
      <c r="B186" s="182" t="s">
        <v>348</v>
      </c>
      <c r="C186" s="183">
        <v>116805655.12509599</v>
      </c>
      <c r="D186" s="183">
        <v>116805655.12509599</v>
      </c>
      <c r="E186" s="138">
        <v>50521590.310000002</v>
      </c>
      <c r="F186" s="187">
        <v>26828829</v>
      </c>
      <c r="G186" s="187">
        <v>0</v>
      </c>
      <c r="H186" s="138">
        <v>17369551.159999996</v>
      </c>
      <c r="I186" s="138">
        <v>175414.06</v>
      </c>
      <c r="J186" s="138">
        <f t="shared" si="187"/>
        <v>-9459277.8400000036</v>
      </c>
      <c r="K186" s="138">
        <f t="shared" si="188"/>
        <v>175414.06</v>
      </c>
      <c r="L186" s="183">
        <v>174252.37</v>
      </c>
      <c r="M186" s="138">
        <f>L186+4905085.97</f>
        <v>5079338.34</v>
      </c>
      <c r="N186" s="138">
        <f>M186+1040214.76</f>
        <v>6119553.0999999996</v>
      </c>
      <c r="O186" s="138">
        <f>N186+3909395.8</f>
        <v>10028948.899999999</v>
      </c>
      <c r="P186" s="231">
        <f>O186+437438.74</f>
        <v>10466387.639999999</v>
      </c>
      <c r="Q186" s="138">
        <f>P186+3693219.87</f>
        <v>14159607.509999998</v>
      </c>
      <c r="R186" s="138">
        <f>Q186+489016.5</f>
        <v>14648624.009999998</v>
      </c>
      <c r="S186" s="138">
        <f>R186+3045491.16</f>
        <v>17694115.169999998</v>
      </c>
      <c r="T186" s="138">
        <f>S186+598204.36</f>
        <v>18292319.529999997</v>
      </c>
      <c r="U186" s="138">
        <f>T186+2427923.77</f>
        <v>20720243.299999997</v>
      </c>
      <c r="V186" s="138">
        <f>U186+655709.39</f>
        <v>21375952.689999998</v>
      </c>
      <c r="W186" s="138">
        <f>V186+2842331.1</f>
        <v>24218283.789999999</v>
      </c>
      <c r="X186" s="188">
        <v>0</v>
      </c>
      <c r="Y186" s="187">
        <v>27127084</v>
      </c>
      <c r="Z186" s="189">
        <v>0</v>
      </c>
      <c r="AA186" s="188">
        <f t="shared" si="189"/>
        <v>2908800.2100000009</v>
      </c>
      <c r="AB186" s="188">
        <f t="shared" si="190"/>
        <v>0</v>
      </c>
      <c r="AC186" s="138">
        <v>8883099.7300000004</v>
      </c>
      <c r="AD186" s="138">
        <f>AC186+6214144.79</f>
        <v>15097244.52</v>
      </c>
      <c r="AE186" s="138">
        <f>AD186+2321372.2</f>
        <v>17418616.719999999</v>
      </c>
      <c r="AF186" s="138">
        <f>AE186+7102199</f>
        <v>24520815.719999999</v>
      </c>
      <c r="AG186" s="138">
        <v>0</v>
      </c>
      <c r="AH186" s="86">
        <v>12328152</v>
      </c>
      <c r="AI186" s="87">
        <v>0</v>
      </c>
      <c r="AJ186" s="88">
        <f t="shared" ref="AJ186:AK191" si="214">AH186-AF186</f>
        <v>-12192663.719999999</v>
      </c>
      <c r="AK186" s="88">
        <f t="shared" si="214"/>
        <v>0</v>
      </c>
      <c r="AL186" s="85">
        <f t="shared" si="193"/>
        <v>66108650.669999994</v>
      </c>
      <c r="AM186" s="85">
        <f t="shared" si="194"/>
        <v>175414.06</v>
      </c>
      <c r="AN186" s="52"/>
      <c r="AO186" s="17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</row>
    <row r="187" spans="1:154" s="28" customFormat="1" ht="98.25" customHeight="1">
      <c r="A187" s="182" t="s">
        <v>349</v>
      </c>
      <c r="B187" s="182" t="s">
        <v>350</v>
      </c>
      <c r="C187" s="183">
        <v>45423588.068172</v>
      </c>
      <c r="D187" s="183">
        <v>45423588.068172</v>
      </c>
      <c r="E187" s="138">
        <v>7719358.5199999996</v>
      </c>
      <c r="F187" s="187">
        <v>9668676</v>
      </c>
      <c r="G187" s="187">
        <v>0</v>
      </c>
      <c r="H187" s="138">
        <v>10549749.527981982</v>
      </c>
      <c r="I187" s="138">
        <v>0</v>
      </c>
      <c r="J187" s="138">
        <f t="shared" si="187"/>
        <v>881073.52798198164</v>
      </c>
      <c r="K187" s="138">
        <f t="shared" si="188"/>
        <v>0</v>
      </c>
      <c r="L187" s="183">
        <v>25500</v>
      </c>
      <c r="M187" s="138">
        <f>L187+3847750.54</f>
        <v>3873250.54</v>
      </c>
      <c r="N187" s="138">
        <f>M187+0</f>
        <v>3873250.54</v>
      </c>
      <c r="O187" s="138">
        <f>N187+546933.87</f>
        <v>4420184.41</v>
      </c>
      <c r="P187" s="231">
        <f>O187+1273110.05</f>
        <v>5693294.46</v>
      </c>
      <c r="Q187" s="138">
        <f>P187+3114482.8</f>
        <v>8807777.2599999998</v>
      </c>
      <c r="R187" s="138">
        <f>Q187+1806803.73</f>
        <v>10614580.99</v>
      </c>
      <c r="S187" s="138">
        <f>R187+4309906.83</f>
        <v>14924487.82</v>
      </c>
      <c r="T187" s="138">
        <f>S187+4977161.25</f>
        <v>19901649.07</v>
      </c>
      <c r="U187" s="138">
        <f>T187+464389.6</f>
        <v>20366038.670000002</v>
      </c>
      <c r="V187" s="138">
        <f>U187+0</f>
        <v>20366038.670000002</v>
      </c>
      <c r="W187" s="138">
        <f>V187+0</f>
        <v>20366038.670000002</v>
      </c>
      <c r="X187" s="188">
        <v>0</v>
      </c>
      <c r="Y187" s="187">
        <v>19490110</v>
      </c>
      <c r="Z187" s="189">
        <v>0</v>
      </c>
      <c r="AA187" s="188">
        <f t="shared" si="189"/>
        <v>-875928.67000000179</v>
      </c>
      <c r="AB187" s="188">
        <f t="shared" si="190"/>
        <v>0</v>
      </c>
      <c r="AC187" s="138">
        <v>956096.01</v>
      </c>
      <c r="AD187" s="138">
        <f>AC187+475374.32</f>
        <v>1431470.33</v>
      </c>
      <c r="AE187" s="138">
        <f>AD187+591938.6</f>
        <v>2023408.9300000002</v>
      </c>
      <c r="AF187" s="138">
        <f>AE187+4765032</f>
        <v>6788440.9299999997</v>
      </c>
      <c r="AG187" s="138">
        <v>0</v>
      </c>
      <c r="AH187" s="86">
        <v>8545443</v>
      </c>
      <c r="AI187" s="87">
        <v>0</v>
      </c>
      <c r="AJ187" s="88">
        <f t="shared" si="214"/>
        <v>1757002.0700000003</v>
      </c>
      <c r="AK187" s="88">
        <f t="shared" si="214"/>
        <v>0</v>
      </c>
      <c r="AL187" s="85">
        <f t="shared" si="193"/>
        <v>37704229.127981983</v>
      </c>
      <c r="AM187" s="85">
        <f t="shared" si="194"/>
        <v>0</v>
      </c>
      <c r="AN187" s="52"/>
      <c r="AO187" s="1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</row>
    <row r="188" spans="1:154" s="28" customFormat="1" ht="37.5">
      <c r="A188" s="182" t="s">
        <v>351</v>
      </c>
      <c r="B188" s="182" t="s">
        <v>352</v>
      </c>
      <c r="C188" s="183">
        <v>20448828.055043999</v>
      </c>
      <c r="D188" s="183">
        <v>20448828.055043999</v>
      </c>
      <c r="E188" s="138">
        <v>18352706.350000001</v>
      </c>
      <c r="F188" s="187">
        <v>934907</v>
      </c>
      <c r="G188" s="187">
        <v>0</v>
      </c>
      <c r="H188" s="138">
        <v>0</v>
      </c>
      <c r="I188" s="138">
        <v>0</v>
      </c>
      <c r="J188" s="138">
        <f t="shared" si="187"/>
        <v>-934907</v>
      </c>
      <c r="K188" s="138">
        <f t="shared" si="188"/>
        <v>0</v>
      </c>
      <c r="L188" s="183">
        <v>0</v>
      </c>
      <c r="M188" s="138">
        <f>L188+0</f>
        <v>0</v>
      </c>
      <c r="N188" s="138">
        <f>M188+0</f>
        <v>0</v>
      </c>
      <c r="O188" s="138">
        <f t="shared" ref="O188:W188" si="215">N188+0</f>
        <v>0</v>
      </c>
      <c r="P188" s="138">
        <f t="shared" si="215"/>
        <v>0</v>
      </c>
      <c r="Q188" s="138">
        <f t="shared" si="215"/>
        <v>0</v>
      </c>
      <c r="R188" s="138">
        <f t="shared" si="215"/>
        <v>0</v>
      </c>
      <c r="S188" s="138">
        <f t="shared" si="215"/>
        <v>0</v>
      </c>
      <c r="T188" s="138">
        <f t="shared" si="215"/>
        <v>0</v>
      </c>
      <c r="U188" s="138">
        <f t="shared" si="215"/>
        <v>0</v>
      </c>
      <c r="V188" s="138">
        <f t="shared" si="215"/>
        <v>0</v>
      </c>
      <c r="W188" s="138">
        <f t="shared" si="215"/>
        <v>0</v>
      </c>
      <c r="X188" s="188">
        <v>0</v>
      </c>
      <c r="Y188" s="187">
        <v>1161215</v>
      </c>
      <c r="Z188" s="189">
        <v>0</v>
      </c>
      <c r="AA188" s="188">
        <f t="shared" si="189"/>
        <v>1161215</v>
      </c>
      <c r="AB188" s="188">
        <f t="shared" si="190"/>
        <v>0</v>
      </c>
      <c r="AC188" s="138">
        <v>0</v>
      </c>
      <c r="AD188" s="138">
        <f>AC188+2041099+17187</f>
        <v>2058286</v>
      </c>
      <c r="AE188" s="138">
        <f>AD188+0</f>
        <v>2058286</v>
      </c>
      <c r="AF188" s="138">
        <f>AE188+0</f>
        <v>2058286</v>
      </c>
      <c r="AG188" s="138">
        <v>0</v>
      </c>
      <c r="AH188" s="86">
        <v>0</v>
      </c>
      <c r="AI188" s="87">
        <v>0</v>
      </c>
      <c r="AJ188" s="88">
        <f t="shared" si="214"/>
        <v>-2058286</v>
      </c>
      <c r="AK188" s="88">
        <f t="shared" si="214"/>
        <v>0</v>
      </c>
      <c r="AL188" s="85">
        <f t="shared" si="193"/>
        <v>2058286</v>
      </c>
      <c r="AM188" s="85">
        <f t="shared" si="194"/>
        <v>0</v>
      </c>
      <c r="AN188" s="52"/>
      <c r="AO188" s="17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</row>
    <row r="189" spans="1:154" s="28" customFormat="1" ht="37.5">
      <c r="A189" s="182" t="s">
        <v>353</v>
      </c>
      <c r="B189" s="182" t="s">
        <v>354</v>
      </c>
      <c r="C189" s="183">
        <v>21499923.444539998</v>
      </c>
      <c r="D189" s="183">
        <v>21499922.741735999</v>
      </c>
      <c r="E189" s="138">
        <v>0</v>
      </c>
      <c r="F189" s="187">
        <v>0</v>
      </c>
      <c r="G189" s="187">
        <v>0</v>
      </c>
      <c r="H189" s="138">
        <v>0</v>
      </c>
      <c r="I189" s="138">
        <v>0</v>
      </c>
      <c r="J189" s="138">
        <f t="shared" si="187"/>
        <v>0</v>
      </c>
      <c r="K189" s="138">
        <f t="shared" si="188"/>
        <v>0</v>
      </c>
      <c r="L189" s="183">
        <v>0</v>
      </c>
      <c r="M189" s="138">
        <f>L189+0</f>
        <v>0</v>
      </c>
      <c r="N189" s="138">
        <f t="shared" ref="N189:Q189" si="216">M189+0</f>
        <v>0</v>
      </c>
      <c r="O189" s="138">
        <f t="shared" si="216"/>
        <v>0</v>
      </c>
      <c r="P189" s="138">
        <f t="shared" si="216"/>
        <v>0</v>
      </c>
      <c r="Q189" s="138">
        <f t="shared" si="216"/>
        <v>0</v>
      </c>
      <c r="R189" s="138">
        <f t="shared" ref="R189:W189" si="217">Q189+6599970/6</f>
        <v>1099995</v>
      </c>
      <c r="S189" s="138">
        <f t="shared" si="217"/>
        <v>2199990</v>
      </c>
      <c r="T189" s="138">
        <f t="shared" si="217"/>
        <v>3299985</v>
      </c>
      <c r="U189" s="138">
        <f t="shared" si="217"/>
        <v>4399980</v>
      </c>
      <c r="V189" s="138">
        <f t="shared" si="217"/>
        <v>5499975</v>
      </c>
      <c r="W189" s="138">
        <f t="shared" si="217"/>
        <v>6599970</v>
      </c>
      <c r="X189" s="188">
        <v>0</v>
      </c>
      <c r="Y189" s="187">
        <v>0</v>
      </c>
      <c r="Z189" s="189">
        <v>0</v>
      </c>
      <c r="AA189" s="188">
        <f t="shared" si="189"/>
        <v>-6599970</v>
      </c>
      <c r="AB189" s="188">
        <f t="shared" si="190"/>
        <v>0</v>
      </c>
      <c r="AC189" s="138">
        <f>14899953/4</f>
        <v>3724988.25</v>
      </c>
      <c r="AD189" s="138">
        <f>AC189+14899953/4</f>
        <v>7449976.5</v>
      </c>
      <c r="AE189" s="138">
        <f>AD189+14899953/4</f>
        <v>11174964.75</v>
      </c>
      <c r="AF189" s="138">
        <f>AE189+14899953/4</f>
        <v>14899953</v>
      </c>
      <c r="AG189" s="138">
        <v>0</v>
      </c>
      <c r="AH189" s="86">
        <v>0</v>
      </c>
      <c r="AI189" s="87">
        <v>0</v>
      </c>
      <c r="AJ189" s="88">
        <f t="shared" si="214"/>
        <v>-14899953</v>
      </c>
      <c r="AK189" s="88">
        <f t="shared" si="214"/>
        <v>0</v>
      </c>
      <c r="AL189" s="85">
        <f t="shared" si="193"/>
        <v>21499923</v>
      </c>
      <c r="AM189" s="85">
        <f t="shared" si="194"/>
        <v>0</v>
      </c>
      <c r="AN189" s="52"/>
      <c r="AO189" s="17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</row>
    <row r="190" spans="1:154" s="20" customFormat="1" ht="39">
      <c r="A190" s="178"/>
      <c r="B190" s="194" t="s">
        <v>355</v>
      </c>
      <c r="C190" s="181">
        <f t="shared" ref="C190:D190" si="218">SUM(C191:C197)</f>
        <v>402524487.25178403</v>
      </c>
      <c r="D190" s="181">
        <f t="shared" si="218"/>
        <v>402524487.25178403</v>
      </c>
      <c r="E190" s="181">
        <f t="shared" ref="E190:AI190" si="219">SUM(E191:E197)</f>
        <v>271201334.31</v>
      </c>
      <c r="F190" s="181">
        <v>52662918.421160258</v>
      </c>
      <c r="G190" s="181">
        <v>314991.76</v>
      </c>
      <c r="H190" s="181">
        <f t="shared" si="219"/>
        <v>29344003.729999997</v>
      </c>
      <c r="I190" s="181">
        <f t="shared" si="219"/>
        <v>275820.71000000002</v>
      </c>
      <c r="J190" s="181">
        <f t="shared" si="187"/>
        <v>-23318914.691160262</v>
      </c>
      <c r="K190" s="181">
        <f t="shared" si="188"/>
        <v>-39171.049999999988</v>
      </c>
      <c r="L190" s="181">
        <f t="shared" si="219"/>
        <v>2026910.7487319545</v>
      </c>
      <c r="M190" s="181">
        <f t="shared" si="219"/>
        <v>4986891.8920038231</v>
      </c>
      <c r="N190" s="181">
        <f t="shared" si="219"/>
        <v>8995995.1879529823</v>
      </c>
      <c r="O190" s="181">
        <f t="shared" si="219"/>
        <v>14583870.094952984</v>
      </c>
      <c r="P190" s="181">
        <f t="shared" si="219"/>
        <v>22927954.750452984</v>
      </c>
      <c r="Q190" s="181">
        <f t="shared" si="219"/>
        <v>30671682.708039712</v>
      </c>
      <c r="R190" s="181">
        <f t="shared" si="219"/>
        <v>37361632.405540042</v>
      </c>
      <c r="S190" s="181">
        <f t="shared" si="219"/>
        <v>43692834.830540463</v>
      </c>
      <c r="T190" s="181">
        <f t="shared" si="219"/>
        <v>53259442.000073276</v>
      </c>
      <c r="U190" s="181">
        <f t="shared" si="219"/>
        <v>64599752.185128123</v>
      </c>
      <c r="V190" s="181">
        <f t="shared" si="219"/>
        <v>75012033.549721792</v>
      </c>
      <c r="W190" s="181">
        <f t="shared" si="219"/>
        <v>78968656.661917821</v>
      </c>
      <c r="X190" s="181">
        <f t="shared" ref="X190" si="220">SUM(X191:X197)</f>
        <v>359025</v>
      </c>
      <c r="Y190" s="181">
        <f t="shared" si="219"/>
        <v>58244123.813000008</v>
      </c>
      <c r="Z190" s="181">
        <f t="shared" si="219"/>
        <v>1224532.6499999999</v>
      </c>
      <c r="AA190" s="181">
        <f t="shared" si="189"/>
        <v>-20724532.848917812</v>
      </c>
      <c r="AB190" s="181">
        <f t="shared" si="190"/>
        <v>865507.64999999991</v>
      </c>
      <c r="AC190" s="181">
        <f t="shared" ref="AC190:AG190" si="221">SUM(AC191:AC197)</f>
        <v>16439636.019999998</v>
      </c>
      <c r="AD190" s="181">
        <f t="shared" si="221"/>
        <v>19268003.019999996</v>
      </c>
      <c r="AE190" s="181">
        <f t="shared" si="221"/>
        <v>20374919.02</v>
      </c>
      <c r="AF190" s="181">
        <f t="shared" si="221"/>
        <v>20374919.02</v>
      </c>
      <c r="AG190" s="181">
        <f t="shared" si="221"/>
        <v>224390</v>
      </c>
      <c r="AH190" s="93">
        <f t="shared" si="219"/>
        <v>31237574.470000003</v>
      </c>
      <c r="AI190" s="93">
        <f t="shared" si="219"/>
        <v>801254.85999999987</v>
      </c>
      <c r="AJ190" s="94">
        <f t="shared" si="214"/>
        <v>10862655.450000003</v>
      </c>
      <c r="AK190" s="94">
        <f t="shared" si="214"/>
        <v>576864.85999999987</v>
      </c>
      <c r="AL190" s="79">
        <f t="shared" si="193"/>
        <v>128687579.41191782</v>
      </c>
      <c r="AM190" s="79">
        <f t="shared" si="194"/>
        <v>859235.71</v>
      </c>
      <c r="AN190" s="52"/>
      <c r="AO190" s="17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</row>
    <row r="191" spans="1:154" s="19" customFormat="1" ht="56.25">
      <c r="A191" s="190" t="s">
        <v>356</v>
      </c>
      <c r="B191" s="190" t="s">
        <v>357</v>
      </c>
      <c r="C191" s="183">
        <v>11069163</v>
      </c>
      <c r="D191" s="183">
        <v>11069163</v>
      </c>
      <c r="E191" s="98">
        <v>2311750.06</v>
      </c>
      <c r="F191" s="191">
        <v>3788502.37</v>
      </c>
      <c r="G191" s="191">
        <v>0</v>
      </c>
      <c r="H191" s="98">
        <v>2060772</v>
      </c>
      <c r="I191" s="98">
        <v>0</v>
      </c>
      <c r="J191" s="98">
        <f t="shared" si="187"/>
        <v>-1727730.37</v>
      </c>
      <c r="K191" s="98">
        <f t="shared" si="188"/>
        <v>0</v>
      </c>
      <c r="L191" s="97">
        <v>0</v>
      </c>
      <c r="M191" s="98">
        <v>0</v>
      </c>
      <c r="N191" s="98">
        <v>0</v>
      </c>
      <c r="O191" s="98">
        <v>0</v>
      </c>
      <c r="P191" s="241">
        <v>1366479</v>
      </c>
      <c r="Q191" s="98">
        <v>1366479</v>
      </c>
      <c r="R191" s="98">
        <v>3070927</v>
      </c>
      <c r="S191" s="98">
        <v>3070927</v>
      </c>
      <c r="T191" s="98">
        <v>3070927</v>
      </c>
      <c r="U191" s="98">
        <v>4849356</v>
      </c>
      <c r="V191" s="98">
        <v>4849356</v>
      </c>
      <c r="W191" s="98">
        <v>5589725</v>
      </c>
      <c r="X191" s="255">
        <v>0</v>
      </c>
      <c r="Y191" s="191">
        <v>3861993.7299999995</v>
      </c>
      <c r="Z191" s="256">
        <v>0</v>
      </c>
      <c r="AA191" s="255">
        <f t="shared" si="189"/>
        <v>-1727731.2700000005</v>
      </c>
      <c r="AB191" s="255">
        <f t="shared" si="190"/>
        <v>0</v>
      </c>
      <c r="AC191" s="141">
        <v>0</v>
      </c>
      <c r="AD191" s="141">
        <v>0</v>
      </c>
      <c r="AE191" s="141">
        <v>1106916</v>
      </c>
      <c r="AF191" s="141">
        <v>1106916</v>
      </c>
      <c r="AG191" s="141">
        <v>0</v>
      </c>
      <c r="AH191" s="89">
        <v>1106916.24</v>
      </c>
      <c r="AI191" s="139">
        <v>0</v>
      </c>
      <c r="AJ191" s="140">
        <f t="shared" si="214"/>
        <v>0.23999999999068677</v>
      </c>
      <c r="AK191" s="140">
        <f t="shared" si="214"/>
        <v>0</v>
      </c>
      <c r="AL191" s="47">
        <v>8757413</v>
      </c>
      <c r="AM191" s="47">
        <f t="shared" si="194"/>
        <v>0</v>
      </c>
      <c r="AN191"/>
      <c r="AO191" s="17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</row>
    <row r="192" spans="1:154" s="19" customFormat="1" ht="119.25" customHeight="1">
      <c r="A192" s="190" t="s">
        <v>358</v>
      </c>
      <c r="B192" s="190" t="s">
        <v>359</v>
      </c>
      <c r="C192" s="183">
        <v>308514675.54534</v>
      </c>
      <c r="D192" s="183">
        <v>308514675.54534</v>
      </c>
      <c r="E192" s="98">
        <v>236971266.87</v>
      </c>
      <c r="F192" s="191">
        <v>35542717.159999996</v>
      </c>
      <c r="G192" s="191">
        <v>314146.45</v>
      </c>
      <c r="H192" s="98">
        <v>20319959.41</v>
      </c>
      <c r="I192" s="98">
        <v>187530.17</v>
      </c>
      <c r="J192" s="98">
        <v>-15222757.749999996</v>
      </c>
      <c r="K192" s="98">
        <v>-126616.28</v>
      </c>
      <c r="L192" s="97">
        <v>1902724.5087319545</v>
      </c>
      <c r="M192" s="98">
        <v>4745203.3820038233</v>
      </c>
      <c r="N192" s="98">
        <v>8103969.6949529825</v>
      </c>
      <c r="O192" s="98">
        <v>13417079.874952983</v>
      </c>
      <c r="P192" s="241">
        <v>17418221.744952984</v>
      </c>
      <c r="Q192" s="98">
        <v>21854925.125039712</v>
      </c>
      <c r="R192" s="98">
        <v>26220502.340040039</v>
      </c>
      <c r="S192" s="98">
        <v>32092507.10644047</v>
      </c>
      <c r="T192" s="98">
        <v>39663230.669973284</v>
      </c>
      <c r="U192" s="98">
        <v>46134578.839528129</v>
      </c>
      <c r="V192" s="98">
        <v>49913247.344121799</v>
      </c>
      <c r="W192" s="98">
        <v>51141472.106317818</v>
      </c>
      <c r="X192" s="255">
        <v>359025</v>
      </c>
      <c r="Y192" s="191">
        <v>26886428.34</v>
      </c>
      <c r="Z192" s="256">
        <v>359024.52</v>
      </c>
      <c r="AA192" s="255">
        <v>-24255043.766317818</v>
      </c>
      <c r="AB192" s="255">
        <v>-0.47999999998137355</v>
      </c>
      <c r="AC192" s="141">
        <v>2529407</v>
      </c>
      <c r="AD192" s="141">
        <v>3657774</v>
      </c>
      <c r="AE192" s="141">
        <v>3657774</v>
      </c>
      <c r="AF192" s="141">
        <v>3657774</v>
      </c>
      <c r="AG192" s="141">
        <v>224390</v>
      </c>
      <c r="AH192" s="89">
        <v>15707237.470000001</v>
      </c>
      <c r="AI192" s="139">
        <v>224390.33</v>
      </c>
      <c r="AJ192" s="140">
        <v>12049463.470000001</v>
      </c>
      <c r="AK192" s="140">
        <v>0.32999999998719431</v>
      </c>
      <c r="AL192" s="47">
        <v>75119205.516317815</v>
      </c>
      <c r="AM192" s="47">
        <v>770945.17</v>
      </c>
      <c r="AN192"/>
      <c r="AO192" s="17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</row>
    <row r="193" spans="1:154" s="19" customFormat="1" ht="82.5" customHeight="1">
      <c r="A193" s="190" t="s">
        <v>360</v>
      </c>
      <c r="B193" s="190" t="s">
        <v>361</v>
      </c>
      <c r="C193" s="183">
        <v>11830766.393856</v>
      </c>
      <c r="D193" s="183">
        <v>11830766.393856</v>
      </c>
      <c r="E193" s="98">
        <v>4997204.05</v>
      </c>
      <c r="F193" s="191">
        <v>2545225.0699999998</v>
      </c>
      <c r="G193" s="191">
        <v>845.31</v>
      </c>
      <c r="H193" s="98">
        <v>1374228.1999999997</v>
      </c>
      <c r="I193" s="98">
        <v>0</v>
      </c>
      <c r="J193" s="98">
        <f t="shared" ref="J193:K197" si="222">H193-F193</f>
        <v>-1170996.8700000001</v>
      </c>
      <c r="K193" s="98">
        <f t="shared" si="222"/>
        <v>-845.31</v>
      </c>
      <c r="L193" s="97">
        <v>0</v>
      </c>
      <c r="M193" s="98">
        <v>117502.27</v>
      </c>
      <c r="N193" s="98">
        <v>200817.35</v>
      </c>
      <c r="O193" s="98">
        <v>939742.18</v>
      </c>
      <c r="P193" s="241">
        <v>1103319.23</v>
      </c>
      <c r="Q193" s="98">
        <v>1367778.45</v>
      </c>
      <c r="R193" s="98">
        <v>1624959.23</v>
      </c>
      <c r="S193" s="98">
        <v>1706410.7186</v>
      </c>
      <c r="T193" s="98">
        <v>2705892.0271000001</v>
      </c>
      <c r="U193" s="98">
        <v>2725592.0271000001</v>
      </c>
      <c r="V193" s="98">
        <v>5618804.5770999994</v>
      </c>
      <c r="W193" s="98">
        <v>5862429.9670999991</v>
      </c>
      <c r="X193" s="255">
        <v>0</v>
      </c>
      <c r="Y193" s="191">
        <v>5171425.7399999993</v>
      </c>
      <c r="Z193" s="256">
        <v>2113.29</v>
      </c>
      <c r="AA193" s="255">
        <f>Y193-W193</f>
        <v>-691004.22709999979</v>
      </c>
      <c r="AB193" s="255">
        <f t="shared" ref="AB193:AB197" si="223">Z193-X193</f>
        <v>2113.29</v>
      </c>
      <c r="AC193" s="141">
        <v>3783542.8</v>
      </c>
      <c r="AD193" s="141">
        <v>3783542.8</v>
      </c>
      <c r="AE193" s="141">
        <v>3783542.8</v>
      </c>
      <c r="AF193" s="141">
        <v>3783542.8</v>
      </c>
      <c r="AG193" s="141">
        <v>0</v>
      </c>
      <c r="AH193" s="89">
        <v>1949513.24</v>
      </c>
      <c r="AI193" s="139">
        <v>1267.97</v>
      </c>
      <c r="AJ193" s="140">
        <f t="shared" ref="AJ193:AK197" si="224">AH193-AF193</f>
        <v>-1834029.5599999998</v>
      </c>
      <c r="AK193" s="140">
        <f t="shared" si="224"/>
        <v>1267.97</v>
      </c>
      <c r="AL193" s="47">
        <f t="shared" ref="AL193:AM197" si="225">H193+W193+AF193</f>
        <v>11020200.967099998</v>
      </c>
      <c r="AM193" s="47">
        <f t="shared" si="225"/>
        <v>0</v>
      </c>
      <c r="AN193"/>
      <c r="AO193" s="17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</row>
    <row r="194" spans="1:154" s="19" customFormat="1" ht="87.75" customHeight="1">
      <c r="A194" s="190" t="s">
        <v>362</v>
      </c>
      <c r="B194" s="190" t="s">
        <v>363</v>
      </c>
      <c r="C194" s="183">
        <v>27987494.518068001</v>
      </c>
      <c r="D194" s="183">
        <v>27987494.518068001</v>
      </c>
      <c r="E194" s="98">
        <v>20677284.840000004</v>
      </c>
      <c r="F194" s="191">
        <v>3721114.2340000002</v>
      </c>
      <c r="G194" s="191">
        <v>0</v>
      </c>
      <c r="H194" s="98">
        <v>2103287.34</v>
      </c>
      <c r="I194" s="98">
        <v>60952.57</v>
      </c>
      <c r="J194" s="98">
        <f t="shared" si="222"/>
        <v>-1617826.8940000003</v>
      </c>
      <c r="K194" s="98">
        <f t="shared" si="222"/>
        <v>60952.57</v>
      </c>
      <c r="L194" s="97">
        <v>124186.24000000001</v>
      </c>
      <c r="M194" s="98">
        <v>124186.24000000001</v>
      </c>
      <c r="N194" s="98">
        <v>124186.24000000001</v>
      </c>
      <c r="O194" s="98">
        <v>124186.24000000001</v>
      </c>
      <c r="P194" s="241">
        <v>124186.24000000001</v>
      </c>
      <c r="Q194" s="98">
        <v>327239.02</v>
      </c>
      <c r="R194" s="98">
        <v>412054.30000000005</v>
      </c>
      <c r="S194" s="98">
        <v>412054.30000000005</v>
      </c>
      <c r="T194" s="98">
        <v>1997520.3</v>
      </c>
      <c r="U194" s="98">
        <v>2647251.7599999998</v>
      </c>
      <c r="V194" s="98">
        <v>3024096.01</v>
      </c>
      <c r="W194" s="98">
        <v>3544499.9699999997</v>
      </c>
      <c r="X194" s="255">
        <v>0</v>
      </c>
      <c r="Y194" s="191">
        <v>2729878.8430000003</v>
      </c>
      <c r="Z194" s="256">
        <v>0</v>
      </c>
      <c r="AA194" s="255">
        <f>Y194-W194</f>
        <v>-814621.1269999994</v>
      </c>
      <c r="AB194" s="255">
        <f t="shared" si="223"/>
        <v>0</v>
      </c>
      <c r="AC194" s="141">
        <v>1547436.2199999979</v>
      </c>
      <c r="AD194" s="141">
        <v>1547436.2199999979</v>
      </c>
      <c r="AE194" s="141">
        <v>1547436.2199999979</v>
      </c>
      <c r="AF194" s="141">
        <v>1547436.2199999979</v>
      </c>
      <c r="AG194" s="141">
        <v>0</v>
      </c>
      <c r="AH194" s="89">
        <v>863766.15699999989</v>
      </c>
      <c r="AI194" s="139">
        <v>0</v>
      </c>
      <c r="AJ194" s="140">
        <f t="shared" si="224"/>
        <v>-683670.06299999799</v>
      </c>
      <c r="AK194" s="140">
        <f t="shared" si="224"/>
        <v>0</v>
      </c>
      <c r="AL194" s="47">
        <f t="shared" si="225"/>
        <v>7195223.5299999975</v>
      </c>
      <c r="AM194" s="47">
        <f t="shared" si="225"/>
        <v>60952.57</v>
      </c>
      <c r="AN194"/>
      <c r="AO194" s="17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</row>
    <row r="195" spans="1:154" s="19" customFormat="1" ht="99" customHeight="1">
      <c r="A195" s="190" t="s">
        <v>364</v>
      </c>
      <c r="B195" s="190" t="s">
        <v>365</v>
      </c>
      <c r="C195" s="183">
        <v>28889072.573387999</v>
      </c>
      <c r="D195" s="183">
        <v>28889072.573387999</v>
      </c>
      <c r="E195" s="98">
        <v>2780304.66</v>
      </c>
      <c r="F195" s="191">
        <v>3848921.85</v>
      </c>
      <c r="G195" s="191">
        <v>0</v>
      </c>
      <c r="H195" s="98">
        <v>1590476.67</v>
      </c>
      <c r="I195" s="98">
        <v>981.72</v>
      </c>
      <c r="J195" s="98">
        <f t="shared" si="222"/>
        <v>-2258445.1800000002</v>
      </c>
      <c r="K195" s="98">
        <f t="shared" si="222"/>
        <v>981.72</v>
      </c>
      <c r="L195" s="97">
        <v>0</v>
      </c>
      <c r="M195" s="98">
        <v>0</v>
      </c>
      <c r="N195" s="98">
        <v>102861.8</v>
      </c>
      <c r="O195" s="98">
        <f>N195</f>
        <v>102861.8</v>
      </c>
      <c r="P195" s="98">
        <f>O195+2397000</f>
        <v>2499861.7999999998</v>
      </c>
      <c r="Q195" s="98">
        <f>P195+2703000</f>
        <v>5202861.8</v>
      </c>
      <c r="R195" s="98">
        <f>Q195</f>
        <v>5202861.8</v>
      </c>
      <c r="S195" s="98">
        <f>R195</f>
        <v>5202861.8</v>
      </c>
      <c r="T195" s="98">
        <f>S195</f>
        <v>5202861.8</v>
      </c>
      <c r="U195" s="98">
        <f>T195</f>
        <v>5202861.8</v>
      </c>
      <c r="V195" s="98">
        <f>U195+1836000</f>
        <v>7038861.7999999998</v>
      </c>
      <c r="W195" s="98">
        <f>V195+1224000</f>
        <v>8262861.7999999998</v>
      </c>
      <c r="X195" s="255">
        <v>0</v>
      </c>
      <c r="Y195" s="191">
        <v>16000267.91</v>
      </c>
      <c r="Z195" s="256">
        <v>863394.84</v>
      </c>
      <c r="AA195" s="255">
        <f>Y195-W195</f>
        <v>7737406.1100000003</v>
      </c>
      <c r="AB195" s="255">
        <f t="shared" si="223"/>
        <v>863394.84</v>
      </c>
      <c r="AC195" s="141">
        <v>7140000</v>
      </c>
      <c r="AD195" s="260">
        <f>AC195+1700000</f>
        <v>8840000</v>
      </c>
      <c r="AE195" s="141">
        <f t="shared" ref="AE195:AF197" si="226">AD195</f>
        <v>8840000</v>
      </c>
      <c r="AF195" s="141">
        <f t="shared" si="226"/>
        <v>8840000</v>
      </c>
      <c r="AG195" s="141">
        <v>0</v>
      </c>
      <c r="AH195" s="89">
        <v>10190595.183000002</v>
      </c>
      <c r="AI195" s="139">
        <v>575596.55999999994</v>
      </c>
      <c r="AJ195" s="140">
        <f t="shared" si="224"/>
        <v>1350595.1830000021</v>
      </c>
      <c r="AK195" s="140">
        <f t="shared" si="224"/>
        <v>575596.55999999994</v>
      </c>
      <c r="AL195" s="47">
        <f t="shared" si="225"/>
        <v>18693338.469999999</v>
      </c>
      <c r="AM195" s="47">
        <f t="shared" si="225"/>
        <v>981.72</v>
      </c>
      <c r="AN195"/>
      <c r="AO195" s="17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</row>
    <row r="196" spans="1:154" s="19" customFormat="1" ht="64.5" customHeight="1">
      <c r="A196" s="190" t="s">
        <v>366</v>
      </c>
      <c r="B196" s="190" t="s">
        <v>367</v>
      </c>
      <c r="C196" s="183">
        <v>7064714.4211320002</v>
      </c>
      <c r="D196" s="183">
        <v>7064714.4211320002</v>
      </c>
      <c r="E196" s="98">
        <v>321947.71000000002</v>
      </c>
      <c r="F196" s="191">
        <v>1350492.11</v>
      </c>
      <c r="G196" s="191">
        <v>0</v>
      </c>
      <c r="H196" s="98">
        <v>1309514.3600000001</v>
      </c>
      <c r="I196" s="98"/>
      <c r="J196" s="98">
        <f t="shared" si="222"/>
        <v>-40977.75</v>
      </c>
      <c r="K196" s="98">
        <f t="shared" si="222"/>
        <v>0</v>
      </c>
      <c r="L196" s="97">
        <v>0</v>
      </c>
      <c r="M196" s="98">
        <v>0</v>
      </c>
      <c r="N196" s="98">
        <v>0</v>
      </c>
      <c r="O196" s="98">
        <v>0</v>
      </c>
      <c r="P196" s="241">
        <v>415886.73550000007</v>
      </c>
      <c r="Q196" s="98">
        <v>0</v>
      </c>
      <c r="R196" s="98">
        <f>414441+P196</f>
        <v>830327.73550000007</v>
      </c>
      <c r="S196" s="98">
        <f>R196+377746.17</f>
        <v>1208073.9055000001</v>
      </c>
      <c r="T196" s="98">
        <v>0</v>
      </c>
      <c r="U196" s="98">
        <f>560203.4+S196</f>
        <v>1768277.3055000002</v>
      </c>
      <c r="V196" s="98">
        <f>221907.56+U196</f>
        <v>1990184.8655000003</v>
      </c>
      <c r="W196" s="98">
        <f>V196</f>
        <v>1990184.8655000003</v>
      </c>
      <c r="X196" s="255">
        <v>0</v>
      </c>
      <c r="Y196" s="191">
        <v>1889173.73</v>
      </c>
      <c r="Z196" s="256">
        <v>0</v>
      </c>
      <c r="AA196" s="255">
        <f>Y196-W196</f>
        <v>-101011.13550000032</v>
      </c>
      <c r="AB196" s="255">
        <f t="shared" si="223"/>
        <v>0</v>
      </c>
      <c r="AC196" s="141">
        <v>786425</v>
      </c>
      <c r="AD196" s="141">
        <f>AC196</f>
        <v>786425</v>
      </c>
      <c r="AE196" s="141">
        <f t="shared" si="226"/>
        <v>786425</v>
      </c>
      <c r="AF196" s="141">
        <f t="shared" si="226"/>
        <v>786425</v>
      </c>
      <c r="AG196" s="141">
        <v>0</v>
      </c>
      <c r="AH196" s="89">
        <v>846458.45000000007</v>
      </c>
      <c r="AI196" s="139">
        <v>0</v>
      </c>
      <c r="AJ196" s="140">
        <f t="shared" si="224"/>
        <v>60033.45000000007</v>
      </c>
      <c r="AK196" s="140">
        <f t="shared" si="224"/>
        <v>0</v>
      </c>
      <c r="AL196" s="47">
        <f t="shared" si="225"/>
        <v>4086124.2255000006</v>
      </c>
      <c r="AM196" s="47">
        <f t="shared" si="225"/>
        <v>0</v>
      </c>
      <c r="AN196"/>
      <c r="AO196" s="17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</row>
    <row r="197" spans="1:154" s="19" customFormat="1" ht="90" customHeight="1">
      <c r="A197" s="190" t="s">
        <v>368</v>
      </c>
      <c r="B197" s="190" t="s">
        <v>369</v>
      </c>
      <c r="C197" s="183">
        <v>7168600.7999999998</v>
      </c>
      <c r="D197" s="183">
        <v>7168600.7999999998</v>
      </c>
      <c r="E197" s="98">
        <v>3141576.12</v>
      </c>
      <c r="F197" s="191">
        <v>1865945.6271602656</v>
      </c>
      <c r="G197" s="191">
        <v>0</v>
      </c>
      <c r="H197" s="98">
        <v>585765.75</v>
      </c>
      <c r="I197" s="98">
        <v>26356.25</v>
      </c>
      <c r="J197" s="98">
        <f t="shared" si="222"/>
        <v>-1280179.8771602656</v>
      </c>
      <c r="K197" s="98">
        <f t="shared" si="222"/>
        <v>26356.25</v>
      </c>
      <c r="L197" s="97">
        <v>0</v>
      </c>
      <c r="M197" s="98">
        <v>0</v>
      </c>
      <c r="N197" s="98">
        <v>464160.10299999994</v>
      </c>
      <c r="O197" s="98">
        <v>0</v>
      </c>
      <c r="P197" s="231">
        <v>0</v>
      </c>
      <c r="Q197" s="138">
        <f>N197+88239.21</f>
        <v>552399.31299999997</v>
      </c>
      <c r="R197" s="138">
        <v>0</v>
      </c>
      <c r="S197" s="138">
        <v>0</v>
      </c>
      <c r="T197" s="138">
        <f>Q197+66610.89</f>
        <v>619010.20299999998</v>
      </c>
      <c r="U197" s="138">
        <f>T197+652824.25</f>
        <v>1271834.453</v>
      </c>
      <c r="V197" s="138">
        <f>U197+1305648.5</f>
        <v>2577482.9529999997</v>
      </c>
      <c r="W197" s="138">
        <f>V197</f>
        <v>2577482.9529999997</v>
      </c>
      <c r="X197" s="265">
        <v>0</v>
      </c>
      <c r="Y197" s="187">
        <v>1704955.52</v>
      </c>
      <c r="Z197" s="266">
        <v>0</v>
      </c>
      <c r="AA197" s="265">
        <f>Y197-W197</f>
        <v>-872527.43299999973</v>
      </c>
      <c r="AB197" s="265">
        <f t="shared" si="223"/>
        <v>0</v>
      </c>
      <c r="AC197" s="267">
        <v>652825</v>
      </c>
      <c r="AD197" s="267">
        <f>AC197</f>
        <v>652825</v>
      </c>
      <c r="AE197" s="267">
        <f t="shared" si="226"/>
        <v>652825</v>
      </c>
      <c r="AF197" s="267">
        <f t="shared" si="226"/>
        <v>652825</v>
      </c>
      <c r="AG197" s="267">
        <v>0</v>
      </c>
      <c r="AH197" s="86">
        <v>573087.73</v>
      </c>
      <c r="AI197" s="268">
        <v>0</v>
      </c>
      <c r="AJ197" s="269">
        <f t="shared" si="224"/>
        <v>-79737.270000000019</v>
      </c>
      <c r="AK197" s="269">
        <f t="shared" si="224"/>
        <v>0</v>
      </c>
      <c r="AL197" s="85">
        <f t="shared" si="225"/>
        <v>3816073.7029999997</v>
      </c>
      <c r="AM197" s="85">
        <f t="shared" si="225"/>
        <v>26356.25</v>
      </c>
      <c r="AN197"/>
      <c r="AO197" s="1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</row>
    <row r="198" spans="1:154" ht="18.75" customHeight="1">
      <c r="A198" s="292"/>
      <c r="B198" s="292"/>
      <c r="C198" s="292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3"/>
      <c r="Q198" s="293"/>
      <c r="R198" s="293"/>
      <c r="S198" s="293"/>
      <c r="T198" s="293"/>
      <c r="U198" s="293"/>
      <c r="V198" s="293"/>
      <c r="W198" s="29"/>
      <c r="X198" s="29"/>
      <c r="Y198" s="45"/>
      <c r="Z198" s="45"/>
      <c r="AA198" s="29"/>
      <c r="AB198" s="29"/>
      <c r="AC198" s="30"/>
      <c r="AD198" s="30"/>
      <c r="AE198" s="30"/>
      <c r="AF198" s="30"/>
      <c r="AG198" s="30"/>
      <c r="AH198" s="46"/>
      <c r="AI198" s="46"/>
      <c r="AJ198" s="31"/>
      <c r="AK198" s="31"/>
      <c r="AL198" s="31"/>
      <c r="AM198" s="31"/>
    </row>
    <row r="199" spans="1:154" ht="47.25" customHeight="1">
      <c r="A199" s="293"/>
      <c r="B199" s="293"/>
      <c r="C199" s="293"/>
      <c r="D199" s="293"/>
      <c r="E199" s="293"/>
      <c r="F199" s="293"/>
      <c r="G199" s="293"/>
      <c r="H199" s="293"/>
      <c r="I199" s="293"/>
      <c r="J199" s="293"/>
      <c r="K199" s="293"/>
      <c r="L199" s="293"/>
      <c r="M199" s="293"/>
      <c r="N199" s="293"/>
      <c r="O199" s="32"/>
      <c r="P199" s="33"/>
      <c r="Q199" s="34"/>
      <c r="R199" s="34"/>
      <c r="S199" s="35"/>
      <c r="T199" s="35"/>
      <c r="U199" s="35"/>
      <c r="V199" s="261" t="s">
        <v>383</v>
      </c>
      <c r="W199" s="261"/>
      <c r="X199" s="262"/>
      <c r="Y199" s="262"/>
      <c r="Z199" s="309"/>
      <c r="AA199" s="309"/>
      <c r="AB199" s="309"/>
      <c r="AC199" s="309"/>
      <c r="AF199" s="36"/>
      <c r="AG199" s="36"/>
      <c r="AH199" s="46"/>
      <c r="AI199" s="46"/>
      <c r="AJ199" s="31"/>
      <c r="AK199" s="31"/>
      <c r="AL199" s="31"/>
      <c r="AM199" s="31"/>
    </row>
    <row r="200" spans="1:154" ht="30.75">
      <c r="A200" s="273">
        <v>41591</v>
      </c>
      <c r="B200" s="264"/>
      <c r="N200" s="7"/>
      <c r="O200" s="8"/>
      <c r="P200" s="41"/>
      <c r="V200" s="261" t="s">
        <v>384</v>
      </c>
      <c r="AD200" s="288" t="s">
        <v>385</v>
      </c>
      <c r="AE200" s="288"/>
    </row>
    <row r="201" spans="1:154">
      <c r="A201" s="263" t="s">
        <v>381</v>
      </c>
      <c r="B201" s="264"/>
    </row>
    <row r="202" spans="1:154">
      <c r="A202" s="272" t="s">
        <v>382</v>
      </c>
      <c r="B202" s="264"/>
    </row>
  </sheetData>
  <autoFilter ref="A10:EX197"/>
  <mergeCells count="26">
    <mergeCell ref="AD200:AE200"/>
    <mergeCell ref="A5:AM5"/>
    <mergeCell ref="AC3:AM4"/>
    <mergeCell ref="AM8:AM9"/>
    <mergeCell ref="A198:V198"/>
    <mergeCell ref="A199:N199"/>
    <mergeCell ref="AH7:AI8"/>
    <mergeCell ref="AJ7:AK8"/>
    <mergeCell ref="AL7:AM7"/>
    <mergeCell ref="J7:K8"/>
    <mergeCell ref="L7:X7"/>
    <mergeCell ref="Y7:Z8"/>
    <mergeCell ref="AA7:AB8"/>
    <mergeCell ref="AC7:AG7"/>
    <mergeCell ref="AL8:AL9"/>
    <mergeCell ref="Z199:AC199"/>
    <mergeCell ref="A2:AM2"/>
    <mergeCell ref="A7:A9"/>
    <mergeCell ref="B7:B9"/>
    <mergeCell ref="C7:C9"/>
    <mergeCell ref="D7:D9"/>
    <mergeCell ref="E7:E9"/>
    <mergeCell ref="F7:G8"/>
    <mergeCell ref="H7:I8"/>
    <mergeCell ref="X8:X9"/>
    <mergeCell ref="AG8:AG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6" fitToWidth="3" fitToHeight="0" orientation="landscape" r:id="rId1"/>
  <headerFooter>
    <oddHeader>&amp;C&amp;P</oddHeader>
    <oddFooter>&amp;L&amp;F; Mērķi maksājumiem finansējuma saņēmējiem 2013.gadam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Mērķi maksājumiem 2013. - 2015.</vt:lpstr>
      <vt:lpstr>'Mērķi maksājumiem 2013. - 2015.'!Print_Area</vt:lpstr>
      <vt:lpstr>'Mērķi maksājumiem 2013. - 2015.'!Print_Titles</vt:lpstr>
    </vt:vector>
  </TitlesOfParts>
  <Company>Finanšu ministrija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Atbildīgo iestāžu plānotie maksājumi finansējuma saņēmējiem ES fondu ietvaros (LVL)</dc:title>
  <dc:subject>Atbildīgo iestāžu plānotie maksājumi finansējuma saņēmējiem ES fondu ietvaros (LVL)</dc:subject>
  <dc:creator>Artūrs Šluburs</dc:creator>
  <dc:description>Artūrs Šluburs
Eiropas Savienības fondu uzraudzības departamenta
Uzņēmējdarbības un inovāciju nodaļas vecākais eksperts
Tālr. 67083964, fakss 67095697
Arturs.Sluburs@fm.gov.lv</dc:description>
  <cp:lastModifiedBy>Artūrs Šluburs</cp:lastModifiedBy>
  <cp:lastPrinted>2013-11-14T11:23:09Z</cp:lastPrinted>
  <dcterms:created xsi:type="dcterms:W3CDTF">2013-10-07T08:26:10Z</dcterms:created>
  <dcterms:modified xsi:type="dcterms:W3CDTF">2013-11-15T12:09:34Z</dcterms:modified>
</cp:coreProperties>
</file>