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x\FUD\IEVIEŠANAS UZRAUDZĪBA\ZIŅOJUMI_MAKSĀJUMU PROGNOZES EK\VI cet.ziņoj.par ES fondu apguvi\1 - MK\2013.gads\24. - 01.03.2014\Precizets_pec_nosutisanas_AI_SI\Pielikumi\"/>
    </mc:Choice>
  </mc:AlternateContent>
  <bookViews>
    <workbookView xWindow="-15" yWindow="345" windowWidth="14400" windowHeight="12480" tabRatio="623" firstSheet="8" activeTab="8"/>
  </bookViews>
  <sheets>
    <sheet name="Prioritasu_dalijums" sheetId="47" state="hidden" r:id="rId1"/>
    <sheet name="Virssaistības_progress" sheetId="6" state="hidden" r:id="rId2"/>
    <sheet name="NEZIMANTOTneatbilst" sheetId="28" state="hidden" r:id="rId3"/>
    <sheet name="lauzti_līg" sheetId="29" state="hidden" r:id="rId4"/>
    <sheet name="Nosl_līg" sheetId="30" state="hidden" r:id="rId5"/>
    <sheet name="publ_fin" sheetId="34" state="hidden" r:id="rId6"/>
    <sheet name="MP2013" sheetId="32" state="hidden" r:id="rId7"/>
    <sheet name="koeficients" sheetId="37" state="hidden" r:id="rId8"/>
    <sheet name="Neizpildes, LVL" sheetId="40" r:id="rId9"/>
    <sheet name="Darba fails neizpildēm" sheetId="41" state="hidden" r:id="rId10"/>
    <sheet name="Mērķu izpilde" sheetId="46" state="hidden" r:id="rId11"/>
    <sheet name="Ligumu_plani_apst_MKZ" sheetId="43" state="hidden" r:id="rId12"/>
    <sheet name="Statusa tabula" sheetId="44" state="hidden" r:id="rId13"/>
    <sheet name="Grafiks_1_Dec_2013" sheetId="39" state="hidden" r:id="rId14"/>
    <sheet name="Grafiks_2_Neatbilstību segšana" sheetId="48" state="hidden" r:id="rId15"/>
  </sheets>
  <externalReferences>
    <externalReference r:id="rId16"/>
    <externalReference r:id="rId17"/>
    <externalReference r:id="rId18"/>
  </externalReferences>
  <definedNames>
    <definedName name="_xlnm._FilterDatabase" localSheetId="9" hidden="1">'Darba fails neizpildēm'!$A$16:$AC$262</definedName>
    <definedName name="_xlnm._FilterDatabase" localSheetId="11" hidden="1">Ligumu_plani_apst_MKZ!$A$15:$W$61</definedName>
    <definedName name="_xlnm._FilterDatabase" localSheetId="8" hidden="1">'Neizpildes, LVL'!$A$17:$R$17</definedName>
    <definedName name="_xlnm._FilterDatabase" localSheetId="0" hidden="1">Prioritasu_dalijums!$A$15:$L$33</definedName>
    <definedName name="_xlnm._FilterDatabase" localSheetId="1" hidden="1">Virssaistības_progress!$A$16:$AB$262</definedName>
    <definedName name="_xlnm.Print_Area" localSheetId="8">'Neizpildes, LVL'!$A$1:$R$65</definedName>
    <definedName name="_xlnm.Print_Area" localSheetId="1">Virssaistības_progress!$A$1:$Y$263</definedName>
    <definedName name="_xlnm.Print_Titles" localSheetId="8">'Neizpildes, LVL'!$6:$7</definedName>
    <definedName name="_xlnm.Print_Titles" localSheetId="1">Virssaistības_progress!$4:$6</definedName>
  </definedNames>
  <calcPr calcId="152511"/>
  <customWorkbookViews>
    <customWorkbookView name="Inga Balode - Personal View" guid="{8B78E06E-42F5-46F9-BC31-BE4230723415}" mergeInterval="0" personalView="1" maximized="1" xWindow="1" yWindow="1" windowWidth="1024" windowHeight="542" activeSheetId="1"/>
    <customWorkbookView name="Grante Dita - Personal View" guid="{071BD56D-49F3-4830-AA49-832AB18442DA}" mergeInterval="0" personalView="1" maximized="1" xWindow="1" yWindow="1" windowWidth="1280" windowHeight="804" activeSheetId="1" showComments="commIndAndComment"/>
    <customWorkbookView name="fsd-vilde - Personal View" guid="{CE2F9B1E-42A5-4921-AD2C-BAA2FAE8F84E}" mergeInterval="0" personalView="1" maximized="1" xWindow="1" yWindow="1" windowWidth="1152" windowHeight="643" activeSheetId="1"/>
    <customWorkbookView name="fud-albin - Personal View" guid="{CA72AE52-AB7B-4B59-88FC-62C104034738}" mergeInterval="0" personalView="1" maximized="1" xWindow="1" yWindow="1" windowWidth="1280" windowHeight="782" activeSheetId="1"/>
    <customWorkbookView name="es-dolbu - Personal View" guid="{D16958F7-EADF-470B-BCCB-C285D64A9969}" mergeInterval="0" personalView="1" maximized="1" xWindow="1" yWindow="1" windowWidth="1152" windowHeight="643" activeSheetId="1"/>
    <customWorkbookView name="es-drazn - Personal View" guid="{66F78BDC-EF00-417C-8719-D1DD7D4F8A6F}" mergeInterval="0" personalView="1" maximized="1" xWindow="1" yWindow="1" windowWidth="1152" windowHeight="643" activeSheetId="1"/>
    <customWorkbookView name="it-breik - Personal View" guid="{4D9D6020-4B9F-4592-AF04-6BE675921256}" mergeInterval="0" personalView="1" maximized="1" xWindow="1" yWindow="1" windowWidth="1280" windowHeight="805" activeSheetId="1"/>
    <customWorkbookView name="es-murni - Personal View" guid="{B630F875-ABC6-47AE-A71B-262D51AE3B53}" mergeInterval="0" personalView="1" maximized="1" xWindow="1" yWindow="1" windowWidth="1280" windowHeight="803" tabRatio="325" activeSheetId="1"/>
    <customWorkbookView name="pd-auder - Personal View" guid="{1B3811A1-226A-408D-9227-AFDEB1DA163B}" mergeInterval="0" personalView="1" maximized="1" xWindow="1" yWindow="1" windowWidth="1024" windowHeight="547" activeSheetId="1"/>
    <customWorkbookView name="es-sparn - Personal View" guid="{D856094A-916A-479F-90F3-26AD004B3022}" mergeInterval="0" personalView="1" maximized="1" xWindow="1" yWindow="1" windowWidth="1280" windowHeight="768" activeSheetId="1"/>
    <customWorkbookView name="pd-radvi - Personal View" guid="{F0B32F6D-42BD-46A3-BA22-028FEAFE569C}" mergeInterval="0" personalView="1" maximized="1" xWindow="1" yWindow="1" windowWidth="1280" windowHeight="780" activeSheetId="1"/>
    <customWorkbookView name="es-muran - Personal View" guid="{8B7C6BB7-45FF-402B-981E-E6FFFABEA84E}" mergeInterval="0" personalView="1" maximized="1" xWindow="1" yWindow="1" windowWidth="1280" windowHeight="798" activeSheetId="1" showComments="commIndAndComment"/>
  </customWorkbookViews>
</workbook>
</file>

<file path=xl/calcChain.xml><?xml version="1.0" encoding="utf-8"?>
<calcChain xmlns="http://schemas.openxmlformats.org/spreadsheetml/2006/main">
  <c r="I11" i="47" l="1"/>
  <c r="J11" i="47"/>
  <c r="I7" i="47"/>
  <c r="J7" i="47"/>
  <c r="J15" i="47"/>
  <c r="I15" i="47"/>
  <c r="J10" i="47"/>
  <c r="I10" i="47"/>
  <c r="J14" i="47"/>
  <c r="I14" i="47"/>
  <c r="J13" i="47"/>
  <c r="I13" i="47"/>
  <c r="J9" i="47"/>
  <c r="I9" i="47"/>
  <c r="P109" i="6" l="1"/>
  <c r="P108" i="6" s="1"/>
  <c r="P107" i="6" s="1"/>
  <c r="B26" i="39"/>
  <c r="B23" i="39"/>
  <c r="G24" i="47" l="1"/>
  <c r="E13" i="48" l="1"/>
  <c r="Q45" i="40" l="1"/>
  <c r="Q33" i="40"/>
  <c r="Q30" i="40"/>
  <c r="Q23" i="40"/>
  <c r="F23" i="40" l="1"/>
  <c r="K39" i="40" l="1"/>
  <c r="L39" i="40" s="1"/>
  <c r="K38" i="40"/>
  <c r="L38" i="40" s="1"/>
  <c r="K37" i="40"/>
  <c r="L37" i="40" s="1"/>
  <c r="K36" i="40"/>
  <c r="L36" i="40" s="1"/>
  <c r="K35" i="40"/>
  <c r="L35" i="40" s="1"/>
  <c r="K34" i="40"/>
  <c r="K33" i="40" l="1"/>
  <c r="L34" i="40"/>
  <c r="L33" i="40" s="1"/>
  <c r="L20" i="40"/>
  <c r="J47" i="40" l="1"/>
  <c r="J46" i="40"/>
  <c r="J25" i="40"/>
  <c r="J20" i="40"/>
  <c r="K25" i="40" l="1"/>
  <c r="L25" i="40" s="1"/>
  <c r="K46" i="40"/>
  <c r="K47" i="40"/>
  <c r="L47" i="40" s="1"/>
  <c r="P14" i="6"/>
  <c r="P10" i="6" s="1"/>
  <c r="P15" i="6"/>
  <c r="P13" i="6"/>
  <c r="P9" i="6" s="1"/>
  <c r="P11" i="6"/>
  <c r="K45" i="40" l="1"/>
  <c r="L46" i="40"/>
  <c r="L45" i="40" s="1"/>
  <c r="P7" i="6"/>
  <c r="I68" i="6"/>
  <c r="I20" i="6" l="1"/>
  <c r="T25" i="6" l="1"/>
  <c r="U25" i="6" s="1"/>
  <c r="T24" i="6"/>
  <c r="U24" i="6" s="1"/>
  <c r="BC27" i="46" l="1"/>
  <c r="AY27" i="46"/>
  <c r="AX27" i="46"/>
  <c r="AT27" i="46"/>
  <c r="AS27" i="46"/>
  <c r="AO27" i="46"/>
  <c r="AN27" i="46"/>
  <c r="AI27" i="46"/>
  <c r="AH27" i="46"/>
  <c r="AD27" i="46"/>
  <c r="AC27" i="46"/>
  <c r="Y27" i="46"/>
  <c r="X27" i="46"/>
  <c r="T27" i="46"/>
  <c r="S27" i="46"/>
  <c r="O27" i="46"/>
  <c r="N27" i="46"/>
  <c r="J27" i="46"/>
  <c r="I27" i="46"/>
  <c r="E27" i="46"/>
  <c r="D27" i="46"/>
  <c r="C27" i="46"/>
  <c r="B27" i="46"/>
  <c r="BC26" i="46"/>
  <c r="AY26" i="46"/>
  <c r="AX26" i="46"/>
  <c r="AT26" i="46"/>
  <c r="AS26" i="46"/>
  <c r="AO26" i="46"/>
  <c r="AN26" i="46"/>
  <c r="AI26" i="46"/>
  <c r="AH26" i="46"/>
  <c r="AD26" i="46"/>
  <c r="AC26" i="46"/>
  <c r="Y26" i="46"/>
  <c r="X26" i="46"/>
  <c r="T26" i="46"/>
  <c r="S26" i="46"/>
  <c r="O26" i="46"/>
  <c r="N26" i="46"/>
  <c r="J26" i="46"/>
  <c r="I26" i="46"/>
  <c r="E26" i="46"/>
  <c r="D26" i="46"/>
  <c r="C26" i="46"/>
  <c r="B26" i="46"/>
  <c r="BC25" i="46"/>
  <c r="AY25" i="46"/>
  <c r="AX25" i="46"/>
  <c r="AT25" i="46"/>
  <c r="AS25" i="46"/>
  <c r="AO25" i="46"/>
  <c r="AN25" i="46"/>
  <c r="AI25" i="46"/>
  <c r="AH25" i="46"/>
  <c r="AD25" i="46"/>
  <c r="AC25" i="46"/>
  <c r="Y25" i="46"/>
  <c r="X25" i="46"/>
  <c r="T25" i="46"/>
  <c r="S25" i="46"/>
  <c r="O25" i="46"/>
  <c r="N25" i="46"/>
  <c r="J25" i="46"/>
  <c r="I25" i="46"/>
  <c r="E25" i="46"/>
  <c r="D25" i="46"/>
  <c r="C25" i="46"/>
  <c r="B25" i="46"/>
  <c r="BC24" i="46"/>
  <c r="AY24" i="46"/>
  <c r="AX24" i="46"/>
  <c r="AT24" i="46"/>
  <c r="AS24" i="46"/>
  <c r="AO24" i="46"/>
  <c r="AN24" i="46"/>
  <c r="AI24" i="46"/>
  <c r="AH24" i="46"/>
  <c r="AD24" i="46"/>
  <c r="AC24" i="46"/>
  <c r="Y24" i="46"/>
  <c r="X24" i="46"/>
  <c r="T24" i="46"/>
  <c r="S24" i="46"/>
  <c r="O24" i="46"/>
  <c r="N24" i="46"/>
  <c r="J24" i="46"/>
  <c r="I24" i="46"/>
  <c r="E24" i="46"/>
  <c r="D24" i="46"/>
  <c r="C24" i="46"/>
  <c r="B24" i="46"/>
  <c r="BC22" i="46"/>
  <c r="AY22" i="46"/>
  <c r="AX22" i="46"/>
  <c r="AT22" i="46"/>
  <c r="AS22" i="46"/>
  <c r="AO22" i="46"/>
  <c r="AN22" i="46"/>
  <c r="AI22" i="46"/>
  <c r="AH22" i="46"/>
  <c r="AD22" i="46"/>
  <c r="AC22" i="46"/>
  <c r="Y22" i="46"/>
  <c r="X22" i="46"/>
  <c r="T22" i="46"/>
  <c r="S22" i="46"/>
  <c r="O22" i="46"/>
  <c r="N22" i="46"/>
  <c r="J22" i="46"/>
  <c r="I22" i="46"/>
  <c r="E22" i="46"/>
  <c r="D22" i="46"/>
  <c r="C22" i="46"/>
  <c r="B22" i="46"/>
  <c r="BC21" i="46"/>
  <c r="AY21" i="46"/>
  <c r="AX21" i="46"/>
  <c r="AT21" i="46"/>
  <c r="AS21" i="46"/>
  <c r="AO21" i="46"/>
  <c r="AN21" i="46"/>
  <c r="AI21" i="46"/>
  <c r="AH21" i="46"/>
  <c r="AD21" i="46"/>
  <c r="AC21" i="46"/>
  <c r="Y21" i="46"/>
  <c r="X21" i="46"/>
  <c r="T21" i="46"/>
  <c r="S21" i="46"/>
  <c r="O21" i="46"/>
  <c r="N21" i="46"/>
  <c r="J21" i="46"/>
  <c r="I21" i="46"/>
  <c r="E21" i="46"/>
  <c r="D21" i="46"/>
  <c r="C21" i="46"/>
  <c r="B21" i="46"/>
  <c r="BC20" i="46"/>
  <c r="AY20" i="46"/>
  <c r="AX20" i="46"/>
  <c r="AT20" i="46"/>
  <c r="AS20" i="46"/>
  <c r="AO20" i="46"/>
  <c r="AN20" i="46"/>
  <c r="AI20" i="46"/>
  <c r="AH20" i="46"/>
  <c r="AD20" i="46"/>
  <c r="AC20" i="46"/>
  <c r="Y20" i="46"/>
  <c r="X20" i="46"/>
  <c r="T20" i="46"/>
  <c r="S20" i="46"/>
  <c r="O20" i="46"/>
  <c r="N20" i="46"/>
  <c r="J20" i="46"/>
  <c r="I20" i="46"/>
  <c r="E20" i="46"/>
  <c r="D20" i="46"/>
  <c r="C20" i="46"/>
  <c r="B20" i="46"/>
  <c r="BC19" i="46"/>
  <c r="AY19" i="46"/>
  <c r="AX19" i="46"/>
  <c r="AT19" i="46"/>
  <c r="AS19" i="46"/>
  <c r="AO19" i="46"/>
  <c r="AN19" i="46"/>
  <c r="AI19" i="46"/>
  <c r="AH19" i="46"/>
  <c r="AD19" i="46"/>
  <c r="AC19" i="46"/>
  <c r="Y19" i="46"/>
  <c r="X19" i="46"/>
  <c r="T19" i="46"/>
  <c r="S19" i="46"/>
  <c r="O19" i="46"/>
  <c r="N19" i="46"/>
  <c r="J19" i="46"/>
  <c r="I19" i="46"/>
  <c r="E19" i="46"/>
  <c r="D19" i="46"/>
  <c r="C19" i="46"/>
  <c r="B19" i="46"/>
  <c r="BC18" i="46"/>
  <c r="AY18" i="46"/>
  <c r="AY36" i="46" s="1"/>
  <c r="AX18" i="46"/>
  <c r="AX36" i="46" s="1"/>
  <c r="AT18" i="46"/>
  <c r="AT36" i="46" s="1"/>
  <c r="AS18" i="46"/>
  <c r="AS36" i="46" s="1"/>
  <c r="AO18" i="46"/>
  <c r="AO36" i="46" s="1"/>
  <c r="AN18" i="46"/>
  <c r="AN36" i="46" s="1"/>
  <c r="AI18" i="46"/>
  <c r="AI36" i="46" s="1"/>
  <c r="AH18" i="46"/>
  <c r="AH36" i="46" s="1"/>
  <c r="AD18" i="46"/>
  <c r="AD36" i="46" s="1"/>
  <c r="AC18" i="46"/>
  <c r="AC36" i="46" s="1"/>
  <c r="Y18" i="46"/>
  <c r="Y36" i="46" s="1"/>
  <c r="X18" i="46"/>
  <c r="X36" i="46" s="1"/>
  <c r="T18" i="46"/>
  <c r="S18" i="46"/>
  <c r="S36" i="46" s="1"/>
  <c r="O18" i="46"/>
  <c r="N18" i="46"/>
  <c r="N36" i="46" s="1"/>
  <c r="J18" i="46"/>
  <c r="J36" i="46" s="1"/>
  <c r="I18" i="46"/>
  <c r="I36" i="46" s="1"/>
  <c r="E18" i="46"/>
  <c r="E36" i="46" s="1"/>
  <c r="D18" i="46"/>
  <c r="D36" i="46" s="1"/>
  <c r="C18" i="46"/>
  <c r="C36" i="46" s="1"/>
  <c r="B18" i="46"/>
  <c r="B36" i="46" s="1"/>
  <c r="BC17" i="46"/>
  <c r="AY17" i="46"/>
  <c r="AX17" i="46"/>
  <c r="AT17" i="46"/>
  <c r="AS17" i="46"/>
  <c r="AO17" i="46"/>
  <c r="AN17" i="46"/>
  <c r="AI17" i="46"/>
  <c r="AH17" i="46"/>
  <c r="AD17" i="46"/>
  <c r="AC17" i="46"/>
  <c r="Y17" i="46"/>
  <c r="X17" i="46"/>
  <c r="T17" i="46"/>
  <c r="S17" i="46"/>
  <c r="O17" i="46"/>
  <c r="N17" i="46"/>
  <c r="J17" i="46"/>
  <c r="I17" i="46"/>
  <c r="E17" i="46"/>
  <c r="D17" i="46"/>
  <c r="C17" i="46"/>
  <c r="B17" i="46"/>
  <c r="BC16" i="46"/>
  <c r="AY16" i="46"/>
  <c r="AX16" i="46"/>
  <c r="AT16" i="46"/>
  <c r="AS16" i="46"/>
  <c r="AO16" i="46"/>
  <c r="AN16" i="46"/>
  <c r="AI16" i="46"/>
  <c r="AH16" i="46"/>
  <c r="AD16" i="46"/>
  <c r="AC16" i="46"/>
  <c r="Y16" i="46"/>
  <c r="X16" i="46"/>
  <c r="T16" i="46"/>
  <c r="S16" i="46"/>
  <c r="O16" i="46"/>
  <c r="N16" i="46"/>
  <c r="J16" i="46"/>
  <c r="I16" i="46"/>
  <c r="E16" i="46"/>
  <c r="D16" i="46"/>
  <c r="C16" i="46"/>
  <c r="B16" i="46"/>
  <c r="BC15" i="46"/>
  <c r="AY15" i="46"/>
  <c r="AX15" i="46"/>
  <c r="AT15" i="46"/>
  <c r="AS15" i="46"/>
  <c r="AO15" i="46"/>
  <c r="AN15" i="46"/>
  <c r="AI15" i="46"/>
  <c r="AH15" i="46"/>
  <c r="AD15" i="46"/>
  <c r="AC15" i="46"/>
  <c r="Y15" i="46"/>
  <c r="X15" i="46"/>
  <c r="T15" i="46"/>
  <c r="S15" i="46"/>
  <c r="O15" i="46"/>
  <c r="N15" i="46"/>
  <c r="J15" i="46"/>
  <c r="I15" i="46"/>
  <c r="E15" i="46"/>
  <c r="D15" i="46"/>
  <c r="C15" i="46"/>
  <c r="B15" i="46"/>
  <c r="BC13" i="46"/>
  <c r="AY13" i="46"/>
  <c r="AY39" i="46" s="1"/>
  <c r="AX13" i="46"/>
  <c r="AX39" i="46" s="1"/>
  <c r="AT13" i="46"/>
  <c r="AT39" i="46" s="1"/>
  <c r="AS13" i="46"/>
  <c r="AS39" i="46" s="1"/>
  <c r="AO13" i="46"/>
  <c r="AN13" i="46"/>
  <c r="AN39" i="46" s="1"/>
  <c r="AI13" i="46"/>
  <c r="AI39" i="46" s="1"/>
  <c r="AH13" i="46"/>
  <c r="AH39" i="46" s="1"/>
  <c r="AD13" i="46"/>
  <c r="AD39" i="46" s="1"/>
  <c r="AC13" i="46"/>
  <c r="AC39" i="46" s="1"/>
  <c r="Y13" i="46"/>
  <c r="Y39" i="46" s="1"/>
  <c r="X13" i="46"/>
  <c r="X39" i="46" s="1"/>
  <c r="T13" i="46"/>
  <c r="S13" i="46"/>
  <c r="S39" i="46" s="1"/>
  <c r="O13" i="46"/>
  <c r="O39" i="46" s="1"/>
  <c r="N13" i="46"/>
  <c r="N39" i="46" s="1"/>
  <c r="J13" i="46"/>
  <c r="J39" i="46" s="1"/>
  <c r="I13" i="46"/>
  <c r="I39" i="46" s="1"/>
  <c r="E13" i="46"/>
  <c r="D13" i="46"/>
  <c r="D39" i="46" s="1"/>
  <c r="C13" i="46"/>
  <c r="C39" i="46" s="1"/>
  <c r="B13" i="46"/>
  <c r="B39" i="46" s="1"/>
  <c r="BC12" i="46"/>
  <c r="AY12" i="46"/>
  <c r="AX12" i="46"/>
  <c r="AT12" i="46"/>
  <c r="AS12" i="46"/>
  <c r="AO12" i="46"/>
  <c r="AN12" i="46"/>
  <c r="AI12" i="46"/>
  <c r="AH12" i="46"/>
  <c r="AD12" i="46"/>
  <c r="AC12" i="46"/>
  <c r="Y12" i="46"/>
  <c r="X12" i="46"/>
  <c r="T12" i="46"/>
  <c r="S12" i="46"/>
  <c r="O12" i="46"/>
  <c r="N12" i="46"/>
  <c r="J12" i="46"/>
  <c r="I12" i="46"/>
  <c r="E12" i="46"/>
  <c r="D12" i="46"/>
  <c r="C12" i="46"/>
  <c r="B12" i="46"/>
  <c r="BC11" i="46"/>
  <c r="AY11" i="46"/>
  <c r="AX11" i="46"/>
  <c r="AT11" i="46"/>
  <c r="AS11" i="46"/>
  <c r="AO11" i="46"/>
  <c r="AN11" i="46"/>
  <c r="AI11" i="46"/>
  <c r="AH11" i="46"/>
  <c r="AD11" i="46"/>
  <c r="AC11" i="46"/>
  <c r="Y11" i="46"/>
  <c r="X11" i="46"/>
  <c r="T11" i="46"/>
  <c r="S11" i="46"/>
  <c r="O11" i="46"/>
  <c r="N11" i="46"/>
  <c r="J11" i="46"/>
  <c r="I11" i="46"/>
  <c r="E11" i="46"/>
  <c r="D11" i="46"/>
  <c r="C11" i="46"/>
  <c r="B11" i="46"/>
  <c r="BC10" i="46"/>
  <c r="AY10" i="46"/>
  <c r="AX10" i="46"/>
  <c r="AT10" i="46"/>
  <c r="AS10" i="46"/>
  <c r="AS37" i="46" s="1"/>
  <c r="AO10" i="46"/>
  <c r="AN10" i="46"/>
  <c r="AN37" i="46" s="1"/>
  <c r="AI10" i="46"/>
  <c r="AH10" i="46"/>
  <c r="AD10" i="46"/>
  <c r="AC10" i="46"/>
  <c r="AC37" i="46" s="1"/>
  <c r="Y10" i="46"/>
  <c r="X10" i="46"/>
  <c r="T10" i="46"/>
  <c r="S10" i="46"/>
  <c r="S37" i="46" s="1"/>
  <c r="O10" i="46"/>
  <c r="N10" i="46"/>
  <c r="N37" i="46" s="1"/>
  <c r="J10" i="46"/>
  <c r="I10" i="46"/>
  <c r="I37" i="46" s="1"/>
  <c r="E10" i="46"/>
  <c r="E37" i="46" s="1"/>
  <c r="D10" i="46"/>
  <c r="C10" i="46"/>
  <c r="AZ10" i="46" s="1"/>
  <c r="B10" i="46"/>
  <c r="B37" i="46" s="1"/>
  <c r="BC9" i="46"/>
  <c r="AY9" i="46"/>
  <c r="AX9" i="46"/>
  <c r="AT9" i="46"/>
  <c r="AS9" i="46"/>
  <c r="AO9" i="46"/>
  <c r="AN9" i="46"/>
  <c r="AI9" i="46"/>
  <c r="AH9" i="46"/>
  <c r="AD9" i="46"/>
  <c r="AC9" i="46"/>
  <c r="Y9" i="46"/>
  <c r="X9" i="46"/>
  <c r="T9" i="46"/>
  <c r="S9" i="46"/>
  <c r="O9" i="46"/>
  <c r="N9" i="46"/>
  <c r="J9" i="46"/>
  <c r="I9" i="46"/>
  <c r="E9" i="46"/>
  <c r="D9" i="46"/>
  <c r="C9" i="46"/>
  <c r="B9" i="46"/>
  <c r="BC8" i="46"/>
  <c r="AY8" i="46"/>
  <c r="AX8" i="46"/>
  <c r="AT8" i="46"/>
  <c r="AS8" i="46"/>
  <c r="AO8" i="46"/>
  <c r="AN8" i="46"/>
  <c r="AI8" i="46"/>
  <c r="AH8" i="46"/>
  <c r="AD8" i="46"/>
  <c r="AC8" i="46"/>
  <c r="Y8" i="46"/>
  <c r="X8" i="46"/>
  <c r="T8" i="46"/>
  <c r="S8" i="46"/>
  <c r="O8" i="46"/>
  <c r="N8" i="46"/>
  <c r="J8" i="46"/>
  <c r="I8" i="46"/>
  <c r="E8" i="46"/>
  <c r="D8" i="46"/>
  <c r="C8" i="46"/>
  <c r="B8" i="46"/>
  <c r="BC7" i="46"/>
  <c r="AY7" i="46"/>
  <c r="AX7" i="46"/>
  <c r="AT7" i="46"/>
  <c r="AS7" i="46"/>
  <c r="AO7" i="46"/>
  <c r="AN7" i="46"/>
  <c r="AI7" i="46"/>
  <c r="AH7" i="46"/>
  <c r="AD7" i="46"/>
  <c r="AC7" i="46"/>
  <c r="Y7" i="46"/>
  <c r="X7" i="46"/>
  <c r="T7" i="46"/>
  <c r="S7" i="46"/>
  <c r="O7" i="46"/>
  <c r="N7" i="46"/>
  <c r="J7" i="46"/>
  <c r="I7" i="46"/>
  <c r="E7" i="46"/>
  <c r="D7" i="46"/>
  <c r="C7" i="46"/>
  <c r="B7" i="46"/>
  <c r="E40" i="46" l="1"/>
  <c r="AT40" i="46"/>
  <c r="D38" i="46"/>
  <c r="Y40" i="46"/>
  <c r="Z26" i="46"/>
  <c r="AA26" i="46" s="1"/>
  <c r="AZ27" i="46"/>
  <c r="BA27" i="46" s="1"/>
  <c r="J40" i="46"/>
  <c r="B40" i="46"/>
  <c r="K20" i="46"/>
  <c r="L20" i="46" s="1"/>
  <c r="B33" i="46"/>
  <c r="I33" i="46"/>
  <c r="S33" i="46"/>
  <c r="AX33" i="46"/>
  <c r="AH35" i="46"/>
  <c r="I35" i="46"/>
  <c r="S35" i="46"/>
  <c r="AC35" i="46"/>
  <c r="AN35" i="46"/>
  <c r="AX35" i="46"/>
  <c r="BB10" i="46"/>
  <c r="N41" i="46"/>
  <c r="X41" i="46"/>
  <c r="AH41" i="46"/>
  <c r="BD25" i="46"/>
  <c r="BE25" i="46" s="1"/>
  <c r="AZ20" i="46"/>
  <c r="BB20" i="46" s="1"/>
  <c r="AS33" i="46"/>
  <c r="O34" i="46"/>
  <c r="AH33" i="46"/>
  <c r="BC6" i="46"/>
  <c r="E34" i="46"/>
  <c r="J6" i="46"/>
  <c r="AJ15" i="46"/>
  <c r="AL15" i="46" s="1"/>
  <c r="P19" i="46"/>
  <c r="R19" i="46" s="1"/>
  <c r="F22" i="46"/>
  <c r="H22" i="46" s="1"/>
  <c r="B41" i="46"/>
  <c r="AX41" i="46"/>
  <c r="K22" i="46"/>
  <c r="L22" i="46" s="1"/>
  <c r="P25" i="46"/>
  <c r="Q25" i="46" s="1"/>
  <c r="Z25" i="46"/>
  <c r="AA25" i="46" s="1"/>
  <c r="AJ25" i="46"/>
  <c r="AK25" i="46" s="1"/>
  <c r="N14" i="46"/>
  <c r="C33" i="46"/>
  <c r="BC34" i="46"/>
  <c r="BD11" i="46"/>
  <c r="BE11" i="46" s="1"/>
  <c r="J41" i="46"/>
  <c r="BC40" i="46"/>
  <c r="B14" i="46"/>
  <c r="AZ22" i="46"/>
  <c r="BB22" i="46" s="1"/>
  <c r="D23" i="46"/>
  <c r="AH23" i="46"/>
  <c r="AJ26" i="46"/>
  <c r="AL26" i="46" s="1"/>
  <c r="AT41" i="46"/>
  <c r="S40" i="46"/>
  <c r="AN40" i="46"/>
  <c r="AX40" i="46"/>
  <c r="AN6" i="46"/>
  <c r="AZ12" i="46"/>
  <c r="BB12" i="46" s="1"/>
  <c r="BD26" i="46"/>
  <c r="BE26" i="46" s="1"/>
  <c r="P27" i="46"/>
  <c r="Q27" i="46" s="1"/>
  <c r="AU27" i="46"/>
  <c r="AW27" i="46" s="1"/>
  <c r="E33" i="46"/>
  <c r="O33" i="46"/>
  <c r="AI33" i="46"/>
  <c r="B34" i="46"/>
  <c r="S34" i="46"/>
  <c r="AC34" i="46"/>
  <c r="AX34" i="46"/>
  <c r="E41" i="46"/>
  <c r="Z11" i="46"/>
  <c r="AB11" i="46" s="1"/>
  <c r="AH40" i="46"/>
  <c r="AS40" i="46"/>
  <c r="AJ16" i="46"/>
  <c r="AK16" i="46" s="1"/>
  <c r="AJ22" i="46"/>
  <c r="AL22" i="46" s="1"/>
  <c r="Y23" i="46"/>
  <c r="AN23" i="46"/>
  <c r="U27" i="46"/>
  <c r="W27" i="46" s="1"/>
  <c r="AJ10" i="46"/>
  <c r="AM10" i="46" s="1"/>
  <c r="AJ11" i="46"/>
  <c r="AM11" i="46" s="1"/>
  <c r="P12" i="46"/>
  <c r="Q12" i="46" s="1"/>
  <c r="AJ17" i="46"/>
  <c r="AM17" i="46" s="1"/>
  <c r="AE25" i="46"/>
  <c r="AF25" i="46" s="1"/>
  <c r="AZ25" i="46"/>
  <c r="BA25" i="46" s="1"/>
  <c r="AY6" i="46"/>
  <c r="AZ16" i="46"/>
  <c r="BD24" i="46"/>
  <c r="BF24" i="46" s="1"/>
  <c r="G17" i="40" s="1"/>
  <c r="F17" i="40" s="1"/>
  <c r="AS23" i="46"/>
  <c r="P10" i="46"/>
  <c r="Q10" i="46" s="1"/>
  <c r="AZ15" i="46"/>
  <c r="BB15" i="46" s="1"/>
  <c r="AP17" i="46"/>
  <c r="AQ17" i="46" s="1"/>
  <c r="Z27" i="46"/>
  <c r="AB27" i="46" s="1"/>
  <c r="O6" i="46"/>
  <c r="D6" i="46"/>
  <c r="N34" i="46"/>
  <c r="AO34" i="46"/>
  <c r="S6" i="46"/>
  <c r="F11" i="46"/>
  <c r="H11" i="46" s="1"/>
  <c r="BD12" i="46"/>
  <c r="BE12" i="46" s="1"/>
  <c r="AZ13" i="46"/>
  <c r="BA13" i="46" s="1"/>
  <c r="E6" i="46"/>
  <c r="AI6" i="46"/>
  <c r="AC6" i="46"/>
  <c r="I34" i="46"/>
  <c r="P8" i="46"/>
  <c r="Q8" i="46" s="1"/>
  <c r="Y34" i="46"/>
  <c r="BD8" i="46"/>
  <c r="BF8" i="46" s="1"/>
  <c r="Y35" i="46"/>
  <c r="F10" i="46"/>
  <c r="H10" i="46" s="1"/>
  <c r="O37" i="46"/>
  <c r="X37" i="46"/>
  <c r="BC41" i="46"/>
  <c r="D40" i="46"/>
  <c r="N40" i="46"/>
  <c r="AD40" i="46"/>
  <c r="AO40" i="46"/>
  <c r="AJ13" i="46"/>
  <c r="AK13" i="46" s="1"/>
  <c r="AP16" i="46"/>
  <c r="AQ16" i="46" s="1"/>
  <c r="U16" i="46"/>
  <c r="V16" i="46" s="1"/>
  <c r="AE16" i="46"/>
  <c r="AG16" i="46" s="1"/>
  <c r="C38" i="46"/>
  <c r="S38" i="46"/>
  <c r="AN38" i="46"/>
  <c r="AE22" i="46"/>
  <c r="AF22" i="46" s="1"/>
  <c r="S23" i="46"/>
  <c r="K25" i="46"/>
  <c r="L25" i="46" s="1"/>
  <c r="U25" i="46"/>
  <c r="W25" i="46" s="1"/>
  <c r="P26" i="46"/>
  <c r="R26" i="46" s="1"/>
  <c r="AZ26" i="46"/>
  <c r="I23" i="46"/>
  <c r="AT6" i="46"/>
  <c r="C35" i="46"/>
  <c r="AD41" i="46"/>
  <c r="AH14" i="46"/>
  <c r="AP18" i="46"/>
  <c r="AP36" i="46" s="1"/>
  <c r="AR36" i="46" s="1"/>
  <c r="AS38" i="46"/>
  <c r="N23" i="46"/>
  <c r="K26" i="46"/>
  <c r="M26" i="46" s="1"/>
  <c r="U26" i="46"/>
  <c r="W26" i="46" s="1"/>
  <c r="AX23" i="46"/>
  <c r="AP7" i="46"/>
  <c r="AR7" i="46" s="1"/>
  <c r="AZ24" i="46"/>
  <c r="BA24" i="46" s="1"/>
  <c r="X6" i="46"/>
  <c r="F8" i="46"/>
  <c r="H8" i="46" s="1"/>
  <c r="AH34" i="46"/>
  <c r="AO41" i="46"/>
  <c r="AX14" i="46"/>
  <c r="Z15" i="46"/>
  <c r="AA15" i="46" s="1"/>
  <c r="F17" i="46"/>
  <c r="G17" i="46" s="1"/>
  <c r="Z18" i="46"/>
  <c r="Z36" i="46" s="1"/>
  <c r="AA36" i="46" s="1"/>
  <c r="C23" i="46"/>
  <c r="F24" i="46"/>
  <c r="G24" i="46" s="1"/>
  <c r="Z24" i="46"/>
  <c r="AA24" i="46" s="1"/>
  <c r="AE26" i="46"/>
  <c r="AG26" i="46" s="1"/>
  <c r="AP27" i="46"/>
  <c r="AQ27" i="46" s="1"/>
  <c r="AJ7" i="46"/>
  <c r="AZ7" i="46"/>
  <c r="BB7" i="46" s="1"/>
  <c r="AO35" i="46"/>
  <c r="AP9" i="46"/>
  <c r="AR9" i="46" s="1"/>
  <c r="AY41" i="46"/>
  <c r="AZ11" i="46"/>
  <c r="BB11" i="46" s="1"/>
  <c r="E39" i="46"/>
  <c r="F13" i="46"/>
  <c r="G13" i="46" s="1"/>
  <c r="K15" i="46"/>
  <c r="L15" i="46" s="1"/>
  <c r="P15" i="46"/>
  <c r="Q15" i="46" s="1"/>
  <c r="BD15" i="46"/>
  <c r="BE15" i="46" s="1"/>
  <c r="P17" i="46"/>
  <c r="BD17" i="46"/>
  <c r="BE17" i="46" s="1"/>
  <c r="BC36" i="46"/>
  <c r="BD18" i="46"/>
  <c r="BD36" i="46" s="1"/>
  <c r="BE36" i="46" s="1"/>
  <c r="T14" i="46"/>
  <c r="BB27" i="46"/>
  <c r="AJ27" i="46"/>
  <c r="AL27" i="46" s="1"/>
  <c r="AI23" i="46"/>
  <c r="B6" i="46"/>
  <c r="N6" i="46"/>
  <c r="AS6" i="46"/>
  <c r="P7" i="46"/>
  <c r="Y33" i="46"/>
  <c r="AN33" i="46"/>
  <c r="C34" i="46"/>
  <c r="AN34" i="46"/>
  <c r="Z9" i="46"/>
  <c r="AB9" i="46" s="1"/>
  <c r="AS35" i="46"/>
  <c r="AZ9" i="46"/>
  <c r="BB9" i="46" s="1"/>
  <c r="C37" i="46"/>
  <c r="O41" i="46"/>
  <c r="P11" i="46"/>
  <c r="R11" i="46" s="1"/>
  <c r="Z12" i="46"/>
  <c r="AA12" i="46" s="1"/>
  <c r="AP12" i="46"/>
  <c r="BC39" i="46"/>
  <c r="BD13" i="46"/>
  <c r="Y14" i="46"/>
  <c r="AY14" i="46"/>
  <c r="AP15" i="46"/>
  <c r="AQ15" i="46" s="1"/>
  <c r="F16" i="46"/>
  <c r="G16" i="46" s="1"/>
  <c r="AU16" i="46"/>
  <c r="Z17" i="46"/>
  <c r="AA17" i="46" s="1"/>
  <c r="F18" i="46"/>
  <c r="F36" i="46" s="1"/>
  <c r="H36" i="46" s="1"/>
  <c r="O36" i="46"/>
  <c r="P18" i="46"/>
  <c r="P36" i="46" s="1"/>
  <c r="F19" i="46"/>
  <c r="G19" i="46" s="1"/>
  <c r="AS14" i="46"/>
  <c r="BD19" i="46"/>
  <c r="BE19" i="46" s="1"/>
  <c r="T23" i="46"/>
  <c r="AI34" i="46"/>
  <c r="AJ8" i="46"/>
  <c r="AK8" i="46" s="1"/>
  <c r="P9" i="46"/>
  <c r="Q9" i="46" s="1"/>
  <c r="C6" i="46"/>
  <c r="Y6" i="46"/>
  <c r="Y37" i="46"/>
  <c r="Z10" i="46"/>
  <c r="AB10" i="46" s="1"/>
  <c r="AI40" i="46"/>
  <c r="AJ12" i="46"/>
  <c r="AK12" i="46" s="1"/>
  <c r="BC14" i="46"/>
  <c r="P16" i="46"/>
  <c r="Q16" i="46" s="1"/>
  <c r="BD16" i="46"/>
  <c r="BE16" i="46" s="1"/>
  <c r="AZ17" i="46"/>
  <c r="AD6" i="46"/>
  <c r="Z7" i="46"/>
  <c r="AA7" i="46" s="1"/>
  <c r="BC33" i="46"/>
  <c r="E35" i="46"/>
  <c r="F9" i="46"/>
  <c r="G9" i="46" s="1"/>
  <c r="AJ9" i="46"/>
  <c r="AK9" i="46" s="1"/>
  <c r="P13" i="46"/>
  <c r="Q13" i="46" s="1"/>
  <c r="AO39" i="46"/>
  <c r="AP13" i="46"/>
  <c r="AQ13" i="46" s="1"/>
  <c r="AD14" i="46"/>
  <c r="F15" i="46"/>
  <c r="G15" i="46" s="1"/>
  <c r="Z16" i="46"/>
  <c r="AA16" i="46" s="1"/>
  <c r="U17" i="46"/>
  <c r="V17" i="46" s="1"/>
  <c r="AE19" i="46"/>
  <c r="AF19" i="46" s="1"/>
  <c r="AU19" i="46"/>
  <c r="AV19" i="46" s="1"/>
  <c r="AI38" i="46"/>
  <c r="AJ20" i="46"/>
  <c r="I6" i="46"/>
  <c r="AH6" i="46"/>
  <c r="AO6" i="46"/>
  <c r="AX6" i="46"/>
  <c r="F7" i="46"/>
  <c r="H7" i="46" s="1"/>
  <c r="N33" i="46"/>
  <c r="AY33" i="46"/>
  <c r="BD7" i="46"/>
  <c r="Z8" i="46"/>
  <c r="AB8" i="46" s="1"/>
  <c r="AP8" i="46"/>
  <c r="AY34" i="46"/>
  <c r="AZ8" i="46"/>
  <c r="BB8" i="46" s="1"/>
  <c r="O35" i="46"/>
  <c r="BC35" i="46"/>
  <c r="BD9" i="46"/>
  <c r="BE9" i="46" s="1"/>
  <c r="AP10" i="46"/>
  <c r="AQ10" i="46" s="1"/>
  <c r="AY37" i="46"/>
  <c r="BD10" i="46"/>
  <c r="AI41" i="46"/>
  <c r="AP11" i="46"/>
  <c r="AR11" i="46" s="1"/>
  <c r="F12" i="46"/>
  <c r="G12" i="46" s="1"/>
  <c r="Z13" i="46"/>
  <c r="J14" i="46"/>
  <c r="O14" i="46"/>
  <c r="AE15" i="46"/>
  <c r="AF15" i="46" s="1"/>
  <c r="AU15" i="46"/>
  <c r="AV15" i="46" s="1"/>
  <c r="AT14" i="46"/>
  <c r="K16" i="46"/>
  <c r="AE17" i="46"/>
  <c r="AJ18" i="46"/>
  <c r="AJ36" i="46" s="1"/>
  <c r="AZ18" i="46"/>
  <c r="BA18" i="46" s="1"/>
  <c r="K19" i="46"/>
  <c r="S14" i="46"/>
  <c r="O23" i="46"/>
  <c r="BC23" i="46"/>
  <c r="BD27" i="46"/>
  <c r="AS34" i="46"/>
  <c r="B35" i="46"/>
  <c r="N35" i="46"/>
  <c r="AI35" i="46"/>
  <c r="AY35" i="46"/>
  <c r="AH37" i="46"/>
  <c r="AX37" i="46"/>
  <c r="BC37" i="46"/>
  <c r="D41" i="46"/>
  <c r="I41" i="46"/>
  <c r="Y41" i="46"/>
  <c r="AN41" i="46"/>
  <c r="C40" i="46"/>
  <c r="O40" i="46"/>
  <c r="X40" i="46"/>
  <c r="AC40" i="46"/>
  <c r="AY40" i="46"/>
  <c r="U15" i="46"/>
  <c r="W15" i="46" s="1"/>
  <c r="K17" i="46"/>
  <c r="AU17" i="46"/>
  <c r="AY38" i="46"/>
  <c r="Z22" i="46"/>
  <c r="AP22" i="46"/>
  <c r="AY23" i="46"/>
  <c r="X23" i="46"/>
  <c r="AU24" i="46"/>
  <c r="AW24" i="46" s="1"/>
  <c r="F25" i="46"/>
  <c r="AU25" i="46"/>
  <c r="F26" i="46"/>
  <c r="AU26" i="46"/>
  <c r="E14" i="46"/>
  <c r="U22" i="46"/>
  <c r="W22" i="46" s="1"/>
  <c r="B23" i="46"/>
  <c r="AP25" i="46"/>
  <c r="AQ25" i="46" s="1"/>
  <c r="AP26" i="46"/>
  <c r="AR26" i="46" s="1"/>
  <c r="K27" i="46"/>
  <c r="L27" i="46" s="1"/>
  <c r="AE27" i="46"/>
  <c r="AF27" i="46" s="1"/>
  <c r="AC14" i="46"/>
  <c r="P22" i="46"/>
  <c r="BD22" i="46"/>
  <c r="BE22" i="46" s="1"/>
  <c r="P24" i="46"/>
  <c r="U24" i="46"/>
  <c r="AJ24" i="46"/>
  <c r="AK24" i="46" s="1"/>
  <c r="J34" i="46"/>
  <c r="K8" i="46"/>
  <c r="J37" i="46"/>
  <c r="K10" i="46"/>
  <c r="I38" i="46"/>
  <c r="I14" i="46"/>
  <c r="K21" i="46"/>
  <c r="C14" i="46"/>
  <c r="BD21" i="46"/>
  <c r="BE21" i="46" s="1"/>
  <c r="AE21" i="46"/>
  <c r="P21" i="46"/>
  <c r="AU21" i="46"/>
  <c r="K24" i="46"/>
  <c r="J23" i="46"/>
  <c r="X33" i="46"/>
  <c r="AT33" i="46"/>
  <c r="AU7" i="46"/>
  <c r="X34" i="46"/>
  <c r="AT34" i="46"/>
  <c r="AU8" i="46"/>
  <c r="X35" i="46"/>
  <c r="AT35" i="46"/>
  <c r="AU9" i="46"/>
  <c r="AT37" i="46"/>
  <c r="AU10" i="46"/>
  <c r="BA10" i="46"/>
  <c r="AN14" i="46"/>
  <c r="AJ19" i="46"/>
  <c r="AI14" i="46"/>
  <c r="U21" i="46"/>
  <c r="J33" i="46"/>
  <c r="K7" i="46"/>
  <c r="J35" i="46"/>
  <c r="K9" i="46"/>
  <c r="AD35" i="46"/>
  <c r="AE9" i="46"/>
  <c r="T41" i="46"/>
  <c r="U11" i="46"/>
  <c r="BA12" i="46"/>
  <c r="X14" i="46"/>
  <c r="AD33" i="46"/>
  <c r="AE7" i="46"/>
  <c r="AM7" i="46"/>
  <c r="AD34" i="46"/>
  <c r="AE8" i="46"/>
  <c r="AD37" i="46"/>
  <c r="AE10" i="46"/>
  <c r="T40" i="46"/>
  <c r="U12" i="46"/>
  <c r="T39" i="46"/>
  <c r="U13" i="46"/>
  <c r="D14" i="46"/>
  <c r="T38" i="46"/>
  <c r="U20" i="46"/>
  <c r="AP24" i="46"/>
  <c r="AO23" i="46"/>
  <c r="T6" i="46"/>
  <c r="D33" i="46"/>
  <c r="U7" i="46"/>
  <c r="T33" i="46"/>
  <c r="D34" i="46"/>
  <c r="T34" i="46"/>
  <c r="U8" i="46"/>
  <c r="D35" i="46"/>
  <c r="T35" i="46"/>
  <c r="U9" i="46"/>
  <c r="D37" i="46"/>
  <c r="T37" i="46"/>
  <c r="U10" i="46"/>
  <c r="T36" i="46"/>
  <c r="U18" i="46"/>
  <c r="AP19" i="46"/>
  <c r="AO14" i="46"/>
  <c r="AC23" i="46"/>
  <c r="AC33" i="46"/>
  <c r="AO33" i="46"/>
  <c r="AO37" i="46"/>
  <c r="AC41" i="46"/>
  <c r="AS41" i="46"/>
  <c r="I40" i="46"/>
  <c r="U19" i="46"/>
  <c r="Z19" i="46"/>
  <c r="O38" i="46"/>
  <c r="P20" i="46"/>
  <c r="AO38" i="46"/>
  <c r="AP20" i="46"/>
  <c r="BC38" i="46"/>
  <c r="BD20" i="46"/>
  <c r="AJ21" i="46"/>
  <c r="AT23" i="46"/>
  <c r="F21" i="46"/>
  <c r="AK22" i="46"/>
  <c r="AI37" i="46"/>
  <c r="C41" i="46"/>
  <c r="K11" i="46"/>
  <c r="S41" i="46"/>
  <c r="AE11" i="46"/>
  <c r="AU11" i="46"/>
  <c r="K12" i="46"/>
  <c r="AE12" i="46"/>
  <c r="AU12" i="46"/>
  <c r="K13" i="46"/>
  <c r="AE13" i="46"/>
  <c r="AU13" i="46"/>
  <c r="K18" i="46"/>
  <c r="AE18" i="46"/>
  <c r="AU18" i="46"/>
  <c r="AZ19" i="46"/>
  <c r="Y38" i="46"/>
  <c r="Z20" i="46"/>
  <c r="AZ21" i="46"/>
  <c r="AM22" i="46"/>
  <c r="F27" i="46"/>
  <c r="E23" i="46"/>
  <c r="AE20" i="46"/>
  <c r="Z21" i="46"/>
  <c r="AU22" i="46"/>
  <c r="E38" i="46"/>
  <c r="F20" i="46"/>
  <c r="X38" i="46"/>
  <c r="AC38" i="46"/>
  <c r="AU20" i="46"/>
  <c r="AP21" i="46"/>
  <c r="AE24" i="46"/>
  <c r="AD23" i="46"/>
  <c r="B38" i="46"/>
  <c r="J38" i="46"/>
  <c r="N38" i="46"/>
  <c r="AD38" i="46"/>
  <c r="AH38" i="46"/>
  <c r="AT38" i="46"/>
  <c r="AX38" i="46"/>
  <c r="AQ18" i="46" l="1"/>
  <c r="AA8" i="46"/>
  <c r="Q19" i="46"/>
  <c r="AM9" i="46"/>
  <c r="AQ9" i="46"/>
  <c r="BA20" i="46"/>
  <c r="AJ38" i="46"/>
  <c r="AM38" i="46" s="1"/>
  <c r="V26" i="46"/>
  <c r="M22" i="46"/>
  <c r="M20" i="46"/>
  <c r="W16" i="46"/>
  <c r="AB26" i="46"/>
  <c r="AL10" i="46"/>
  <c r="AA11" i="46"/>
  <c r="AQ36" i="46"/>
  <c r="BE8" i="46"/>
  <c r="AP41" i="46"/>
  <c r="AR41" i="46" s="1"/>
  <c r="AK10" i="46"/>
  <c r="AR18" i="46"/>
  <c r="BE24" i="46"/>
  <c r="AG25" i="46"/>
  <c r="AJ37" i="46"/>
  <c r="AK37" i="46" s="1"/>
  <c r="AR17" i="46"/>
  <c r="N28" i="46"/>
  <c r="AZ38" i="46"/>
  <c r="BB38" i="46" s="1"/>
  <c r="AK26" i="46"/>
  <c r="R10" i="46"/>
  <c r="AM13" i="46"/>
  <c r="AB25" i="46"/>
  <c r="R12" i="46"/>
  <c r="AN28" i="46"/>
  <c r="BA8" i="46"/>
  <c r="W17" i="46"/>
  <c r="AL25" i="46"/>
  <c r="AM16" i="46"/>
  <c r="AA27" i="46"/>
  <c r="H18" i="46"/>
  <c r="AA9" i="46"/>
  <c r="AG22" i="46"/>
  <c r="G18" i="46"/>
  <c r="BB13" i="46"/>
  <c r="G22" i="46"/>
  <c r="AB15" i="46"/>
  <c r="R25" i="46"/>
  <c r="AM27" i="46"/>
  <c r="AM8" i="46"/>
  <c r="AK15" i="46"/>
  <c r="AX42" i="46"/>
  <c r="AM25" i="46"/>
  <c r="AK20" i="46"/>
  <c r="AB36" i="46"/>
  <c r="AZ40" i="46"/>
  <c r="BB40" i="46" s="1"/>
  <c r="AM15" i="46"/>
  <c r="L26" i="46"/>
  <c r="AZ35" i="46"/>
  <c r="BB35" i="46" s="1"/>
  <c r="AM26" i="46"/>
  <c r="BE18" i="46"/>
  <c r="AL12" i="46"/>
  <c r="P40" i="46"/>
  <c r="R40" i="46" s="1"/>
  <c r="S28" i="46"/>
  <c r="BD37" i="46"/>
  <c r="BE37" i="46" s="1"/>
  <c r="AF26" i="46"/>
  <c r="AR27" i="46"/>
  <c r="AL20" i="46"/>
  <c r="BB18" i="46"/>
  <c r="BA17" i="46"/>
  <c r="AZ39" i="46"/>
  <c r="BB39" i="46" s="1"/>
  <c r="X28" i="46"/>
  <c r="AM12" i="46"/>
  <c r="AK11" i="46"/>
  <c r="AF16" i="46"/>
  <c r="AM20" i="46"/>
  <c r="AQ11" i="46"/>
  <c r="AJ41" i="46"/>
  <c r="AL41" i="46" s="1"/>
  <c r="BB17" i="46"/>
  <c r="BD40" i="46"/>
  <c r="BE40" i="46" s="1"/>
  <c r="AJ40" i="46"/>
  <c r="AK40" i="46" s="1"/>
  <c r="AL11" i="46"/>
  <c r="AH28" i="46"/>
  <c r="Q26" i="46"/>
  <c r="BB25" i="46"/>
  <c r="AI28" i="46"/>
  <c r="AZ34" i="46"/>
  <c r="BB34" i="46" s="1"/>
  <c r="Z41" i="46"/>
  <c r="AB41" i="46" s="1"/>
  <c r="M27" i="46"/>
  <c r="AR10" i="46"/>
  <c r="AK17" i="46"/>
  <c r="U23" i="46"/>
  <c r="W23" i="46" s="1"/>
  <c r="V27" i="46"/>
  <c r="AD28" i="46"/>
  <c r="AL16" i="46"/>
  <c r="G8" i="46"/>
  <c r="AV27" i="46"/>
  <c r="AS42" i="46"/>
  <c r="R27" i="46"/>
  <c r="H24" i="46"/>
  <c r="J28" i="46"/>
  <c r="U14" i="46"/>
  <c r="V14" i="46" s="1"/>
  <c r="BA22" i="46"/>
  <c r="R9" i="46"/>
  <c r="G36" i="46"/>
  <c r="D28" i="46"/>
  <c r="AL17" i="46"/>
  <c r="AJ39" i="46"/>
  <c r="AM39" i="46" s="1"/>
  <c r="O28" i="46"/>
  <c r="AC28" i="46"/>
  <c r="B42" i="46"/>
  <c r="E28" i="46"/>
  <c r="AR25" i="46"/>
  <c r="M25" i="46"/>
  <c r="AA18" i="46"/>
  <c r="V25" i="46"/>
  <c r="AM24" i="46"/>
  <c r="W24" i="46"/>
  <c r="AB18" i="46"/>
  <c r="BA16" i="46"/>
  <c r="AW15" i="46"/>
  <c r="Z34" i="46"/>
  <c r="AA34" i="46" s="1"/>
  <c r="AQ26" i="46"/>
  <c r="BA11" i="46"/>
  <c r="BD33" i="46"/>
  <c r="BE33" i="46" s="1"/>
  <c r="AK18" i="46"/>
  <c r="R16" i="46"/>
  <c r="BB24" i="46"/>
  <c r="AJ34" i="46"/>
  <c r="AP34" i="46"/>
  <c r="AR34" i="46" s="1"/>
  <c r="BC42" i="46"/>
  <c r="AH42" i="46"/>
  <c r="E42" i="46"/>
  <c r="AK27" i="46"/>
  <c r="K38" i="46"/>
  <c r="M38" i="46" s="1"/>
  <c r="AT28" i="46"/>
  <c r="BB16" i="46"/>
  <c r="AP35" i="46"/>
  <c r="AR35" i="46" s="1"/>
  <c r="AL18" i="46"/>
  <c r="BA9" i="46"/>
  <c r="Q11" i="46"/>
  <c r="C28" i="46"/>
  <c r="AB24" i="46"/>
  <c r="Q18" i="46"/>
  <c r="AG15" i="46"/>
  <c r="BE10" i="46"/>
  <c r="H16" i="46"/>
  <c r="Z23" i="46"/>
  <c r="AA23" i="46" s="1"/>
  <c r="S42" i="46"/>
  <c r="I42" i="46"/>
  <c r="V24" i="46"/>
  <c r="AG19" i="46"/>
  <c r="AL9" i="46"/>
  <c r="AO28" i="46"/>
  <c r="AW19" i="46"/>
  <c r="AQ7" i="46"/>
  <c r="V22" i="46"/>
  <c r="R15" i="46"/>
  <c r="R8" i="46"/>
  <c r="I28" i="46"/>
  <c r="AL13" i="46"/>
  <c r="P37" i="46"/>
  <c r="Q37" i="46" s="1"/>
  <c r="BD35" i="46"/>
  <c r="BE35" i="46" s="1"/>
  <c r="P34" i="46"/>
  <c r="Q34" i="46" s="1"/>
  <c r="H17" i="46"/>
  <c r="BC28" i="46"/>
  <c r="AB16" i="46"/>
  <c r="AS28" i="46"/>
  <c r="BE13" i="46"/>
  <c r="BF13" i="46"/>
  <c r="V15" i="46"/>
  <c r="BA7" i="46"/>
  <c r="O42" i="46"/>
  <c r="AR16" i="46"/>
  <c r="AJ6" i="46"/>
  <c r="AL6" i="46" s="1"/>
  <c r="BB26" i="46"/>
  <c r="BA26" i="46"/>
  <c r="BA15" i="46"/>
  <c r="G11" i="46"/>
  <c r="BD39" i="46"/>
  <c r="BE39" i="46" s="1"/>
  <c r="Z33" i="46"/>
  <c r="AA33" i="46" s="1"/>
  <c r="AJ35" i="46"/>
  <c r="AM35" i="46" s="1"/>
  <c r="R18" i="46"/>
  <c r="G10" i="46"/>
  <c r="AZ33" i="46"/>
  <c r="BA33" i="46" s="1"/>
  <c r="G7" i="46"/>
  <c r="P41" i="46"/>
  <c r="R41" i="46" s="1"/>
  <c r="AI42" i="46"/>
  <c r="BE27" i="46"/>
  <c r="BF27" i="46"/>
  <c r="G48" i="40" s="1"/>
  <c r="AX28" i="46"/>
  <c r="AZ23" i="46"/>
  <c r="BB23" i="46" s="1"/>
  <c r="AY28" i="46"/>
  <c r="P35" i="46"/>
  <c r="R35" i="46" s="1"/>
  <c r="M17" i="46"/>
  <c r="L17" i="46"/>
  <c r="Z39" i="46"/>
  <c r="AB13" i="46"/>
  <c r="AP40" i="46"/>
  <c r="AR12" i="46"/>
  <c r="R7" i="46"/>
  <c r="P6" i="46"/>
  <c r="AZ36" i="46"/>
  <c r="BA36" i="46" s="1"/>
  <c r="Z35" i="46"/>
  <c r="AB35" i="46" s="1"/>
  <c r="Q7" i="46"/>
  <c r="N42" i="46"/>
  <c r="AV24" i="46"/>
  <c r="K14" i="46"/>
  <c r="M14" i="46" s="1"/>
  <c r="C42" i="46"/>
  <c r="AA10" i="46"/>
  <c r="AR8" i="46"/>
  <c r="AL7" i="46"/>
  <c r="AQ8" i="46"/>
  <c r="AK7" i="46"/>
  <c r="P33" i="46"/>
  <c r="R33" i="46" s="1"/>
  <c r="AM18" i="46"/>
  <c r="Q17" i="46"/>
  <c r="F33" i="46"/>
  <c r="H33" i="46" s="1"/>
  <c r="R13" i="46"/>
  <c r="AJ23" i="46"/>
  <c r="AL24" i="46"/>
  <c r="R22" i="46"/>
  <c r="Q22" i="46"/>
  <c r="AV25" i="46"/>
  <c r="AW25" i="46"/>
  <c r="AW17" i="46"/>
  <c r="AV17" i="46"/>
  <c r="M19" i="46"/>
  <c r="L19" i="46"/>
  <c r="AG17" i="46"/>
  <c r="AF17" i="46"/>
  <c r="BD6" i="46"/>
  <c r="BE6" i="46" s="1"/>
  <c r="AP39" i="46"/>
  <c r="AR13" i="46"/>
  <c r="H9" i="46"/>
  <c r="F6" i="46"/>
  <c r="BD23" i="46"/>
  <c r="BE23" i="46" s="1"/>
  <c r="AN42" i="46"/>
  <c r="AR15" i="46"/>
  <c r="AP6" i="46"/>
  <c r="AG27" i="46"/>
  <c r="AU23" i="46"/>
  <c r="AV23" i="46" s="1"/>
  <c r="Y42" i="46"/>
  <c r="AA13" i="46"/>
  <c r="AQ12" i="46"/>
  <c r="Z37" i="46"/>
  <c r="AB37" i="46" s="1"/>
  <c r="AL8" i="46"/>
  <c r="T28" i="46"/>
  <c r="AJ33" i="46"/>
  <c r="AM33" i="46" s="1"/>
  <c r="BE7" i="46"/>
  <c r="R17" i="46"/>
  <c r="M15" i="46"/>
  <c r="F37" i="46"/>
  <c r="G37" i="46" s="1"/>
  <c r="F35" i="46"/>
  <c r="G35" i="46" s="1"/>
  <c r="F34" i="46"/>
  <c r="G34" i="46" s="1"/>
  <c r="P39" i="46"/>
  <c r="Q39" i="46" s="1"/>
  <c r="BD34" i="46"/>
  <c r="BE34" i="46" s="1"/>
  <c r="G25" i="46"/>
  <c r="H25" i="46"/>
  <c r="AQ22" i="46"/>
  <c r="AR22" i="46"/>
  <c r="H19" i="46"/>
  <c r="AB17" i="46"/>
  <c r="AY42" i="46"/>
  <c r="Y28" i="46"/>
  <c r="H15" i="46"/>
  <c r="B28" i="46"/>
  <c r="AZ6" i="46"/>
  <c r="AA22" i="46"/>
  <c r="AB22" i="46"/>
  <c r="G26" i="46"/>
  <c r="H26" i="46"/>
  <c r="F40" i="46"/>
  <c r="H12" i="46"/>
  <c r="AB7" i="46"/>
  <c r="Z6" i="46"/>
  <c r="AW16" i="46"/>
  <c r="AV16" i="46"/>
  <c r="Z40" i="46"/>
  <c r="AB12" i="46"/>
  <c r="F39" i="46"/>
  <c r="H13" i="46"/>
  <c r="R24" i="46"/>
  <c r="Q24" i="46"/>
  <c r="P23" i="46"/>
  <c r="AV26" i="46"/>
  <c r="AW26" i="46"/>
  <c r="M16" i="46"/>
  <c r="L16" i="46"/>
  <c r="BB19" i="46"/>
  <c r="AZ14" i="46"/>
  <c r="BA19" i="46"/>
  <c r="AQ41" i="46"/>
  <c r="AR19" i="46"/>
  <c r="AP14" i="46"/>
  <c r="AQ19" i="46"/>
  <c r="U33" i="46"/>
  <c r="W7" i="46"/>
  <c r="U6" i="46"/>
  <c r="V7" i="46"/>
  <c r="U40" i="46"/>
  <c r="W12" i="46"/>
  <c r="V12" i="46"/>
  <c r="AE34" i="46"/>
  <c r="AG8" i="46"/>
  <c r="AF8" i="46"/>
  <c r="AE35" i="46"/>
  <c r="AG9" i="46"/>
  <c r="AF9" i="46"/>
  <c r="AU34" i="46"/>
  <c r="AW8" i="46"/>
  <c r="AV8" i="46"/>
  <c r="F38" i="46"/>
  <c r="H20" i="46"/>
  <c r="G20" i="46"/>
  <c r="F14" i="46"/>
  <c r="AU38" i="46"/>
  <c r="AW20" i="46"/>
  <c r="AV20" i="46"/>
  <c r="BB21" i="46"/>
  <c r="BA21" i="46"/>
  <c r="AE36" i="46"/>
  <c r="AG18" i="46"/>
  <c r="AF18" i="46"/>
  <c r="AU39" i="46"/>
  <c r="AW13" i="46"/>
  <c r="AV13" i="46"/>
  <c r="K39" i="46"/>
  <c r="M13" i="46"/>
  <c r="L13" i="46"/>
  <c r="AE40" i="46"/>
  <c r="AG12" i="46"/>
  <c r="AF12" i="46"/>
  <c r="AU41" i="46"/>
  <c r="AW11" i="46"/>
  <c r="AV11" i="46"/>
  <c r="G21" i="46"/>
  <c r="H21" i="46"/>
  <c r="AL21" i="46"/>
  <c r="AM21" i="46"/>
  <c r="AK21" i="46"/>
  <c r="W19" i="46"/>
  <c r="V19" i="46"/>
  <c r="U36" i="46"/>
  <c r="W18" i="46"/>
  <c r="V18" i="46"/>
  <c r="U34" i="46"/>
  <c r="W8" i="46"/>
  <c r="V8" i="46"/>
  <c r="T42" i="46"/>
  <c r="K35" i="46"/>
  <c r="M9" i="46"/>
  <c r="L9" i="46"/>
  <c r="V21" i="46"/>
  <c r="W21" i="46"/>
  <c r="AE14" i="46"/>
  <c r="L24" i="46"/>
  <c r="K23" i="46"/>
  <c r="M24" i="46"/>
  <c r="AF21" i="46"/>
  <c r="AG21" i="46"/>
  <c r="K41" i="46"/>
  <c r="M11" i="46"/>
  <c r="L11" i="46"/>
  <c r="P38" i="46"/>
  <c r="R20" i="46"/>
  <c r="Q20" i="46"/>
  <c r="P14" i="46"/>
  <c r="U35" i="46"/>
  <c r="W9" i="46"/>
  <c r="V9" i="46"/>
  <c r="AZ37" i="46"/>
  <c r="AU33" i="46"/>
  <c r="AU6" i="46"/>
  <c r="AW7" i="46"/>
  <c r="AV7" i="46"/>
  <c r="BD41" i="46"/>
  <c r="BE41" i="46" s="1"/>
  <c r="K37" i="46"/>
  <c r="M10" i="46"/>
  <c r="L10" i="46"/>
  <c r="AG24" i="46"/>
  <c r="AF24" i="46"/>
  <c r="AE23" i="46"/>
  <c r="AG23" i="46" s="1"/>
  <c r="AB21" i="46"/>
  <c r="AA21" i="46"/>
  <c r="G27" i="46"/>
  <c r="F23" i="46"/>
  <c r="H27" i="46"/>
  <c r="Z38" i="46"/>
  <c r="AA20" i="46"/>
  <c r="AB20" i="46"/>
  <c r="AU36" i="46"/>
  <c r="AW18" i="46"/>
  <c r="AV18" i="46"/>
  <c r="K36" i="46"/>
  <c r="M18" i="46"/>
  <c r="L18" i="46"/>
  <c r="AE39" i="46"/>
  <c r="AG13" i="46"/>
  <c r="AF13" i="46"/>
  <c r="AU40" i="46"/>
  <c r="AW12" i="46"/>
  <c r="AV12" i="46"/>
  <c r="K40" i="46"/>
  <c r="M12" i="46"/>
  <c r="L12" i="46"/>
  <c r="AE41" i="46"/>
  <c r="AG11" i="46"/>
  <c r="AF11" i="46"/>
  <c r="AO42" i="46"/>
  <c r="AU14" i="46"/>
  <c r="U37" i="46"/>
  <c r="W10" i="46"/>
  <c r="V10" i="46"/>
  <c r="D42" i="46"/>
  <c r="AQ24" i="46"/>
  <c r="AP23" i="46"/>
  <c r="AR24" i="46"/>
  <c r="AE37" i="46"/>
  <c r="AG10" i="46"/>
  <c r="AF10" i="46"/>
  <c r="AE33" i="46"/>
  <c r="AE6" i="46"/>
  <c r="AG7" i="46"/>
  <c r="AF7" i="46"/>
  <c r="AZ41" i="46"/>
  <c r="AP37" i="46"/>
  <c r="K33" i="46"/>
  <c r="K6" i="46"/>
  <c r="M7" i="46"/>
  <c r="L7" i="46"/>
  <c r="AK36" i="46"/>
  <c r="AL36" i="46"/>
  <c r="AM36" i="46"/>
  <c r="AU37" i="46"/>
  <c r="AW10" i="46"/>
  <c r="AV10" i="46"/>
  <c r="AT42" i="46"/>
  <c r="AV21" i="46"/>
  <c r="AW21" i="46"/>
  <c r="AW22" i="46"/>
  <c r="AV22" i="46"/>
  <c r="BD38" i="46"/>
  <c r="BE38" i="46" s="1"/>
  <c r="BE20" i="46"/>
  <c r="BD14" i="46"/>
  <c r="AL19" i="46"/>
  <c r="AM19" i="46"/>
  <c r="AK19" i="46"/>
  <c r="AJ14" i="46"/>
  <c r="Q36" i="46"/>
  <c r="R36" i="46"/>
  <c r="AU35" i="46"/>
  <c r="AW9" i="46"/>
  <c r="AV9" i="46"/>
  <c r="AR21" i="46"/>
  <c r="AQ21" i="46"/>
  <c r="AG20" i="46"/>
  <c r="AF20" i="46"/>
  <c r="AE38" i="46"/>
  <c r="AP38" i="46"/>
  <c r="AQ20" i="46"/>
  <c r="AR20" i="46"/>
  <c r="AB19" i="46"/>
  <c r="AA19" i="46"/>
  <c r="Z14" i="46"/>
  <c r="AC42" i="46"/>
  <c r="U38" i="46"/>
  <c r="V20" i="46"/>
  <c r="W20" i="46"/>
  <c r="U39" i="46"/>
  <c r="W13" i="46"/>
  <c r="V13" i="46"/>
  <c r="AD42" i="46"/>
  <c r="U41" i="46"/>
  <c r="W11" i="46"/>
  <c r="V11" i="46"/>
  <c r="AP33" i="46"/>
  <c r="J42" i="46"/>
  <c r="F41" i="46"/>
  <c r="X42" i="46"/>
  <c r="R21" i="46"/>
  <c r="Q21" i="46"/>
  <c r="M21" i="46"/>
  <c r="L21" i="46"/>
  <c r="K34" i="46"/>
  <c r="M8" i="46"/>
  <c r="L8" i="46"/>
  <c r="AL37" i="46" l="1"/>
  <c r="AL38" i="46"/>
  <c r="AK38" i="46"/>
  <c r="BA40" i="46"/>
  <c r="L38" i="46"/>
  <c r="BA34" i="46"/>
  <c r="AM41" i="46"/>
  <c r="BA38" i="46"/>
  <c r="R34" i="46"/>
  <c r="AA41" i="46"/>
  <c r="AL39" i="46"/>
  <c r="AK39" i="46"/>
  <c r="AM37" i="46"/>
  <c r="W14" i="46"/>
  <c r="AQ34" i="46"/>
  <c r="Q40" i="46"/>
  <c r="BB36" i="46"/>
  <c r="AM40" i="46"/>
  <c r="AL40" i="46"/>
  <c r="AB34" i="46"/>
  <c r="R37" i="46"/>
  <c r="AQ35" i="46"/>
  <c r="AK41" i="46"/>
  <c r="AK35" i="46"/>
  <c r="BA39" i="46"/>
  <c r="Q41" i="46"/>
  <c r="BA35" i="46"/>
  <c r="Q35" i="46"/>
  <c r="AL35" i="46"/>
  <c r="AJ42" i="46"/>
  <c r="AK42" i="46" s="1"/>
  <c r="H37" i="46"/>
  <c r="AK33" i="46"/>
  <c r="AL33" i="46"/>
  <c r="AM34" i="46"/>
  <c r="V23" i="46"/>
  <c r="AL34" i="46"/>
  <c r="R39" i="46"/>
  <c r="AK34" i="46"/>
  <c r="AB33" i="46"/>
  <c r="AW23" i="46"/>
  <c r="H35" i="46"/>
  <c r="AB23" i="46"/>
  <c r="Q33" i="46"/>
  <c r="BB33" i="46"/>
  <c r="G33" i="46"/>
  <c r="BA23" i="46"/>
  <c r="C22" i="39"/>
  <c r="G8" i="40"/>
  <c r="AU28" i="46"/>
  <c r="AV28" i="46" s="1"/>
  <c r="P42" i="46"/>
  <c r="R42" i="46" s="1"/>
  <c r="AA37" i="46"/>
  <c r="AK6" i="46"/>
  <c r="AM6" i="46"/>
  <c r="H6" i="46"/>
  <c r="G6" i="46"/>
  <c r="AL23" i="46"/>
  <c r="AM23" i="46"/>
  <c r="AK23" i="46"/>
  <c r="L14" i="46"/>
  <c r="R23" i="46"/>
  <c r="Q23" i="46"/>
  <c r="G39" i="46"/>
  <c r="H39" i="46"/>
  <c r="AA35" i="46"/>
  <c r="H34" i="46"/>
  <c r="AB6" i="46"/>
  <c r="AA6" i="46"/>
  <c r="BA6" i="46"/>
  <c r="BB6" i="46"/>
  <c r="AQ40" i="46"/>
  <c r="AR40" i="46"/>
  <c r="Z42" i="46"/>
  <c r="AB42" i="46" s="1"/>
  <c r="AA40" i="46"/>
  <c r="AB40" i="46"/>
  <c r="AQ6" i="46"/>
  <c r="AR6" i="46"/>
  <c r="AQ39" i="46"/>
  <c r="AR39" i="46"/>
  <c r="Q6" i="46"/>
  <c r="R6" i="46"/>
  <c r="H40" i="46"/>
  <c r="G40" i="46"/>
  <c r="AA39" i="46"/>
  <c r="AB39" i="46"/>
  <c r="AW28" i="46"/>
  <c r="V39" i="46"/>
  <c r="W39" i="46"/>
  <c r="K42" i="46"/>
  <c r="M33" i="46"/>
  <c r="L33" i="46"/>
  <c r="AP28" i="46"/>
  <c r="AQ23" i="46"/>
  <c r="AR23" i="46"/>
  <c r="U42" i="46"/>
  <c r="V33" i="46"/>
  <c r="W33" i="46"/>
  <c r="AV35" i="46"/>
  <c r="AW35" i="46"/>
  <c r="AW37" i="46"/>
  <c r="AV37" i="46"/>
  <c r="AQ37" i="46"/>
  <c r="AR37" i="46"/>
  <c r="AG39" i="46"/>
  <c r="AF39" i="46"/>
  <c r="M37" i="46"/>
  <c r="L37" i="46"/>
  <c r="AU42" i="46"/>
  <c r="AW33" i="46"/>
  <c r="AV33" i="46"/>
  <c r="L35" i="46"/>
  <c r="M35" i="46"/>
  <c r="AG40" i="46"/>
  <c r="AF40" i="46"/>
  <c r="AV34" i="46"/>
  <c r="AW34" i="46"/>
  <c r="AF34" i="46"/>
  <c r="AG34" i="46"/>
  <c r="G41" i="46"/>
  <c r="H41" i="46"/>
  <c r="AP42" i="46"/>
  <c r="AQ33" i="46"/>
  <c r="AR33" i="46"/>
  <c r="V38" i="46"/>
  <c r="W38" i="46"/>
  <c r="AQ38" i="46"/>
  <c r="AR38" i="46"/>
  <c r="BE14" i="46"/>
  <c r="BD28" i="46"/>
  <c r="BE28" i="46" s="1"/>
  <c r="K28" i="46"/>
  <c r="M6" i="46"/>
  <c r="L6" i="46"/>
  <c r="M40" i="46"/>
  <c r="L40" i="46"/>
  <c r="AV36" i="46"/>
  <c r="AW36" i="46"/>
  <c r="W35" i="46"/>
  <c r="V35" i="46"/>
  <c r="M23" i="46"/>
  <c r="L23" i="46"/>
  <c r="AW39" i="46"/>
  <c r="AV39" i="46"/>
  <c r="AW38" i="46"/>
  <c r="AV38" i="46"/>
  <c r="G38" i="46"/>
  <c r="H38" i="46"/>
  <c r="AG37" i="46"/>
  <c r="AF37" i="46"/>
  <c r="AQ14" i="46"/>
  <c r="AR14" i="46"/>
  <c r="L34" i="46"/>
  <c r="M34" i="46"/>
  <c r="AM14" i="46"/>
  <c r="AL14" i="46"/>
  <c r="AK14" i="46"/>
  <c r="AJ28" i="46"/>
  <c r="AG41" i="46"/>
  <c r="AF41" i="46"/>
  <c r="L36" i="46"/>
  <c r="M36" i="46"/>
  <c r="H23" i="46"/>
  <c r="G23" i="46"/>
  <c r="AW6" i="46"/>
  <c r="AV6" i="46"/>
  <c r="M41" i="46"/>
  <c r="L41" i="46"/>
  <c r="AG14" i="46"/>
  <c r="AF14" i="46"/>
  <c r="V36" i="46"/>
  <c r="W36" i="46"/>
  <c r="M39" i="46"/>
  <c r="L39" i="46"/>
  <c r="G14" i="46"/>
  <c r="H14" i="46"/>
  <c r="F28" i="46"/>
  <c r="V40" i="46"/>
  <c r="W40" i="46"/>
  <c r="AE28" i="46"/>
  <c r="AG6" i="46"/>
  <c r="AF6" i="46"/>
  <c r="V37" i="46"/>
  <c r="W37" i="46"/>
  <c r="Q38" i="46"/>
  <c r="R38" i="46"/>
  <c r="V34" i="46"/>
  <c r="W34" i="46"/>
  <c r="BB14" i="46"/>
  <c r="BA14" i="46"/>
  <c r="AZ28" i="46"/>
  <c r="BD42" i="46"/>
  <c r="BE42" i="46" s="1"/>
  <c r="V41" i="46"/>
  <c r="W41" i="46"/>
  <c r="AA14" i="46"/>
  <c r="AB14" i="46"/>
  <c r="Z28" i="46"/>
  <c r="AG38" i="46"/>
  <c r="AF38" i="46"/>
  <c r="BA41" i="46"/>
  <c r="BB41" i="46"/>
  <c r="AG33" i="46"/>
  <c r="AF33" i="46"/>
  <c r="AE42" i="46"/>
  <c r="AW14" i="46"/>
  <c r="AV14" i="46"/>
  <c r="AW40" i="46"/>
  <c r="AV40" i="46"/>
  <c r="AA38" i="46"/>
  <c r="AB38" i="46"/>
  <c r="BA37" i="46"/>
  <c r="BB37" i="46"/>
  <c r="R14" i="46"/>
  <c r="Q14" i="46"/>
  <c r="P28" i="46"/>
  <c r="AZ42" i="46"/>
  <c r="AW41" i="46"/>
  <c r="AV41" i="46"/>
  <c r="AF36" i="46"/>
  <c r="AG36" i="46"/>
  <c r="F42" i="46"/>
  <c r="AF35" i="46"/>
  <c r="AG35" i="46"/>
  <c r="U28" i="46"/>
  <c r="W6" i="46"/>
  <c r="V6" i="46"/>
  <c r="AM42" i="46" l="1"/>
  <c r="AL42" i="46"/>
  <c r="Q42" i="46"/>
  <c r="AA42" i="46"/>
  <c r="M42" i="46"/>
  <c r="L42" i="46"/>
  <c r="R28" i="46"/>
  <c r="Q28" i="46"/>
  <c r="G28" i="46"/>
  <c r="H28" i="46"/>
  <c r="M28" i="46"/>
  <c r="L28" i="46"/>
  <c r="AG28" i="46"/>
  <c r="AF28" i="46"/>
  <c r="G42" i="46"/>
  <c r="H42" i="46"/>
  <c r="AA28" i="46"/>
  <c r="AB28" i="46"/>
  <c r="BB28" i="46"/>
  <c r="BA28" i="46"/>
  <c r="AW42" i="46"/>
  <c r="AV42" i="46"/>
  <c r="AQ28" i="46"/>
  <c r="AR28" i="46"/>
  <c r="AQ42" i="46"/>
  <c r="AR42" i="46"/>
  <c r="W28" i="46"/>
  <c r="V28" i="46"/>
  <c r="BA42" i="46"/>
  <c r="BB42" i="46"/>
  <c r="AG42" i="46"/>
  <c r="AF42" i="46"/>
  <c r="AL28" i="46"/>
  <c r="AK28" i="46"/>
  <c r="AM28" i="46"/>
  <c r="V42" i="46"/>
  <c r="W42" i="46"/>
  <c r="T221" i="6" l="1"/>
  <c r="T103" i="6"/>
  <c r="T262" i="6"/>
  <c r="T259" i="6"/>
  <c r="T256" i="6"/>
  <c r="T254" i="6"/>
  <c r="T253" i="6"/>
  <c r="T248" i="6"/>
  <c r="T246" i="6"/>
  <c r="T243" i="6"/>
  <c r="T242" i="6"/>
  <c r="T241" i="6"/>
  <c r="T240" i="6"/>
  <c r="T239" i="6"/>
  <c r="T237" i="6"/>
  <c r="T234" i="6"/>
  <c r="T233" i="6"/>
  <c r="T231" i="6"/>
  <c r="T230" i="6"/>
  <c r="T229" i="6"/>
  <c r="T225" i="6"/>
  <c r="T224" i="6"/>
  <c r="T220" i="6"/>
  <c r="T218" i="6"/>
  <c r="T217" i="6"/>
  <c r="T216" i="6"/>
  <c r="T211" i="6"/>
  <c r="T210" i="6"/>
  <c r="T209" i="6"/>
  <c r="T208" i="6"/>
  <c r="T207" i="6"/>
  <c r="T206" i="6"/>
  <c r="T200" i="6"/>
  <c r="T198" i="6"/>
  <c r="T197" i="6"/>
  <c r="T194" i="6"/>
  <c r="T193" i="6"/>
  <c r="T192" i="6"/>
  <c r="T191" i="6"/>
  <c r="T189" i="6"/>
  <c r="T188" i="6"/>
  <c r="T185" i="6"/>
  <c r="T184" i="6"/>
  <c r="T182" i="6"/>
  <c r="T181" i="6"/>
  <c r="T180" i="6"/>
  <c r="T177" i="6"/>
  <c r="T176" i="6"/>
  <c r="T175" i="6"/>
  <c r="T174" i="6"/>
  <c r="T172" i="6"/>
  <c r="T171" i="6"/>
  <c r="T170" i="6"/>
  <c r="T167" i="6"/>
  <c r="T166" i="6"/>
  <c r="T164" i="6"/>
  <c r="T163" i="6"/>
  <c r="T160" i="6"/>
  <c r="T158" i="6"/>
  <c r="T157" i="6"/>
  <c r="T151" i="6"/>
  <c r="T148" i="6"/>
  <c r="T146" i="6"/>
  <c r="T145" i="6"/>
  <c r="T143" i="6"/>
  <c r="T142" i="6"/>
  <c r="T141" i="6"/>
  <c r="T137" i="6"/>
  <c r="T136" i="6"/>
  <c r="T134" i="6"/>
  <c r="T130" i="6"/>
  <c r="T127" i="6"/>
  <c r="T124" i="6"/>
  <c r="T123" i="6"/>
  <c r="T122" i="6"/>
  <c r="T121" i="6"/>
  <c r="T118" i="6"/>
  <c r="T117" i="6"/>
  <c r="T114" i="6"/>
  <c r="T113" i="6"/>
  <c r="T111" i="6"/>
  <c r="T110" i="6"/>
  <c r="T106" i="6"/>
  <c r="T102" i="6"/>
  <c r="T100" i="6"/>
  <c r="T99" i="6"/>
  <c r="T98" i="6"/>
  <c r="T94" i="6"/>
  <c r="T93" i="6"/>
  <c r="T91" i="6"/>
  <c r="T89" i="6"/>
  <c r="T85" i="6"/>
  <c r="T84" i="6"/>
  <c r="T83" i="6"/>
  <c r="T81" i="6"/>
  <c r="T80" i="6"/>
  <c r="T76" i="6"/>
  <c r="T72" i="6"/>
  <c r="T70" i="6"/>
  <c r="T66" i="6"/>
  <c r="T67" i="6"/>
  <c r="T68" i="6"/>
  <c r="T65" i="6"/>
  <c r="T59" i="6"/>
  <c r="T60" i="6"/>
  <c r="T61" i="6"/>
  <c r="T62" i="6"/>
  <c r="T63" i="6"/>
  <c r="T58" i="6"/>
  <c r="T54" i="6"/>
  <c r="T53" i="6"/>
  <c r="T51" i="6"/>
  <c r="T45" i="6"/>
  <c r="T43" i="6"/>
  <c r="T39" i="6"/>
  <c r="T38" i="6"/>
  <c r="T37" i="6"/>
  <c r="T35" i="6"/>
  <c r="T34" i="6"/>
  <c r="T33" i="6"/>
  <c r="T32" i="6"/>
  <c r="T27" i="6"/>
  <c r="T20" i="6"/>
  <c r="I21" i="40" l="1"/>
  <c r="M21" i="40" s="1"/>
  <c r="N21" i="40" s="1"/>
  <c r="T135" i="6"/>
  <c r="T120" i="6"/>
  <c r="T116" i="6"/>
  <c r="T112" i="6"/>
  <c r="T109" i="6" s="1"/>
  <c r="T125" i="6" l="1"/>
  <c r="T46" i="6"/>
  <c r="T245" i="6"/>
  <c r="T223" i="6"/>
  <c r="T183" i="6"/>
  <c r="T169" i="6"/>
  <c r="T165" i="6"/>
  <c r="T97" i="6"/>
  <c r="T88" i="6"/>
  <c r="T92" i="6"/>
  <c r="T64" i="6"/>
  <c r="T49" i="6"/>
  <c r="T52" i="6"/>
  <c r="T36" i="6"/>
  <c r="T26" i="6"/>
  <c r="T79" i="6" l="1"/>
  <c r="T140" i="6"/>
  <c r="T179" i="6"/>
  <c r="T31" i="6"/>
  <c r="T41" i="6"/>
  <c r="T57" i="6"/>
  <c r="T82" i="6"/>
  <c r="T219" i="6"/>
  <c r="T190" i="6"/>
  <c r="T196" i="6"/>
  <c r="T238" i="6"/>
  <c r="E148" i="6"/>
  <c r="E147" i="6"/>
  <c r="E137" i="6"/>
  <c r="E136" i="6"/>
  <c r="E134" i="6"/>
  <c r="E130" i="6"/>
  <c r="E127" i="6"/>
  <c r="E117" i="6"/>
  <c r="E113" i="6"/>
  <c r="E110" i="6"/>
  <c r="C23" i="39" l="1"/>
  <c r="C27" i="39"/>
  <c r="C28" i="39"/>
  <c r="C25" i="39"/>
  <c r="C26" i="39"/>
  <c r="C24" i="39"/>
  <c r="E19" i="6"/>
  <c r="E19" i="41"/>
  <c r="E20" i="6"/>
  <c r="AK259" i="44"/>
  <c r="AI259" i="44" s="1"/>
  <c r="AJ259" i="44"/>
  <c r="J259" i="44"/>
  <c r="H259" i="44"/>
  <c r="F259" i="44"/>
  <c r="F258" i="44" s="1"/>
  <c r="F257" i="44" s="1"/>
  <c r="AP258" i="44"/>
  <c r="AH258" i="44"/>
  <c r="AG258" i="44"/>
  <c r="AG257" i="44" s="1"/>
  <c r="AF258" i="44"/>
  <c r="AF257" i="44" s="1"/>
  <c r="AE258" i="44"/>
  <c r="AE257" i="44" s="1"/>
  <c r="AD258" i="44"/>
  <c r="Y258" i="44"/>
  <c r="T258" i="44"/>
  <c r="T257" i="44" s="1"/>
  <c r="O258" i="44"/>
  <c r="O257" i="44" s="1"/>
  <c r="N258" i="44"/>
  <c r="H258" i="44"/>
  <c r="H257" i="44" s="1"/>
  <c r="AH257" i="44"/>
  <c r="AD257" i="44"/>
  <c r="N257" i="44"/>
  <c r="AK256" i="44"/>
  <c r="AI256" i="44" s="1"/>
  <c r="AJ256" i="44"/>
  <c r="J256" i="44"/>
  <c r="H256" i="44"/>
  <c r="H255" i="44" s="1"/>
  <c r="H254" i="44" s="1"/>
  <c r="F256" i="44"/>
  <c r="F255" i="44" s="1"/>
  <c r="F254" i="44" s="1"/>
  <c r="AP255" i="44"/>
  <c r="AP254" i="44" s="1"/>
  <c r="AH255" i="44"/>
  <c r="AH254" i="44" s="1"/>
  <c r="AG255" i="44"/>
  <c r="AG254" i="44" s="1"/>
  <c r="AF255" i="44"/>
  <c r="AF254" i="44" s="1"/>
  <c r="AE255" i="44"/>
  <c r="AE254" i="44" s="1"/>
  <c r="AD255" i="44"/>
  <c r="AD254" i="44" s="1"/>
  <c r="Y255" i="44"/>
  <c r="Y254" i="44" s="1"/>
  <c r="T255" i="44"/>
  <c r="O255" i="44"/>
  <c r="O254" i="44" s="1"/>
  <c r="N255" i="44"/>
  <c r="N254" i="44"/>
  <c r="AK253" i="44"/>
  <c r="AJ253" i="44"/>
  <c r="O253" i="44"/>
  <c r="J253" i="44"/>
  <c r="H253" i="44"/>
  <c r="H252" i="44" s="1"/>
  <c r="F253" i="44"/>
  <c r="F252" i="44" s="1"/>
  <c r="AH252" i="44"/>
  <c r="AG252" i="44"/>
  <c r="AF252" i="44"/>
  <c r="AE252" i="44"/>
  <c r="AD252" i="44"/>
  <c r="Y252" i="44"/>
  <c r="T252" i="44"/>
  <c r="O252" i="44"/>
  <c r="N252" i="44"/>
  <c r="AK251" i="44"/>
  <c r="AI251" i="44" s="1"/>
  <c r="AJ251" i="44"/>
  <c r="J251" i="44"/>
  <c r="Q251" i="44" s="1"/>
  <c r="X251" i="44" s="1"/>
  <c r="H251" i="44"/>
  <c r="F251" i="44"/>
  <c r="AK250" i="44"/>
  <c r="AI250" i="44" s="1"/>
  <c r="AJ250" i="44"/>
  <c r="O250" i="44"/>
  <c r="O249" i="44" s="1"/>
  <c r="J250" i="44"/>
  <c r="U250" i="44" s="1"/>
  <c r="W250" i="44" s="1"/>
  <c r="H250" i="44"/>
  <c r="F250" i="44"/>
  <c r="AH249" i="44"/>
  <c r="AH248" i="44" s="1"/>
  <c r="AG249" i="44"/>
  <c r="AF249" i="44"/>
  <c r="AE249" i="44"/>
  <c r="AD249" i="44"/>
  <c r="AD248" i="44" s="1"/>
  <c r="Y249" i="44"/>
  <c r="T249" i="44"/>
  <c r="N249" i="44"/>
  <c r="N248" i="44" s="1"/>
  <c r="AK247" i="44"/>
  <c r="AI247" i="44" s="1"/>
  <c r="AJ247" i="44"/>
  <c r="W247" i="44"/>
  <c r="J247" i="44"/>
  <c r="Q247" i="44" s="1"/>
  <c r="AC247" i="44" s="1"/>
  <c r="H247" i="44"/>
  <c r="F247" i="44"/>
  <c r="AK246" i="44"/>
  <c r="AI246" i="44" s="1"/>
  <c r="AJ246" i="44"/>
  <c r="W246" i="44"/>
  <c r="J246" i="44"/>
  <c r="Q246" i="44" s="1"/>
  <c r="H246" i="44"/>
  <c r="F246" i="44"/>
  <c r="AK245" i="44"/>
  <c r="AJ245" i="44"/>
  <c r="J245" i="44"/>
  <c r="U245" i="44" s="1"/>
  <c r="W245" i="44" s="1"/>
  <c r="H245" i="44"/>
  <c r="F245" i="44"/>
  <c r="AK244" i="44"/>
  <c r="AJ244" i="44"/>
  <c r="W244" i="44"/>
  <c r="J244" i="44"/>
  <c r="Q244" i="44" s="1"/>
  <c r="AO244" i="44" s="1"/>
  <c r="H244" i="44"/>
  <c r="F244" i="44"/>
  <c r="AK243" i="44"/>
  <c r="AJ243" i="44"/>
  <c r="J243" i="44"/>
  <c r="U243" i="44" s="1"/>
  <c r="W243" i="44" s="1"/>
  <c r="H243" i="44"/>
  <c r="F243" i="44"/>
  <c r="AH242" i="44"/>
  <c r="AG242" i="44"/>
  <c r="AF242" i="44"/>
  <c r="AE242" i="44"/>
  <c r="AD242" i="44"/>
  <c r="Y242" i="44"/>
  <c r="T242" i="44"/>
  <c r="O242" i="44"/>
  <c r="O241" i="44" s="1"/>
  <c r="N242" i="44"/>
  <c r="N241" i="44" s="1"/>
  <c r="AH241" i="44"/>
  <c r="AG241" i="44"/>
  <c r="AF241" i="44"/>
  <c r="AE241" i="44"/>
  <c r="AD241" i="44"/>
  <c r="Y241" i="44"/>
  <c r="T241" i="44"/>
  <c r="AK240" i="44"/>
  <c r="AJ240" i="44"/>
  <c r="O240" i="44"/>
  <c r="J240" i="44"/>
  <c r="Z240" i="44" s="1"/>
  <c r="AB240" i="44" s="1"/>
  <c r="H240" i="44"/>
  <c r="F240" i="44"/>
  <c r="AK239" i="44"/>
  <c r="AI239" i="44" s="1"/>
  <c r="AJ239" i="44"/>
  <c r="J239" i="44"/>
  <c r="Q239" i="44" s="1"/>
  <c r="X239" i="44" s="1"/>
  <c r="H239" i="44"/>
  <c r="F239" i="44"/>
  <c r="AK238" i="44"/>
  <c r="AI238" i="44" s="1"/>
  <c r="AJ238" i="44"/>
  <c r="J238" i="44"/>
  <c r="H238" i="44"/>
  <c r="F238" i="44"/>
  <c r="AK237" i="44"/>
  <c r="AJ237" i="44"/>
  <c r="J237" i="44"/>
  <c r="U237" i="44" s="1"/>
  <c r="W237" i="44" s="1"/>
  <c r="H237" i="44"/>
  <c r="F237" i="44"/>
  <c r="AK236" i="44"/>
  <c r="AL236" i="44" s="1"/>
  <c r="AN236" i="44" s="1"/>
  <c r="AJ236" i="44"/>
  <c r="O236" i="44"/>
  <c r="O235" i="44" s="1"/>
  <c r="J236" i="44"/>
  <c r="Z236" i="44" s="1"/>
  <c r="AB236" i="44" s="1"/>
  <c r="H236" i="44"/>
  <c r="F236" i="44"/>
  <c r="AH235" i="44"/>
  <c r="AH233" i="44" s="1"/>
  <c r="AG235" i="44"/>
  <c r="AF235" i="44"/>
  <c r="AF233" i="44" s="1"/>
  <c r="AF232" i="44" s="1"/>
  <c r="AE235" i="44"/>
  <c r="AE233" i="44" s="1"/>
  <c r="AD235" i="44"/>
  <c r="AD233" i="44" s="1"/>
  <c r="Y235" i="44"/>
  <c r="T235" i="44"/>
  <c r="N235" i="44"/>
  <c r="N233" i="44" s="1"/>
  <c r="AK234" i="44"/>
  <c r="AJ234" i="44"/>
  <c r="O234" i="44"/>
  <c r="J234" i="44"/>
  <c r="U234" i="44" s="1"/>
  <c r="W234" i="44" s="1"/>
  <c r="H234" i="44"/>
  <c r="F234" i="44"/>
  <c r="AG233" i="44"/>
  <c r="Y233" i="44"/>
  <c r="Y232" i="44" s="1"/>
  <c r="AK231" i="44"/>
  <c r="AI231" i="44" s="1"/>
  <c r="AJ231" i="44"/>
  <c r="J231" i="44"/>
  <c r="H231" i="44"/>
  <c r="F231" i="44"/>
  <c r="AK230" i="44"/>
  <c r="AJ230" i="44"/>
  <c r="O230" i="44"/>
  <c r="O229" i="44" s="1"/>
  <c r="J230" i="44"/>
  <c r="H230" i="44"/>
  <c r="F230" i="44"/>
  <c r="AH229" i="44"/>
  <c r="AG229" i="44"/>
  <c r="AF229" i="44"/>
  <c r="AE229" i="44"/>
  <c r="AD229" i="44"/>
  <c r="Y229" i="44"/>
  <c r="T229" i="44"/>
  <c r="N229" i="44"/>
  <c r="AK228" i="44"/>
  <c r="AJ228" i="44"/>
  <c r="J228" i="44"/>
  <c r="Z228" i="44" s="1"/>
  <c r="AB228" i="44" s="1"/>
  <c r="H228" i="44"/>
  <c r="F228" i="44"/>
  <c r="AK227" i="44"/>
  <c r="AI227" i="44" s="1"/>
  <c r="AJ227" i="44"/>
  <c r="J227" i="44"/>
  <c r="H227" i="44"/>
  <c r="F227" i="44"/>
  <c r="AK226" i="44"/>
  <c r="AI226" i="44" s="1"/>
  <c r="AJ226" i="44"/>
  <c r="J226" i="44"/>
  <c r="U226" i="44" s="1"/>
  <c r="W226" i="44" s="1"/>
  <c r="H226" i="44"/>
  <c r="F226" i="44"/>
  <c r="AH225" i="44"/>
  <c r="AG225" i="44"/>
  <c r="AF225" i="44"/>
  <c r="AE225" i="44"/>
  <c r="AD225" i="44"/>
  <c r="Y225" i="44"/>
  <c r="T225" i="44"/>
  <c r="O225" i="44"/>
  <c r="N225" i="44"/>
  <c r="AK224" i="44"/>
  <c r="AI224" i="44" s="1"/>
  <c r="AJ224" i="44"/>
  <c r="W224" i="44"/>
  <c r="J224" i="44"/>
  <c r="Q224" i="44" s="1"/>
  <c r="H224" i="44"/>
  <c r="F224" i="44"/>
  <c r="AK223" i="44"/>
  <c r="AI223" i="44" s="1"/>
  <c r="AJ223" i="44"/>
  <c r="W223" i="44"/>
  <c r="J223" i="44"/>
  <c r="Q223" i="44" s="1"/>
  <c r="AO223" i="44" s="1"/>
  <c r="H223" i="44"/>
  <c r="F223" i="44"/>
  <c r="AK222" i="44"/>
  <c r="AJ222" i="44"/>
  <c r="J222" i="44"/>
  <c r="H222" i="44"/>
  <c r="F222" i="44"/>
  <c r="AK221" i="44"/>
  <c r="AJ221" i="44"/>
  <c r="J221" i="44"/>
  <c r="U221" i="44" s="1"/>
  <c r="W221" i="44" s="1"/>
  <c r="H221" i="44"/>
  <c r="F221" i="44"/>
  <c r="AH220" i="44"/>
  <c r="AH219" i="44" s="1"/>
  <c r="AG220" i="44"/>
  <c r="AF220" i="44"/>
  <c r="AF219" i="44" s="1"/>
  <c r="AE220" i="44"/>
  <c r="AE219" i="44" s="1"/>
  <c r="AD220" i="44"/>
  <c r="AD219" i="44" s="1"/>
  <c r="Y220" i="44"/>
  <c r="Y219" i="44" s="1"/>
  <c r="T220" i="44"/>
  <c r="T219" i="44" s="1"/>
  <c r="O220" i="44"/>
  <c r="O219" i="44" s="1"/>
  <c r="N220" i="44"/>
  <c r="N219" i="44" s="1"/>
  <c r="AG219" i="44"/>
  <c r="AK218" i="44"/>
  <c r="AI218" i="44" s="1"/>
  <c r="AJ218" i="44"/>
  <c r="J218" i="44"/>
  <c r="Z218" i="44" s="1"/>
  <c r="AB218" i="44" s="1"/>
  <c r="H218" i="44"/>
  <c r="F218" i="44"/>
  <c r="AK217" i="44"/>
  <c r="AI217" i="44" s="1"/>
  <c r="AJ217" i="44"/>
  <c r="J217" i="44"/>
  <c r="H217" i="44"/>
  <c r="F217" i="44"/>
  <c r="AH216" i="44"/>
  <c r="AH212" i="44" s="1"/>
  <c r="AG216" i="44"/>
  <c r="AG212" i="44" s="1"/>
  <c r="AF216" i="44"/>
  <c r="AF212" i="44" s="1"/>
  <c r="AE216" i="44"/>
  <c r="AE212" i="44" s="1"/>
  <c r="AD216" i="44"/>
  <c r="AD212" i="44" s="1"/>
  <c r="Y216" i="44"/>
  <c r="Y212" i="44" s="1"/>
  <c r="T216" i="44"/>
  <c r="N216" i="44"/>
  <c r="N212" i="44" s="1"/>
  <c r="AK215" i="44"/>
  <c r="AJ215" i="44"/>
  <c r="J215" i="44"/>
  <c r="H215" i="44"/>
  <c r="F215" i="44"/>
  <c r="AK214" i="44"/>
  <c r="AJ214" i="44"/>
  <c r="J214" i="44"/>
  <c r="U214" i="44" s="1"/>
  <c r="W214" i="44" s="1"/>
  <c r="H214" i="44"/>
  <c r="F214" i="44"/>
  <c r="AK213" i="44"/>
  <c r="AI213" i="44" s="1"/>
  <c r="AJ213" i="44"/>
  <c r="O213" i="44"/>
  <c r="O212" i="44" s="1"/>
  <c r="J213" i="44"/>
  <c r="H213" i="44"/>
  <c r="F213" i="44"/>
  <c r="T212" i="44"/>
  <c r="AN210" i="44"/>
  <c r="J210" i="44"/>
  <c r="U210" i="44" s="1"/>
  <c r="W210" i="44" s="1"/>
  <c r="H210" i="44"/>
  <c r="H209" i="44" s="1"/>
  <c r="F210" i="44"/>
  <c r="F209" i="44" s="1"/>
  <c r="AH209" i="44"/>
  <c r="AG209" i="44"/>
  <c r="AF209" i="44"/>
  <c r="AE209" i="44"/>
  <c r="AD209" i="44"/>
  <c r="T209" i="44"/>
  <c r="O209" i="44"/>
  <c r="N209" i="44"/>
  <c r="AK208" i="44"/>
  <c r="AJ208" i="44"/>
  <c r="J208" i="44"/>
  <c r="H208" i="44"/>
  <c r="F208" i="44"/>
  <c r="AK207" i="44"/>
  <c r="AJ207" i="44"/>
  <c r="J207" i="44"/>
  <c r="H207" i="44"/>
  <c r="F207" i="44"/>
  <c r="AK206" i="44"/>
  <c r="AJ206" i="44"/>
  <c r="J206" i="44"/>
  <c r="H206" i="44"/>
  <c r="F206" i="44"/>
  <c r="AK205" i="44"/>
  <c r="AI205" i="44" s="1"/>
  <c r="AJ205" i="44"/>
  <c r="O205" i="44"/>
  <c r="J205" i="44"/>
  <c r="H205" i="44"/>
  <c r="F205" i="44"/>
  <c r="AK204" i="44"/>
  <c r="AI204" i="44" s="1"/>
  <c r="AJ204" i="44"/>
  <c r="J204" i="44"/>
  <c r="U204" i="44" s="1"/>
  <c r="W204" i="44" s="1"/>
  <c r="H204" i="44"/>
  <c r="F204" i="44"/>
  <c r="AK203" i="44"/>
  <c r="AJ203" i="44"/>
  <c r="O203" i="44"/>
  <c r="J203" i="44"/>
  <c r="H203" i="44"/>
  <c r="F203" i="44"/>
  <c r="AH202" i="44"/>
  <c r="AG202" i="44"/>
  <c r="AG201" i="44" s="1"/>
  <c r="AF202" i="44"/>
  <c r="AE202" i="44"/>
  <c r="AD202" i="44"/>
  <c r="Y202" i="44"/>
  <c r="T202" i="44"/>
  <c r="N202" i="44"/>
  <c r="AK200" i="44"/>
  <c r="AJ200" i="44"/>
  <c r="AI200" i="44"/>
  <c r="AB200" i="44"/>
  <c r="W200" i="44"/>
  <c r="J200" i="44"/>
  <c r="Q200" i="44" s="1"/>
  <c r="H200" i="44"/>
  <c r="F200" i="44"/>
  <c r="AK199" i="44"/>
  <c r="AI199" i="44" s="1"/>
  <c r="AJ199" i="44"/>
  <c r="W199" i="44"/>
  <c r="J199" i="44"/>
  <c r="Q199" i="44" s="1"/>
  <c r="H199" i="44"/>
  <c r="F199" i="44"/>
  <c r="AJ198" i="44"/>
  <c r="W198" i="44"/>
  <c r="O198" i="44"/>
  <c r="N198" i="44"/>
  <c r="AK197" i="44"/>
  <c r="AI197" i="44" s="1"/>
  <c r="AJ197" i="44"/>
  <c r="J197" i="44"/>
  <c r="H197" i="44"/>
  <c r="F197" i="44"/>
  <c r="AK196" i="44"/>
  <c r="AI196" i="44" s="1"/>
  <c r="AJ196" i="44"/>
  <c r="J196" i="44"/>
  <c r="Z196" i="44" s="1"/>
  <c r="AB196" i="44" s="1"/>
  <c r="H196" i="44"/>
  <c r="F196" i="44"/>
  <c r="AK195" i="44"/>
  <c r="AJ195" i="44"/>
  <c r="J195" i="44"/>
  <c r="H195" i="44"/>
  <c r="F195" i="44"/>
  <c r="AK194" i="44"/>
  <c r="AJ194" i="44"/>
  <c r="O194" i="44"/>
  <c r="O193" i="44" s="1"/>
  <c r="J194" i="44"/>
  <c r="H194" i="44"/>
  <c r="F194" i="44"/>
  <c r="F193" i="44" s="1"/>
  <c r="AH193" i="44"/>
  <c r="AH192" i="44" s="1"/>
  <c r="AG193" i="44"/>
  <c r="AF193" i="44"/>
  <c r="AF192" i="44" s="1"/>
  <c r="AE193" i="44"/>
  <c r="AE192" i="44" s="1"/>
  <c r="AD193" i="44"/>
  <c r="AD192" i="44" s="1"/>
  <c r="Y193" i="44"/>
  <c r="T193" i="44"/>
  <c r="T192" i="44" s="1"/>
  <c r="N193" i="44"/>
  <c r="AG192" i="44"/>
  <c r="Y192" i="44"/>
  <c r="AK191" i="44"/>
  <c r="AJ191" i="44"/>
  <c r="J191" i="44"/>
  <c r="Z191" i="44" s="1"/>
  <c r="AB191" i="44" s="1"/>
  <c r="H191" i="44"/>
  <c r="F191" i="44"/>
  <c r="AD190" i="44"/>
  <c r="AK190" i="44" s="1"/>
  <c r="J190" i="44"/>
  <c r="H190" i="44"/>
  <c r="F190" i="44"/>
  <c r="AK189" i="44"/>
  <c r="AJ189" i="44"/>
  <c r="J189" i="44"/>
  <c r="H189" i="44"/>
  <c r="F189" i="44"/>
  <c r="AK188" i="44"/>
  <c r="AJ188" i="44"/>
  <c r="J188" i="44"/>
  <c r="Z188" i="44" s="1"/>
  <c r="AB188" i="44" s="1"/>
  <c r="H188" i="44"/>
  <c r="F188" i="44"/>
  <c r="AH187" i="44"/>
  <c r="AG187" i="44"/>
  <c r="AG184" i="44" s="1"/>
  <c r="AF187" i="44"/>
  <c r="AF184" i="44" s="1"/>
  <c r="AE187" i="44"/>
  <c r="AE184" i="44" s="1"/>
  <c r="AD187" i="44"/>
  <c r="Y187" i="44"/>
  <c r="Y184" i="44" s="1"/>
  <c r="T187" i="44"/>
  <c r="O187" i="44"/>
  <c r="N187" i="44"/>
  <c r="N184" i="44" s="1"/>
  <c r="AK186" i="44"/>
  <c r="AJ186" i="44"/>
  <c r="O186" i="44"/>
  <c r="J186" i="44"/>
  <c r="U186" i="44" s="1"/>
  <c r="W186" i="44" s="1"/>
  <c r="H186" i="44"/>
  <c r="F186" i="44"/>
  <c r="AK185" i="44"/>
  <c r="AI185" i="44" s="1"/>
  <c r="AJ185" i="44"/>
  <c r="J185" i="44"/>
  <c r="H185" i="44"/>
  <c r="F185" i="44"/>
  <c r="AH184" i="44"/>
  <c r="AK182" i="44"/>
  <c r="AI182" i="44" s="1"/>
  <c r="AJ182" i="44"/>
  <c r="J182" i="44"/>
  <c r="U182" i="44" s="1"/>
  <c r="W182" i="44" s="1"/>
  <c r="H182" i="44"/>
  <c r="F182" i="44"/>
  <c r="AK181" i="44"/>
  <c r="AJ181" i="44"/>
  <c r="J181" i="44"/>
  <c r="Z181" i="44" s="1"/>
  <c r="AB181" i="44" s="1"/>
  <c r="H181" i="44"/>
  <c r="F181" i="44"/>
  <c r="AH180" i="44"/>
  <c r="AG180" i="44"/>
  <c r="AF180" i="44"/>
  <c r="AE180" i="44"/>
  <c r="AD180" i="44"/>
  <c r="Y180" i="44"/>
  <c r="T180" i="44"/>
  <c r="O180" i="44"/>
  <c r="N180" i="44"/>
  <c r="AK179" i="44"/>
  <c r="AJ179" i="44"/>
  <c r="O179" i="44"/>
  <c r="J179" i="44"/>
  <c r="Q179" i="44" s="1"/>
  <c r="AC179" i="44" s="1"/>
  <c r="H179" i="44"/>
  <c r="F179" i="44"/>
  <c r="AK178" i="44"/>
  <c r="AJ178" i="44"/>
  <c r="J178" i="44"/>
  <c r="Q178" i="44" s="1"/>
  <c r="H178" i="44"/>
  <c r="F178" i="44"/>
  <c r="AK177" i="44"/>
  <c r="AJ177" i="44"/>
  <c r="J177" i="44"/>
  <c r="U177" i="44" s="1"/>
  <c r="W177" i="44" s="1"/>
  <c r="H177" i="44"/>
  <c r="F177" i="44"/>
  <c r="F176" i="44" s="1"/>
  <c r="AH176" i="44"/>
  <c r="AG176" i="44"/>
  <c r="AF176" i="44"/>
  <c r="AE176" i="44"/>
  <c r="AD176" i="44"/>
  <c r="Y176" i="44"/>
  <c r="T176" i="44"/>
  <c r="O176" i="44"/>
  <c r="O175" i="44" s="1"/>
  <c r="N176" i="44"/>
  <c r="AK174" i="44"/>
  <c r="AJ174" i="44"/>
  <c r="AI174" i="44"/>
  <c r="J174" i="44"/>
  <c r="U174" i="44" s="1"/>
  <c r="W174" i="44" s="1"/>
  <c r="H174" i="44"/>
  <c r="F174" i="44"/>
  <c r="AK173" i="44"/>
  <c r="AJ173" i="44"/>
  <c r="O173" i="44"/>
  <c r="J173" i="44"/>
  <c r="U173" i="44" s="1"/>
  <c r="W173" i="44" s="1"/>
  <c r="H173" i="44"/>
  <c r="F173" i="44"/>
  <c r="AK172" i="44"/>
  <c r="AJ172" i="44"/>
  <c r="J172" i="44"/>
  <c r="Z172" i="44" s="1"/>
  <c r="AB172" i="44" s="1"/>
  <c r="H172" i="44"/>
  <c r="F172" i="44"/>
  <c r="AK171" i="44"/>
  <c r="AJ171" i="44"/>
  <c r="J171" i="44"/>
  <c r="H171" i="44"/>
  <c r="F171" i="44"/>
  <c r="AK170" i="44"/>
  <c r="AI170" i="44" s="1"/>
  <c r="AJ170" i="44"/>
  <c r="W170" i="44"/>
  <c r="J170" i="44"/>
  <c r="Q170" i="44" s="1"/>
  <c r="H170" i="44"/>
  <c r="F170" i="44"/>
  <c r="AK169" i="44"/>
  <c r="AJ169" i="44"/>
  <c r="Q169" i="44"/>
  <c r="J169" i="44"/>
  <c r="Z169" i="44" s="1"/>
  <c r="AB169" i="44" s="1"/>
  <c r="H169" i="44"/>
  <c r="F169" i="44"/>
  <c r="AK168" i="44"/>
  <c r="AI168" i="44" s="1"/>
  <c r="AJ168" i="44"/>
  <c r="J168" i="44"/>
  <c r="H168" i="44"/>
  <c r="F168" i="44"/>
  <c r="AK167" i="44"/>
  <c r="AI167" i="44" s="1"/>
  <c r="AJ167" i="44"/>
  <c r="J167" i="44"/>
  <c r="U167" i="44" s="1"/>
  <c r="W167" i="44" s="1"/>
  <c r="H167" i="44"/>
  <c r="F167" i="44"/>
  <c r="AH166" i="44"/>
  <c r="AH165" i="44" s="1"/>
  <c r="AG166" i="44"/>
  <c r="AG165" i="44" s="1"/>
  <c r="AF166" i="44"/>
  <c r="AF165" i="44" s="1"/>
  <c r="AE166" i="44"/>
  <c r="AE165" i="44" s="1"/>
  <c r="AD166" i="44"/>
  <c r="Y166" i="44"/>
  <c r="Y165" i="44" s="1"/>
  <c r="T166" i="44"/>
  <c r="T165" i="44" s="1"/>
  <c r="O166" i="44"/>
  <c r="N166" i="44"/>
  <c r="N165" i="44" s="1"/>
  <c r="AK164" i="44"/>
  <c r="AJ164" i="44"/>
  <c r="J164" i="44"/>
  <c r="U164" i="44" s="1"/>
  <c r="W164" i="44" s="1"/>
  <c r="H164" i="44"/>
  <c r="F164" i="44"/>
  <c r="AK163" i="44"/>
  <c r="AI163" i="44" s="1"/>
  <c r="AJ163" i="44"/>
  <c r="J163" i="44"/>
  <c r="Z163" i="44" s="1"/>
  <c r="AB163" i="44" s="1"/>
  <c r="H163" i="44"/>
  <c r="F163" i="44"/>
  <c r="AH162" i="44"/>
  <c r="AH159" i="44" s="1"/>
  <c r="AG162" i="44"/>
  <c r="AG159" i="44" s="1"/>
  <c r="AF162" i="44"/>
  <c r="AF159" i="44" s="1"/>
  <c r="AE162" i="44"/>
  <c r="AE159" i="44" s="1"/>
  <c r="AD162" i="44"/>
  <c r="Y162" i="44"/>
  <c r="T162" i="44"/>
  <c r="N162" i="44"/>
  <c r="N159" i="44" s="1"/>
  <c r="AK161" i="44"/>
  <c r="AI161" i="44" s="1"/>
  <c r="AJ161" i="44"/>
  <c r="J161" i="44"/>
  <c r="H161" i="44"/>
  <c r="F161" i="44"/>
  <c r="AK160" i="44"/>
  <c r="AI160" i="44" s="1"/>
  <c r="AJ160" i="44"/>
  <c r="J160" i="44"/>
  <c r="Q160" i="44" s="1"/>
  <c r="H160" i="44"/>
  <c r="F160" i="44"/>
  <c r="O159" i="44"/>
  <c r="AN158" i="44"/>
  <c r="AK158" i="44"/>
  <c r="AI158" i="44" s="1"/>
  <c r="AJ158" i="44"/>
  <c r="AB158" i="44"/>
  <c r="W158" i="44"/>
  <c r="J158" i="44"/>
  <c r="H158" i="44"/>
  <c r="F158" i="44"/>
  <c r="AK157" i="44"/>
  <c r="AK156" i="44" s="1"/>
  <c r="AJ157" i="44"/>
  <c r="J157" i="44"/>
  <c r="U157" i="44" s="1"/>
  <c r="W157" i="44" s="1"/>
  <c r="H157" i="44"/>
  <c r="F157" i="44"/>
  <c r="AH156" i="44"/>
  <c r="AG156" i="44"/>
  <c r="AF156" i="44"/>
  <c r="AE156" i="44"/>
  <c r="AD156" i="44"/>
  <c r="Y156" i="44"/>
  <c r="T156" i="44"/>
  <c r="N156" i="44"/>
  <c r="AK155" i="44"/>
  <c r="AI155" i="44" s="1"/>
  <c r="AJ155" i="44"/>
  <c r="J155" i="44"/>
  <c r="Q155" i="44" s="1"/>
  <c r="X155" i="44" s="1"/>
  <c r="H155" i="44"/>
  <c r="F155" i="44"/>
  <c r="AK154" i="44"/>
  <c r="AJ154" i="44"/>
  <c r="J154" i="44"/>
  <c r="H154" i="44"/>
  <c r="F154" i="44"/>
  <c r="F153" i="44" s="1"/>
  <c r="AH153" i="44"/>
  <c r="AG153" i="44"/>
  <c r="AF153" i="44"/>
  <c r="AE153" i="44"/>
  <c r="AD153" i="44"/>
  <c r="Y153" i="44"/>
  <c r="T153" i="44"/>
  <c r="O153" i="44"/>
  <c r="N153" i="44"/>
  <c r="G153" i="44"/>
  <c r="N152" i="44"/>
  <c r="AT149" i="44"/>
  <c r="AP149" i="44"/>
  <c r="AP11" i="44" s="1"/>
  <c r="AU148" i="44"/>
  <c r="AW148" i="44" s="1"/>
  <c r="AQ148" i="44"/>
  <c r="AS148" i="44" s="1"/>
  <c r="AK148" i="44"/>
  <c r="AI148" i="44" s="1"/>
  <c r="AJ148" i="44"/>
  <c r="Z148" i="44"/>
  <c r="AB148" i="44" s="1"/>
  <c r="U148" i="44"/>
  <c r="W148" i="44" s="1"/>
  <c r="Q148" i="44"/>
  <c r="X148" i="44" s="1"/>
  <c r="F148" i="44"/>
  <c r="F147" i="44" s="1"/>
  <c r="F146" i="44" s="1"/>
  <c r="AT147" i="44"/>
  <c r="AP147" i="44"/>
  <c r="AH147" i="44"/>
  <c r="AH146" i="44" s="1"/>
  <c r="AG147" i="44"/>
  <c r="AG146" i="44" s="1"/>
  <c r="AF147" i="44"/>
  <c r="AF146" i="44" s="1"/>
  <c r="AE147" i="44"/>
  <c r="AE146" i="44" s="1"/>
  <c r="AD147" i="44"/>
  <c r="Y147" i="44"/>
  <c r="T147" i="44"/>
  <c r="O147" i="44"/>
  <c r="N147" i="44"/>
  <c r="N146" i="44" s="1"/>
  <c r="J147" i="44"/>
  <c r="J146" i="44" s="1"/>
  <c r="I146" i="44" s="1"/>
  <c r="H147" i="44"/>
  <c r="H146" i="44" s="1"/>
  <c r="E147" i="44"/>
  <c r="E146" i="44" s="1"/>
  <c r="AT146" i="44"/>
  <c r="AK145" i="44"/>
  <c r="AJ145" i="44"/>
  <c r="Z145" i="44"/>
  <c r="AB145" i="44" s="1"/>
  <c r="U145" i="44"/>
  <c r="W145" i="44" s="1"/>
  <c r="Q145" i="44"/>
  <c r="X145" i="44" s="1"/>
  <c r="H145" i="44"/>
  <c r="F145" i="44"/>
  <c r="AK144" i="44"/>
  <c r="AJ144" i="44"/>
  <c r="Z144" i="44"/>
  <c r="O144" i="44"/>
  <c r="H144" i="44"/>
  <c r="F144" i="44"/>
  <c r="AL143" i="44"/>
  <c r="AI143" i="44"/>
  <c r="Z143" i="44"/>
  <c r="U143" i="44"/>
  <c r="R143" i="44"/>
  <c r="H143" i="44"/>
  <c r="F143" i="44"/>
  <c r="AH142" i="44"/>
  <c r="AH140" i="44" s="1"/>
  <c r="AG142" i="44"/>
  <c r="AG140" i="44" s="1"/>
  <c r="AF142" i="44"/>
  <c r="AF140" i="44" s="1"/>
  <c r="AE142" i="44"/>
  <c r="AE140" i="44" s="1"/>
  <c r="AD142" i="44"/>
  <c r="Y142" i="44"/>
  <c r="T142" i="44"/>
  <c r="N142" i="44"/>
  <c r="N140" i="44" s="1"/>
  <c r="H142" i="44"/>
  <c r="E142" i="44"/>
  <c r="E140" i="44" s="1"/>
  <c r="AK141" i="44"/>
  <c r="AL141" i="44" s="1"/>
  <c r="AN141" i="44" s="1"/>
  <c r="AJ141" i="44"/>
  <c r="Z141" i="44"/>
  <c r="AB141" i="44" s="1"/>
  <c r="U141" i="44"/>
  <c r="W141" i="44" s="1"/>
  <c r="Q141" i="44"/>
  <c r="F141" i="44"/>
  <c r="J140" i="44"/>
  <c r="AK139" i="44"/>
  <c r="AI139" i="44" s="1"/>
  <c r="AJ139" i="44"/>
  <c r="Z139" i="44"/>
  <c r="AB139" i="44" s="1"/>
  <c r="U139" i="44"/>
  <c r="W139" i="44" s="1"/>
  <c r="Q139" i="44"/>
  <c r="AO139" i="44" s="1"/>
  <c r="H139" i="44"/>
  <c r="F139" i="44"/>
  <c r="AK138" i="44"/>
  <c r="AJ138" i="44"/>
  <c r="Z138" i="44"/>
  <c r="AB138" i="44" s="1"/>
  <c r="U138" i="44"/>
  <c r="W138" i="44" s="1"/>
  <c r="Q138" i="44"/>
  <c r="F138" i="44"/>
  <c r="AK137" i="44"/>
  <c r="AJ137" i="44"/>
  <c r="Z137" i="44"/>
  <c r="AB137" i="44" s="1"/>
  <c r="U137" i="44"/>
  <c r="W137" i="44" s="1"/>
  <c r="Q137" i="44"/>
  <c r="X137" i="44" s="1"/>
  <c r="F137" i="44"/>
  <c r="AH136" i="44"/>
  <c r="AH135" i="44" s="1"/>
  <c r="AH134" i="44" s="1"/>
  <c r="AG136" i="44"/>
  <c r="AG135" i="44" s="1"/>
  <c r="AF136" i="44"/>
  <c r="AF135" i="44" s="1"/>
  <c r="AF134" i="44" s="1"/>
  <c r="AE136" i="44"/>
  <c r="AD136" i="44"/>
  <c r="AD135" i="44" s="1"/>
  <c r="Y136" i="44"/>
  <c r="T136" i="44"/>
  <c r="O136" i="44"/>
  <c r="O135" i="44" s="1"/>
  <c r="N136" i="44"/>
  <c r="N135" i="44" s="1"/>
  <c r="J136" i="44"/>
  <c r="H136" i="44"/>
  <c r="E136" i="44"/>
  <c r="AE135" i="44"/>
  <c r="E135" i="44"/>
  <c r="AL133" i="44"/>
  <c r="AN133" i="44" s="1"/>
  <c r="AI133" i="44"/>
  <c r="Z133" i="44"/>
  <c r="AB133" i="44" s="1"/>
  <c r="U133" i="44"/>
  <c r="W133" i="44" s="1"/>
  <c r="Q133" i="44"/>
  <c r="X133" i="44" s="1"/>
  <c r="F133" i="44"/>
  <c r="AL132" i="44"/>
  <c r="AN132" i="44" s="1"/>
  <c r="AI132" i="44"/>
  <c r="Z132" i="44"/>
  <c r="AB132" i="44" s="1"/>
  <c r="U132" i="44"/>
  <c r="W132" i="44" s="1"/>
  <c r="Q132" i="44"/>
  <c r="X132" i="44" s="1"/>
  <c r="F132" i="44"/>
  <c r="AK131" i="44"/>
  <c r="AL131" i="44" s="1"/>
  <c r="AN131" i="44" s="1"/>
  <c r="AJ131" i="44"/>
  <c r="AH131" i="44"/>
  <c r="AG131" i="44"/>
  <c r="AF131" i="44"/>
  <c r="AE131" i="44"/>
  <c r="AD131" i="44"/>
  <c r="Y131" i="44"/>
  <c r="Z131" i="44" s="1"/>
  <c r="AB131" i="44" s="1"/>
  <c r="T131" i="44"/>
  <c r="U131" i="44" s="1"/>
  <c r="W131" i="44" s="1"/>
  <c r="Q131" i="44"/>
  <c r="E131" i="44"/>
  <c r="AL130" i="44"/>
  <c r="AN130" i="44" s="1"/>
  <c r="AI130" i="44"/>
  <c r="Z130" i="44"/>
  <c r="AB130" i="44" s="1"/>
  <c r="U130" i="44"/>
  <c r="W130" i="44" s="1"/>
  <c r="Q130" i="44"/>
  <c r="AC130" i="44" s="1"/>
  <c r="G130" i="44"/>
  <c r="F130" i="44"/>
  <c r="AN129" i="44"/>
  <c r="AO129" i="44" s="1"/>
  <c r="AI129" i="44"/>
  <c r="AB129" i="44"/>
  <c r="AC129" i="44" s="1"/>
  <c r="W129" i="44"/>
  <c r="X129" i="44" s="1"/>
  <c r="Q129" i="44"/>
  <c r="R129" i="44" s="1"/>
  <c r="F129" i="44"/>
  <c r="AN128" i="44"/>
  <c r="AO128" i="44" s="1"/>
  <c r="AI128" i="44"/>
  <c r="AB128" i="44"/>
  <c r="AC128" i="44" s="1"/>
  <c r="W128" i="44"/>
  <c r="X128" i="44" s="1"/>
  <c r="Q128" i="44"/>
  <c r="R128" i="44" s="1"/>
  <c r="F128" i="44"/>
  <c r="AN127" i="44"/>
  <c r="AO127" i="44" s="1"/>
  <c r="AK127" i="44"/>
  <c r="AK125" i="44" s="1"/>
  <c r="AK124" i="44" s="1"/>
  <c r="AJ127" i="44"/>
  <c r="AH127" i="44"/>
  <c r="AG127" i="44"/>
  <c r="AD127" i="44"/>
  <c r="AB127" i="44"/>
  <c r="AC127" i="44" s="1"/>
  <c r="Y127" i="44"/>
  <c r="W127" i="44"/>
  <c r="X127" i="44" s="1"/>
  <c r="T127" i="44"/>
  <c r="O127" i="44"/>
  <c r="N127" i="44"/>
  <c r="N125" i="44" s="1"/>
  <c r="N124" i="44" s="1"/>
  <c r="J127" i="44"/>
  <c r="J125" i="44" s="1"/>
  <c r="H127" i="44"/>
  <c r="H125" i="44" s="1"/>
  <c r="E127" i="44"/>
  <c r="AI126" i="44"/>
  <c r="Z126" i="44"/>
  <c r="AB126" i="44" s="1"/>
  <c r="U126" i="44"/>
  <c r="W126" i="44" s="1"/>
  <c r="Q126" i="44"/>
  <c r="X126" i="44" s="1"/>
  <c r="F126" i="44"/>
  <c r="AG125" i="44"/>
  <c r="AJ125" i="44" s="1"/>
  <c r="AK123" i="44"/>
  <c r="AL123" i="44" s="1"/>
  <c r="AN123" i="44" s="1"/>
  <c r="AJ123" i="44"/>
  <c r="Z123" i="44"/>
  <c r="AB123" i="44" s="1"/>
  <c r="U123" i="44"/>
  <c r="W123" i="44" s="1"/>
  <c r="O123" i="44"/>
  <c r="Q123" i="44" s="1"/>
  <c r="G123" i="44"/>
  <c r="F123" i="44"/>
  <c r="AN122" i="44"/>
  <c r="AK122" i="44"/>
  <c r="AI122" i="44" s="1"/>
  <c r="AJ122" i="44"/>
  <c r="AB122" i="44"/>
  <c r="W122" i="44"/>
  <c r="Q122" i="44"/>
  <c r="F122" i="44"/>
  <c r="AN121" i="44"/>
  <c r="AH121" i="44"/>
  <c r="AG121" i="44"/>
  <c r="AB121" i="44"/>
  <c r="W121" i="44"/>
  <c r="T121" i="44"/>
  <c r="N121" i="44"/>
  <c r="J121" i="44"/>
  <c r="Q121" i="44" s="1"/>
  <c r="H121" i="44"/>
  <c r="F121" i="44"/>
  <c r="E121" i="44"/>
  <c r="AL120" i="44"/>
  <c r="AN120" i="44" s="1"/>
  <c r="AJ120" i="44"/>
  <c r="AI120" i="44"/>
  <c r="Z120" i="44"/>
  <c r="AB120" i="44" s="1"/>
  <c r="U120" i="44"/>
  <c r="W120" i="44" s="1"/>
  <c r="Q120" i="44"/>
  <c r="AC120" i="44" s="1"/>
  <c r="H120" i="44"/>
  <c r="F120" i="44"/>
  <c r="AK119" i="44"/>
  <c r="AI119" i="44" s="1"/>
  <c r="AJ119" i="44"/>
  <c r="Z119" i="44"/>
  <c r="AB119" i="44" s="1"/>
  <c r="U119" i="44"/>
  <c r="W119" i="44" s="1"/>
  <c r="Q119" i="44"/>
  <c r="H119" i="44"/>
  <c r="F119" i="44"/>
  <c r="AK118" i="44"/>
  <c r="AL118" i="44" s="1"/>
  <c r="AN118" i="44" s="1"/>
  <c r="AJ118" i="44"/>
  <c r="Z118" i="44"/>
  <c r="AB118" i="44" s="1"/>
  <c r="U118" i="44"/>
  <c r="W118" i="44" s="1"/>
  <c r="Q118" i="44"/>
  <c r="H118" i="44"/>
  <c r="F118" i="44"/>
  <c r="AK117" i="44"/>
  <c r="AJ117" i="44"/>
  <c r="Z117" i="44"/>
  <c r="AB117" i="44" s="1"/>
  <c r="U117" i="44"/>
  <c r="W117" i="44" s="1"/>
  <c r="Q117" i="44"/>
  <c r="H117" i="44"/>
  <c r="F117" i="44"/>
  <c r="AH116" i="44"/>
  <c r="AG116" i="44"/>
  <c r="AF116" i="44"/>
  <c r="AE116" i="44"/>
  <c r="AD116" i="44"/>
  <c r="Y116" i="44"/>
  <c r="T116" i="44"/>
  <c r="O116" i="44"/>
  <c r="N116" i="44"/>
  <c r="K116" i="44"/>
  <c r="J116" i="44"/>
  <c r="E116" i="44"/>
  <c r="AN115" i="44"/>
  <c r="AK115" i="44"/>
  <c r="AJ115" i="44"/>
  <c r="AB115" i="44"/>
  <c r="W115" i="44"/>
  <c r="Q115" i="44"/>
  <c r="AC115" i="44" s="1"/>
  <c r="F115" i="44"/>
  <c r="AK114" i="44"/>
  <c r="AI114" i="44" s="1"/>
  <c r="AJ114" i="44"/>
  <c r="Z114" i="44"/>
  <c r="AB114" i="44" s="1"/>
  <c r="U114" i="44"/>
  <c r="W114" i="44" s="1"/>
  <c r="Q114" i="44"/>
  <c r="H114" i="44"/>
  <c r="F114" i="44"/>
  <c r="AK113" i="44"/>
  <c r="AI113" i="44" s="1"/>
  <c r="AJ113" i="44"/>
  <c r="Z113" i="44"/>
  <c r="AB113" i="44" s="1"/>
  <c r="U113" i="44"/>
  <c r="W113" i="44" s="1"/>
  <c r="Q113" i="44"/>
  <c r="R113" i="44" s="1"/>
  <c r="H113" i="44"/>
  <c r="H112" i="44" s="1"/>
  <c r="F113" i="44"/>
  <c r="AH112" i="44"/>
  <c r="AG112" i="44"/>
  <c r="AF112" i="44"/>
  <c r="AE112" i="44"/>
  <c r="AD112" i="44"/>
  <c r="Y112" i="44"/>
  <c r="T112" i="44"/>
  <c r="U112" i="44" s="1"/>
  <c r="W112" i="44" s="1"/>
  <c r="O112" i="44"/>
  <c r="Q112" i="44" s="1"/>
  <c r="R112" i="44" s="1"/>
  <c r="N112" i="44"/>
  <c r="E112" i="44"/>
  <c r="AK110" i="44"/>
  <c r="AL110" i="44" s="1"/>
  <c r="AN110" i="44" s="1"/>
  <c r="AJ110" i="44"/>
  <c r="Z110" i="44"/>
  <c r="AB110" i="44" s="1"/>
  <c r="U110" i="44"/>
  <c r="W110" i="44" s="1"/>
  <c r="Q110" i="44"/>
  <c r="R110" i="44" s="1"/>
  <c r="F110" i="44"/>
  <c r="AK109" i="44"/>
  <c r="AJ109" i="44"/>
  <c r="Z109" i="44"/>
  <c r="AB109" i="44" s="1"/>
  <c r="U109" i="44"/>
  <c r="W109" i="44" s="1"/>
  <c r="O109" i="44"/>
  <c r="Q109" i="44" s="1"/>
  <c r="H109" i="44"/>
  <c r="H108" i="44" s="1"/>
  <c r="F109" i="44"/>
  <c r="AH108" i="44"/>
  <c r="AH105" i="44" s="1"/>
  <c r="AG108" i="44"/>
  <c r="AG105" i="44" s="1"/>
  <c r="AF108" i="44"/>
  <c r="AF105" i="44" s="1"/>
  <c r="AE108" i="44"/>
  <c r="AE105" i="44" s="1"/>
  <c r="AD108" i="44"/>
  <c r="AD105" i="44" s="1"/>
  <c r="Y108" i="44"/>
  <c r="Y105" i="44" s="1"/>
  <c r="T108" i="44"/>
  <c r="U108" i="44" s="1"/>
  <c r="W108" i="44" s="1"/>
  <c r="N108" i="44"/>
  <c r="N105" i="44" s="1"/>
  <c r="G108" i="44"/>
  <c r="E108" i="44"/>
  <c r="AK107" i="44"/>
  <c r="AJ107" i="44"/>
  <c r="Z107" i="44"/>
  <c r="AB107" i="44" s="1"/>
  <c r="U107" i="44"/>
  <c r="W107" i="44" s="1"/>
  <c r="Q107" i="44"/>
  <c r="X107" i="44" s="1"/>
  <c r="H107" i="44"/>
  <c r="F107" i="44"/>
  <c r="AK106" i="44"/>
  <c r="AI106" i="44" s="1"/>
  <c r="AJ106" i="44"/>
  <c r="Z106" i="44"/>
  <c r="AB106" i="44" s="1"/>
  <c r="U106" i="44"/>
  <c r="W106" i="44" s="1"/>
  <c r="O106" i="44"/>
  <c r="Q106" i="44" s="1"/>
  <c r="H106" i="44"/>
  <c r="F106" i="44"/>
  <c r="J105" i="44"/>
  <c r="E105" i="44"/>
  <c r="AK102" i="44"/>
  <c r="AJ102" i="44"/>
  <c r="Z102" i="44"/>
  <c r="AB102" i="44" s="1"/>
  <c r="U102" i="44"/>
  <c r="W102" i="44" s="1"/>
  <c r="Q102" i="44"/>
  <c r="R102" i="44" s="1"/>
  <c r="AH101" i="44"/>
  <c r="AG101" i="44"/>
  <c r="AG100" i="44" s="1"/>
  <c r="AF101" i="44"/>
  <c r="AF100" i="44" s="1"/>
  <c r="AE101" i="44"/>
  <c r="AD101" i="44"/>
  <c r="AD100" i="44" s="1"/>
  <c r="Y101" i="44"/>
  <c r="T101" i="44"/>
  <c r="T100" i="44" s="1"/>
  <c r="O101" i="44"/>
  <c r="O100" i="44" s="1"/>
  <c r="N101" i="44"/>
  <c r="J101" i="44"/>
  <c r="H101" i="44"/>
  <c r="H100" i="44" s="1"/>
  <c r="F101" i="44"/>
  <c r="F100" i="44" s="1"/>
  <c r="AH100" i="44"/>
  <c r="N100" i="44"/>
  <c r="AK99" i="44"/>
  <c r="AI99" i="44" s="1"/>
  <c r="AJ99" i="44"/>
  <c r="J99" i="44"/>
  <c r="AK98" i="44"/>
  <c r="AI98" i="44" s="1"/>
  <c r="AJ98" i="44"/>
  <c r="J98" i="44"/>
  <c r="AH97" i="44"/>
  <c r="AG97" i="44"/>
  <c r="AF97" i="44"/>
  <c r="AE97" i="44"/>
  <c r="AD97" i="44"/>
  <c r="Y97" i="44"/>
  <c r="T97" i="44"/>
  <c r="O97" i="44"/>
  <c r="N97" i="44"/>
  <c r="H97" i="44"/>
  <c r="F97" i="44"/>
  <c r="AK96" i="44"/>
  <c r="AJ96" i="44"/>
  <c r="H96" i="44"/>
  <c r="J96" i="44" s="1"/>
  <c r="AK95" i="44"/>
  <c r="AJ95" i="44"/>
  <c r="H95" i="44"/>
  <c r="AK94" i="44"/>
  <c r="AJ94" i="44"/>
  <c r="J94" i="44"/>
  <c r="Z94" i="44" s="1"/>
  <c r="AB94" i="44" s="1"/>
  <c r="AH93" i="44"/>
  <c r="AG93" i="44"/>
  <c r="AG91" i="44" s="1"/>
  <c r="AF93" i="44"/>
  <c r="AF91" i="44" s="1"/>
  <c r="AE93" i="44"/>
  <c r="AE91" i="44" s="1"/>
  <c r="AD93" i="44"/>
  <c r="Y93" i="44"/>
  <c r="T93" i="44"/>
  <c r="O93" i="44"/>
  <c r="O91" i="44" s="1"/>
  <c r="N93" i="44"/>
  <c r="N91" i="44" s="1"/>
  <c r="F93" i="44"/>
  <c r="F91" i="44" s="1"/>
  <c r="AD92" i="44"/>
  <c r="J92" i="44"/>
  <c r="Z92" i="44" s="1"/>
  <c r="AB92" i="44" s="1"/>
  <c r="AH91" i="44"/>
  <c r="T91" i="44"/>
  <c r="AK90" i="44"/>
  <c r="AJ90" i="44"/>
  <c r="J90" i="44"/>
  <c r="U90" i="44" s="1"/>
  <c r="W90" i="44" s="1"/>
  <c r="AK89" i="44"/>
  <c r="AJ89" i="44"/>
  <c r="J89" i="44"/>
  <c r="Z89" i="44" s="1"/>
  <c r="AB89" i="44" s="1"/>
  <c r="AH88" i="44"/>
  <c r="AG88" i="44"/>
  <c r="AF88" i="44"/>
  <c r="AE88" i="44"/>
  <c r="AD88" i="44"/>
  <c r="Y88" i="44"/>
  <c r="T88" i="44"/>
  <c r="O88" i="44"/>
  <c r="N88" i="44"/>
  <c r="H88" i="44"/>
  <c r="F88" i="44"/>
  <c r="AK87" i="44"/>
  <c r="AI87" i="44" s="1"/>
  <c r="AJ87" i="44"/>
  <c r="J87" i="44"/>
  <c r="Z87" i="44" s="1"/>
  <c r="AB87" i="44" s="1"/>
  <c r="AN86" i="44"/>
  <c r="AK86" i="44"/>
  <c r="AI86" i="44" s="1"/>
  <c r="AJ86" i="44"/>
  <c r="AB86" i="44"/>
  <c r="W86" i="44"/>
  <c r="Q86" i="44"/>
  <c r="AK85" i="44"/>
  <c r="AK84" i="44" s="1"/>
  <c r="AJ85" i="44"/>
  <c r="Y85" i="44"/>
  <c r="U85" i="44"/>
  <c r="W85" i="44" s="1"/>
  <c r="Q85" i="44"/>
  <c r="AH84" i="44"/>
  <c r="AG84" i="44"/>
  <c r="AF84" i="44"/>
  <c r="AE84" i="44"/>
  <c r="AD84" i="44"/>
  <c r="T84" i="44"/>
  <c r="T83" i="44" s="1"/>
  <c r="O84" i="44"/>
  <c r="O83" i="44" s="1"/>
  <c r="N84" i="44"/>
  <c r="J84" i="44"/>
  <c r="H84" i="44"/>
  <c r="H83" i="44" s="1"/>
  <c r="F84" i="44"/>
  <c r="F83" i="44" s="1"/>
  <c r="AK81" i="44"/>
  <c r="AI81" i="44" s="1"/>
  <c r="AJ81" i="44"/>
  <c r="Z81" i="44"/>
  <c r="AB81" i="44" s="1"/>
  <c r="U81" i="44"/>
  <c r="W81" i="44" s="1"/>
  <c r="Q81" i="44"/>
  <c r="AK80" i="44"/>
  <c r="AL80" i="44" s="1"/>
  <c r="AN80" i="44" s="1"/>
  <c r="AJ80" i="44"/>
  <c r="Z80" i="44"/>
  <c r="AB80" i="44" s="1"/>
  <c r="U80" i="44"/>
  <c r="W80" i="44" s="1"/>
  <c r="Q80" i="44"/>
  <c r="X80" i="44" s="1"/>
  <c r="AK79" i="44"/>
  <c r="AJ79" i="44"/>
  <c r="Z79" i="44"/>
  <c r="AB79" i="44" s="1"/>
  <c r="U79" i="44"/>
  <c r="W79" i="44" s="1"/>
  <c r="Q79" i="44"/>
  <c r="R79" i="44" s="1"/>
  <c r="AH78" i="44"/>
  <c r="AG78" i="44"/>
  <c r="AF78" i="44"/>
  <c r="AE78" i="44"/>
  <c r="AD78" i="44"/>
  <c r="Y78" i="44"/>
  <c r="T78" i="44"/>
  <c r="O78" i="44"/>
  <c r="N78" i="44"/>
  <c r="J78" i="44"/>
  <c r="H78" i="44"/>
  <c r="F78" i="44"/>
  <c r="AK77" i="44"/>
  <c r="AJ77" i="44"/>
  <c r="Z77" i="44"/>
  <c r="AB77" i="44" s="1"/>
  <c r="U77" i="44"/>
  <c r="W77" i="44" s="1"/>
  <c r="N77" i="44"/>
  <c r="O77" i="44" s="1"/>
  <c r="Q77" i="44" s="1"/>
  <c r="AK76" i="44"/>
  <c r="AL76" i="44" s="1"/>
  <c r="AN76" i="44" s="1"/>
  <c r="AJ76" i="44"/>
  <c r="Z76" i="44"/>
  <c r="AB76" i="44" s="1"/>
  <c r="U76" i="44"/>
  <c r="W76" i="44" s="1"/>
  <c r="O76" i="44"/>
  <c r="Q76" i="44" s="1"/>
  <c r="R76" i="44" s="1"/>
  <c r="AH75" i="44"/>
  <c r="AG75" i="44"/>
  <c r="AF75" i="44"/>
  <c r="AE75" i="44"/>
  <c r="AD75" i="44"/>
  <c r="Y75" i="44"/>
  <c r="T75" i="44"/>
  <c r="J75" i="44"/>
  <c r="H75" i="44"/>
  <c r="F75" i="44"/>
  <c r="AK72" i="44"/>
  <c r="AJ72" i="44"/>
  <c r="Z72" i="44"/>
  <c r="AB72" i="44" s="1"/>
  <c r="U72" i="44"/>
  <c r="W72" i="44" s="1"/>
  <c r="O72" i="44"/>
  <c r="AN71" i="44"/>
  <c r="AK71" i="44"/>
  <c r="AI71" i="44" s="1"/>
  <c r="AJ71" i="44"/>
  <c r="AB71" i="44"/>
  <c r="W71" i="44"/>
  <c r="Q71" i="44"/>
  <c r="AN70" i="44"/>
  <c r="AK70" i="44"/>
  <c r="AI70" i="44" s="1"/>
  <c r="AJ70" i="44"/>
  <c r="AB70" i="44"/>
  <c r="W70" i="44"/>
  <c r="Q70" i="44"/>
  <c r="AH69" i="44"/>
  <c r="AG69" i="44"/>
  <c r="AF69" i="44"/>
  <c r="AE69" i="44"/>
  <c r="AD69" i="44"/>
  <c r="Y69" i="44"/>
  <c r="T69" i="44"/>
  <c r="N69" i="44"/>
  <c r="J69" i="44"/>
  <c r="H69" i="44"/>
  <c r="F69" i="44"/>
  <c r="AK68" i="44"/>
  <c r="AJ68" i="44"/>
  <c r="Z68" i="44"/>
  <c r="AB68" i="44" s="1"/>
  <c r="U68" i="44"/>
  <c r="W68" i="44" s="1"/>
  <c r="Q68" i="44"/>
  <c r="X68" i="44" s="1"/>
  <c r="AN67" i="44"/>
  <c r="AK67" i="44"/>
  <c r="AI67" i="44" s="1"/>
  <c r="AJ67" i="44"/>
  <c r="AB67" i="44"/>
  <c r="W67" i="44"/>
  <c r="Q67" i="44"/>
  <c r="AK66" i="44"/>
  <c r="AI66" i="44" s="1"/>
  <c r="AJ66" i="44"/>
  <c r="Z66" i="44"/>
  <c r="AB66" i="44" s="1"/>
  <c r="U66" i="44"/>
  <c r="W66" i="44" s="1"/>
  <c r="Q66" i="44"/>
  <c r="X66" i="44" s="1"/>
  <c r="AN65" i="44"/>
  <c r="AK65" i="44"/>
  <c r="AI65" i="44" s="1"/>
  <c r="AJ65" i="44"/>
  <c r="AB65" i="44"/>
  <c r="W65" i="44"/>
  <c r="Q65" i="44"/>
  <c r="AK64" i="44"/>
  <c r="AJ64" i="44"/>
  <c r="Z64" i="44"/>
  <c r="AB64" i="44" s="1"/>
  <c r="U64" i="44"/>
  <c r="W64" i="44" s="1"/>
  <c r="N64" i="44"/>
  <c r="O64" i="44" s="1"/>
  <c r="Q64" i="44" s="1"/>
  <c r="AK63" i="44"/>
  <c r="AJ63" i="44"/>
  <c r="Z63" i="44"/>
  <c r="AB63" i="44" s="1"/>
  <c r="U63" i="44"/>
  <c r="W63" i="44" s="1"/>
  <c r="Q63" i="44"/>
  <c r="AK62" i="44"/>
  <c r="AI62" i="44" s="1"/>
  <c r="AJ62" i="44"/>
  <c r="AC62" i="44"/>
  <c r="H62" i="44"/>
  <c r="J62" i="44" s="1"/>
  <c r="Q62" i="44" s="1"/>
  <c r="X62" i="44" s="1"/>
  <c r="F62" i="44"/>
  <c r="F60" i="44" s="1"/>
  <c r="AK61" i="44"/>
  <c r="AL61" i="44" s="1"/>
  <c r="AN61" i="44" s="1"/>
  <c r="AJ61" i="44"/>
  <c r="Z61" i="44"/>
  <c r="AB61" i="44" s="1"/>
  <c r="U61" i="44"/>
  <c r="W61" i="44" s="1"/>
  <c r="Q61" i="44"/>
  <c r="AH60" i="44"/>
  <c r="AG60" i="44"/>
  <c r="AF60" i="44"/>
  <c r="AE60" i="44"/>
  <c r="AE52" i="44" s="1"/>
  <c r="AD60" i="44"/>
  <c r="Y60" i="44"/>
  <c r="T60" i="44"/>
  <c r="O60" i="44"/>
  <c r="N60" i="44"/>
  <c r="H60" i="44"/>
  <c r="AK59" i="44"/>
  <c r="AJ59" i="44"/>
  <c r="F59" i="44"/>
  <c r="H59" i="44" s="1"/>
  <c r="AJ58" i="44"/>
  <c r="Z58" i="44"/>
  <c r="AB58" i="44" s="1"/>
  <c r="U58" i="44"/>
  <c r="W58" i="44" s="1"/>
  <c r="N58" i="44"/>
  <c r="O58" i="44" s="1"/>
  <c r="AK57" i="44"/>
  <c r="AL57" i="44" s="1"/>
  <c r="AN57" i="44" s="1"/>
  <c r="AJ57" i="44"/>
  <c r="Z57" i="44"/>
  <c r="AB57" i="44" s="1"/>
  <c r="U57" i="44"/>
  <c r="W57" i="44" s="1"/>
  <c r="Q57" i="44"/>
  <c r="AK56" i="44"/>
  <c r="AI56" i="44" s="1"/>
  <c r="AJ56" i="44"/>
  <c r="F56" i="44"/>
  <c r="AK55" i="44"/>
  <c r="AI55" i="44" s="1"/>
  <c r="AJ55" i="44"/>
  <c r="H55" i="44"/>
  <c r="J55" i="44" s="1"/>
  <c r="F55" i="44"/>
  <c r="AK54" i="44"/>
  <c r="AJ54" i="44"/>
  <c r="N54" i="44"/>
  <c r="N53" i="44" s="1"/>
  <c r="N52" i="44" s="1"/>
  <c r="F54" i="44"/>
  <c r="H54" i="44" s="1"/>
  <c r="AH53" i="44"/>
  <c r="AH52" i="44" s="1"/>
  <c r="AG53" i="44"/>
  <c r="AF53" i="44"/>
  <c r="AE53" i="44"/>
  <c r="AD53" i="44"/>
  <c r="AD52" i="44" s="1"/>
  <c r="Y53" i="44"/>
  <c r="T53" i="44"/>
  <c r="I52" i="44"/>
  <c r="I51" i="44"/>
  <c r="I12" i="44" s="1"/>
  <c r="AK50" i="44"/>
  <c r="AI50" i="44" s="1"/>
  <c r="AJ50" i="44"/>
  <c r="J50" i="44"/>
  <c r="H50" i="44"/>
  <c r="H48" i="44" s="1"/>
  <c r="AK49" i="44"/>
  <c r="AJ49" i="44"/>
  <c r="Z49" i="44"/>
  <c r="AB49" i="44" s="1"/>
  <c r="U49" i="44"/>
  <c r="W49" i="44" s="1"/>
  <c r="Q49" i="44"/>
  <c r="AH48" i="44"/>
  <c r="AG48" i="44"/>
  <c r="AF48" i="44"/>
  <c r="AE48" i="44"/>
  <c r="AD48" i="44"/>
  <c r="Y48" i="44"/>
  <c r="T48" i="44"/>
  <c r="O48" i="44"/>
  <c r="N48" i="44"/>
  <c r="F48" i="44"/>
  <c r="AK47" i="44"/>
  <c r="AJ47" i="44"/>
  <c r="Z47" i="44"/>
  <c r="AB47" i="44" s="1"/>
  <c r="U47" i="44"/>
  <c r="W47" i="44" s="1"/>
  <c r="Q47" i="44"/>
  <c r="R47" i="44" s="1"/>
  <c r="AN46" i="44"/>
  <c r="AK46" i="44"/>
  <c r="AI46" i="44" s="1"/>
  <c r="AJ46" i="44"/>
  <c r="AB46" i="44"/>
  <c r="W46" i="44"/>
  <c r="Q46" i="44"/>
  <c r="AC46" i="44" s="1"/>
  <c r="AG45" i="44"/>
  <c r="AF45" i="44"/>
  <c r="AE45" i="44"/>
  <c r="AD45" i="44"/>
  <c r="Y45" i="44"/>
  <c r="T45" i="44"/>
  <c r="O45" i="44"/>
  <c r="N45" i="44"/>
  <c r="J45" i="44"/>
  <c r="H45" i="44"/>
  <c r="F45" i="44"/>
  <c r="AN44" i="44"/>
  <c r="AK44" i="44"/>
  <c r="AJ44" i="44"/>
  <c r="AB44" i="44"/>
  <c r="W44" i="44"/>
  <c r="Q44" i="44"/>
  <c r="X44" i="44" s="1"/>
  <c r="AN43" i="44"/>
  <c r="AK43" i="44"/>
  <c r="AJ43" i="44"/>
  <c r="AB43" i="44"/>
  <c r="W43" i="44"/>
  <c r="Q43" i="44"/>
  <c r="N43" i="44"/>
  <c r="N42" i="44" s="1"/>
  <c r="AN42" i="44"/>
  <c r="AH42" i="44"/>
  <c r="AG42" i="44"/>
  <c r="AF42" i="44"/>
  <c r="AE42" i="44"/>
  <c r="AD42" i="44"/>
  <c r="AB42" i="44"/>
  <c r="Y42" i="44"/>
  <c r="W42" i="44"/>
  <c r="T42" i="44"/>
  <c r="O42" i="44"/>
  <c r="Q42" i="44" s="1"/>
  <c r="AK41" i="44"/>
  <c r="AJ41" i="44"/>
  <c r="Z41" i="44"/>
  <c r="AB41" i="44" s="1"/>
  <c r="U41" i="44"/>
  <c r="W41" i="44" s="1"/>
  <c r="Q41" i="44"/>
  <c r="X41" i="44" s="1"/>
  <c r="AN40" i="44"/>
  <c r="AK40" i="44"/>
  <c r="AI40" i="44" s="1"/>
  <c r="AJ40" i="44"/>
  <c r="AB40" i="44"/>
  <c r="W40" i="44"/>
  <c r="Q40" i="44"/>
  <c r="AK39" i="44"/>
  <c r="AJ39" i="44"/>
  <c r="Z39" i="44"/>
  <c r="AB39" i="44" s="1"/>
  <c r="U39" i="44"/>
  <c r="W39" i="44" s="1"/>
  <c r="N39" i="44"/>
  <c r="AN38" i="44"/>
  <c r="AK38" i="44"/>
  <c r="AI38" i="44" s="1"/>
  <c r="AJ38" i="44"/>
  <c r="AB38" i="44"/>
  <c r="W38" i="44"/>
  <c r="Q38" i="44"/>
  <c r="AH37" i="44"/>
  <c r="AG37" i="44"/>
  <c r="AF37" i="44"/>
  <c r="AE37" i="44"/>
  <c r="AD37" i="44"/>
  <c r="Y37" i="44"/>
  <c r="Z37" i="44" s="1"/>
  <c r="AB37" i="44" s="1"/>
  <c r="T37" i="44"/>
  <c r="J37" i="44"/>
  <c r="H37" i="44"/>
  <c r="F37" i="44"/>
  <c r="AK35" i="44"/>
  <c r="AI35" i="44" s="1"/>
  <c r="AJ35" i="44"/>
  <c r="J35" i="44"/>
  <c r="Q35" i="44" s="1"/>
  <c r="H35" i="44"/>
  <c r="AK34" i="44"/>
  <c r="AJ34" i="44"/>
  <c r="J34" i="44"/>
  <c r="H34" i="44"/>
  <c r="AK33" i="44"/>
  <c r="AI33" i="44" s="1"/>
  <c r="AJ33" i="44"/>
  <c r="J33" i="44"/>
  <c r="Q33" i="44" s="1"/>
  <c r="X33" i="44" s="1"/>
  <c r="H33" i="44"/>
  <c r="AH32" i="44"/>
  <c r="AG32" i="44"/>
  <c r="AF32" i="44"/>
  <c r="AE32" i="44"/>
  <c r="AD32" i="44"/>
  <c r="Y32" i="44"/>
  <c r="T32" i="44"/>
  <c r="O32" i="44"/>
  <c r="N32" i="44"/>
  <c r="F32" i="44"/>
  <c r="J32" i="44" s="1"/>
  <c r="AK31" i="44"/>
  <c r="AI31" i="44" s="1"/>
  <c r="AJ31" i="44"/>
  <c r="N31" i="44"/>
  <c r="O31" i="44" s="1"/>
  <c r="J31" i="44"/>
  <c r="H31" i="44"/>
  <c r="AK30" i="44"/>
  <c r="AJ30" i="44"/>
  <c r="O30" i="44"/>
  <c r="J30" i="44"/>
  <c r="H30" i="44"/>
  <c r="AK29" i="44"/>
  <c r="AJ29" i="44"/>
  <c r="J29" i="44"/>
  <c r="Z29" i="44" s="1"/>
  <c r="AB29" i="44" s="1"/>
  <c r="H29" i="44"/>
  <c r="AK28" i="44"/>
  <c r="AI28" i="44" s="1"/>
  <c r="AJ28" i="44"/>
  <c r="J28" i="44"/>
  <c r="H28" i="44"/>
  <c r="AH27" i="44"/>
  <c r="AG27" i="44"/>
  <c r="AF27" i="44"/>
  <c r="AE27" i="44"/>
  <c r="AD27" i="44"/>
  <c r="Y27" i="44"/>
  <c r="T27" i="44"/>
  <c r="F27" i="44"/>
  <c r="AN24" i="44"/>
  <c r="AK24" i="44"/>
  <c r="AI24" i="44" s="1"/>
  <c r="AJ24" i="44"/>
  <c r="AB24" i="44"/>
  <c r="W24" i="44"/>
  <c r="Q24" i="44"/>
  <c r="AK23" i="44"/>
  <c r="AL23" i="44" s="1"/>
  <c r="AN23" i="44" s="1"/>
  <c r="AJ23" i="44"/>
  <c r="Z23" i="44"/>
  <c r="AB23" i="44" s="1"/>
  <c r="U23" i="44"/>
  <c r="W23" i="44" s="1"/>
  <c r="Q23" i="44"/>
  <c r="AD22" i="44"/>
  <c r="Y22" i="44"/>
  <c r="T22" i="44"/>
  <c r="N22" i="44"/>
  <c r="J22" i="44"/>
  <c r="Q22" i="44" s="1"/>
  <c r="H22" i="44"/>
  <c r="F22" i="44"/>
  <c r="AK21" i="44"/>
  <c r="AI21" i="44" s="1"/>
  <c r="AJ21" i="44"/>
  <c r="Z21" i="44"/>
  <c r="AB21" i="44" s="1"/>
  <c r="U21" i="44"/>
  <c r="W21" i="44" s="1"/>
  <c r="Q21" i="44"/>
  <c r="AK20" i="44"/>
  <c r="AJ20" i="44"/>
  <c r="J20" i="44"/>
  <c r="Q20" i="44" s="1"/>
  <c r="H20" i="44"/>
  <c r="H19" i="44" s="1"/>
  <c r="AH19" i="44"/>
  <c r="AH18" i="44" s="1"/>
  <c r="AG19" i="44"/>
  <c r="AG18" i="44" s="1"/>
  <c r="AF19" i="44"/>
  <c r="AF18" i="44" s="1"/>
  <c r="AE19" i="44"/>
  <c r="AE18" i="44" s="1"/>
  <c r="AD19" i="44"/>
  <c r="Y19" i="44"/>
  <c r="Y18" i="44" s="1"/>
  <c r="T19" i="44"/>
  <c r="N19" i="44"/>
  <c r="J19" i="44"/>
  <c r="F19" i="44"/>
  <c r="O18" i="44"/>
  <c r="AN17" i="44"/>
  <c r="AK17" i="44"/>
  <c r="AI17" i="44" s="1"/>
  <c r="AJ17" i="44"/>
  <c r="AB17" i="44"/>
  <c r="Q17" i="44"/>
  <c r="AK16" i="44"/>
  <c r="AI16" i="44" s="1"/>
  <c r="AJ16" i="44"/>
  <c r="N16" i="44"/>
  <c r="N14" i="44" s="1"/>
  <c r="H16" i="44"/>
  <c r="H14" i="44" s="1"/>
  <c r="AN15" i="44"/>
  <c r="AK15" i="44"/>
  <c r="AI15" i="44" s="1"/>
  <c r="AJ15" i="44"/>
  <c r="AB15" i="44"/>
  <c r="W15" i="44"/>
  <c r="Q15" i="44"/>
  <c r="AH14" i="44"/>
  <c r="AG14" i="44"/>
  <c r="AF14" i="44"/>
  <c r="AE14" i="44"/>
  <c r="AD14" i="44"/>
  <c r="Y14" i="44"/>
  <c r="T14" i="44"/>
  <c r="O14" i="44"/>
  <c r="F14" i="44"/>
  <c r="AT10" i="44"/>
  <c r="AP10" i="44"/>
  <c r="AT9" i="44"/>
  <c r="AP9" i="44"/>
  <c r="AT7" i="44"/>
  <c r="AP7" i="44"/>
  <c r="AT6" i="44"/>
  <c r="AP6" i="44"/>
  <c r="AT5" i="44"/>
  <c r="AP5" i="44"/>
  <c r="AJ153" i="44" l="1"/>
  <c r="AH74" i="44"/>
  <c r="AH73" i="44" s="1"/>
  <c r="AI110" i="44"/>
  <c r="AH111" i="44"/>
  <c r="AD184" i="44"/>
  <c r="H198" i="44"/>
  <c r="AD232" i="44"/>
  <c r="AH232" i="44"/>
  <c r="AK258" i="44"/>
  <c r="AK257" i="44" s="1"/>
  <c r="AP3" i="44"/>
  <c r="AG13" i="44"/>
  <c r="H18" i="44"/>
  <c r="Y74" i="44"/>
  <c r="Y73" i="44" s="1"/>
  <c r="AG74" i="44"/>
  <c r="AG73" i="44" s="1"/>
  <c r="U92" i="44"/>
  <c r="W92" i="44" s="1"/>
  <c r="T105" i="44"/>
  <c r="F127" i="44"/>
  <c r="AO132" i="44"/>
  <c r="F180" i="44"/>
  <c r="AG183" i="44"/>
  <c r="AH13" i="44"/>
  <c r="X22" i="44"/>
  <c r="AI23" i="44"/>
  <c r="AC42" i="44"/>
  <c r="J88" i="44"/>
  <c r="AG134" i="44"/>
  <c r="N192" i="44"/>
  <c r="N183" i="44" s="1"/>
  <c r="AE201" i="44"/>
  <c r="AF211" i="44"/>
  <c r="Z245" i="44"/>
  <c r="AB245" i="44" s="1"/>
  <c r="AF74" i="44"/>
  <c r="AF73" i="44" s="1"/>
  <c r="AO113" i="44"/>
  <c r="AC113" i="44"/>
  <c r="AL113" i="44"/>
  <c r="AN113" i="44" s="1"/>
  <c r="J111" i="44"/>
  <c r="Q111" i="44" s="1"/>
  <c r="R111" i="44" s="1"/>
  <c r="AI123" i="44"/>
  <c r="U169" i="44"/>
  <c r="W169" i="44" s="1"/>
  <c r="AE211" i="44"/>
  <c r="Q221" i="44"/>
  <c r="AC221" i="44" s="1"/>
  <c r="H229" i="44"/>
  <c r="AK229" i="44"/>
  <c r="H235" i="44"/>
  <c r="F242" i="44"/>
  <c r="F241" i="44" s="1"/>
  <c r="F232" i="44" s="1"/>
  <c r="AK112" i="44"/>
  <c r="AL112" i="44" s="1"/>
  <c r="AN112" i="44" s="1"/>
  <c r="Z177" i="44"/>
  <c r="AB177" i="44" s="1"/>
  <c r="AC223" i="44"/>
  <c r="H249" i="44"/>
  <c r="H248" i="44" s="1"/>
  <c r="U116" i="44"/>
  <c r="W116" i="44" s="1"/>
  <c r="J16" i="44"/>
  <c r="Q16" i="44" s="1"/>
  <c r="J59" i="44"/>
  <c r="Z59" i="44" s="1"/>
  <c r="AB59" i="44" s="1"/>
  <c r="H74" i="44"/>
  <c r="H73" i="44" s="1"/>
  <c r="AI76" i="44"/>
  <c r="U89" i="44"/>
  <c r="W89" i="44" s="1"/>
  <c r="AI112" i="44"/>
  <c r="AL114" i="44"/>
  <c r="AN114" i="44" s="1"/>
  <c r="E111" i="44"/>
  <c r="AI118" i="44"/>
  <c r="AI131" i="44"/>
  <c r="H140" i="44"/>
  <c r="N175" i="44"/>
  <c r="AH175" i="44"/>
  <c r="H242" i="44"/>
  <c r="H241" i="44" s="1"/>
  <c r="G241" i="44" s="1"/>
  <c r="Q245" i="44"/>
  <c r="AO245" i="44" s="1"/>
  <c r="AG26" i="44"/>
  <c r="AC33" i="44"/>
  <c r="AD83" i="44"/>
  <c r="AD82" i="44" s="1"/>
  <c r="AH83" i="44"/>
  <c r="AH82" i="44" s="1"/>
  <c r="Q94" i="44"/>
  <c r="AO106" i="44"/>
  <c r="R107" i="44"/>
  <c r="N104" i="44"/>
  <c r="N103" i="44" s="1"/>
  <c r="N10" i="44" s="1"/>
  <c r="T125" i="44"/>
  <c r="N134" i="44"/>
  <c r="F142" i="44"/>
  <c r="F140" i="44" s="1"/>
  <c r="F134" i="44" s="1"/>
  <c r="AI157" i="44"/>
  <c r="Q173" i="44"/>
  <c r="R173" i="44" s="1"/>
  <c r="U178" i="44"/>
  <c r="W178" i="44" s="1"/>
  <c r="Q214" i="44"/>
  <c r="AC214" i="44" s="1"/>
  <c r="F216" i="44"/>
  <c r="F212" i="44" s="1"/>
  <c r="Q237" i="44"/>
  <c r="Y248" i="44"/>
  <c r="AG248" i="44"/>
  <c r="AC107" i="44"/>
  <c r="H116" i="44"/>
  <c r="N27" i="44"/>
  <c r="N26" i="44" s="1"/>
  <c r="X42" i="44"/>
  <c r="U78" i="44"/>
  <c r="W78" i="44" s="1"/>
  <c r="X102" i="44"/>
  <c r="AO107" i="44"/>
  <c r="N111" i="44"/>
  <c r="AL119" i="44"/>
  <c r="AN119" i="44" s="1"/>
  <c r="F131" i="44"/>
  <c r="AL139" i="44"/>
  <c r="AN139" i="44" s="1"/>
  <c r="AC148" i="44"/>
  <c r="J229" i="44"/>
  <c r="Q229" i="44" s="1"/>
  <c r="R229" i="44" s="1"/>
  <c r="Z237" i="44"/>
  <c r="AB237" i="44" s="1"/>
  <c r="AL245" i="44"/>
  <c r="AN245" i="44" s="1"/>
  <c r="U251" i="44"/>
  <c r="W251" i="44" s="1"/>
  <c r="AK255" i="44"/>
  <c r="AK254" i="44" s="1"/>
  <c r="C30" i="39"/>
  <c r="AC41" i="44"/>
  <c r="X43" i="44"/>
  <c r="AC43" i="44"/>
  <c r="U203" i="44"/>
  <c r="W203" i="44" s="1"/>
  <c r="Z203" i="44"/>
  <c r="AB203" i="44" s="1"/>
  <c r="AC237" i="44"/>
  <c r="R237" i="44"/>
  <c r="AQ256" i="44"/>
  <c r="AS256" i="44" s="1"/>
  <c r="J255" i="44"/>
  <c r="Z255" i="44" s="1"/>
  <c r="AB255" i="44" s="1"/>
  <c r="J18" i="44"/>
  <c r="Q18" i="44" s="1"/>
  <c r="R18" i="44" s="1"/>
  <c r="AO23" i="44"/>
  <c r="AC23" i="44"/>
  <c r="AF36" i="44"/>
  <c r="N83" i="44"/>
  <c r="N82" i="44" s="1"/>
  <c r="Z101" i="44"/>
  <c r="AB101" i="44" s="1"/>
  <c r="F108" i="44"/>
  <c r="F105" i="44" s="1"/>
  <c r="R118" i="44"/>
  <c r="AC118" i="44"/>
  <c r="AH125" i="44"/>
  <c r="AH124" i="44" s="1"/>
  <c r="AI124" i="44" s="1"/>
  <c r="AI127" i="44"/>
  <c r="AH152" i="44"/>
  <c r="Z171" i="44"/>
  <c r="AB171" i="44" s="1"/>
  <c r="AC170" i="44" s="1"/>
  <c r="Q171" i="44"/>
  <c r="X171" i="44" s="1"/>
  <c r="Z215" i="44"/>
  <c r="AB215" i="44" s="1"/>
  <c r="Q215" i="44"/>
  <c r="AO215" i="44" s="1"/>
  <c r="Q227" i="44"/>
  <c r="X227" i="44" s="1"/>
  <c r="U227" i="44"/>
  <c r="W227" i="44" s="1"/>
  <c r="U230" i="44"/>
  <c r="W230" i="44" s="1"/>
  <c r="Z230" i="44"/>
  <c r="AB230" i="44" s="1"/>
  <c r="J258" i="44"/>
  <c r="J257" i="44" s="1"/>
  <c r="U259" i="44"/>
  <c r="W259" i="44" s="1"/>
  <c r="H13" i="44"/>
  <c r="U20" i="44"/>
  <c r="W20" i="44" s="1"/>
  <c r="R23" i="44"/>
  <c r="Q32" i="44"/>
  <c r="X32" i="44" s="1"/>
  <c r="H36" i="44"/>
  <c r="AI41" i="44"/>
  <c r="AO41" i="44"/>
  <c r="AG52" i="44"/>
  <c r="AG51" i="44" s="1"/>
  <c r="AI57" i="44"/>
  <c r="Q59" i="44"/>
  <c r="X59" i="44" s="1"/>
  <c r="AI61" i="44"/>
  <c r="O69" i="44"/>
  <c r="Q72" i="44"/>
  <c r="X72" i="44" s="1"/>
  <c r="H111" i="44"/>
  <c r="G111" i="44" s="1"/>
  <c r="Z116" i="44"/>
  <c r="AB116" i="44" s="1"/>
  <c r="AI117" i="44"/>
  <c r="AL117" i="44"/>
  <c r="AN117" i="44" s="1"/>
  <c r="Q127" i="44"/>
  <c r="Q154" i="44"/>
  <c r="R154" i="44" s="1"/>
  <c r="U154" i="44"/>
  <c r="W154" i="44" s="1"/>
  <c r="U171" i="44"/>
  <c r="W171" i="44" s="1"/>
  <c r="O192" i="44"/>
  <c r="H193" i="44"/>
  <c r="H192" i="44" s="1"/>
  <c r="F202" i="44"/>
  <c r="F201" i="44" s="1"/>
  <c r="Q203" i="44"/>
  <c r="R203" i="44" s="1"/>
  <c r="AI214" i="44"/>
  <c r="AL214" i="44"/>
  <c r="AN214" i="44" s="1"/>
  <c r="Y211" i="44"/>
  <c r="Z217" i="44"/>
  <c r="AB217" i="44" s="1"/>
  <c r="U217" i="44"/>
  <c r="W217" i="44" s="1"/>
  <c r="AL250" i="44"/>
  <c r="AN250" i="44" s="1"/>
  <c r="Q69" i="44"/>
  <c r="R69" i="44" s="1"/>
  <c r="AI207" i="44"/>
  <c r="AL207" i="44"/>
  <c r="AN207" i="44" s="1"/>
  <c r="Y13" i="44"/>
  <c r="U19" i="44"/>
  <c r="W19" i="44" s="1"/>
  <c r="AI68" i="44"/>
  <c r="AL68" i="44"/>
  <c r="AN68" i="44" s="1"/>
  <c r="AJ84" i="44"/>
  <c r="AE83" i="44"/>
  <c r="Q101" i="44"/>
  <c r="X101" i="44" s="1"/>
  <c r="J100" i="44"/>
  <c r="U100" i="44" s="1"/>
  <c r="W100" i="44" s="1"/>
  <c r="E104" i="44"/>
  <c r="AI107" i="44"/>
  <c r="AL107" i="44"/>
  <c r="AN107" i="44" s="1"/>
  <c r="O13" i="44"/>
  <c r="AK14" i="44"/>
  <c r="AI14" i="44" s="1"/>
  <c r="Q19" i="44"/>
  <c r="AC19" i="44" s="1"/>
  <c r="Z78" i="44"/>
  <c r="AB78" i="44" s="1"/>
  <c r="X79" i="44"/>
  <c r="J95" i="44"/>
  <c r="U95" i="44" s="1"/>
  <c r="W95" i="44" s="1"/>
  <c r="H93" i="44"/>
  <c r="H91" i="44" s="1"/>
  <c r="X106" i="44"/>
  <c r="AC106" i="44"/>
  <c r="AI109" i="44"/>
  <c r="AO109" i="44"/>
  <c r="F116" i="44"/>
  <c r="H166" i="44"/>
  <c r="H165" i="44" s="1"/>
  <c r="AG175" i="44"/>
  <c r="Z179" i="44"/>
  <c r="AB179" i="44" s="1"/>
  <c r="U179" i="44"/>
  <c r="W179" i="44" s="1"/>
  <c r="Z186" i="44"/>
  <c r="AB186" i="44" s="1"/>
  <c r="Q191" i="44"/>
  <c r="R191" i="44" s="1"/>
  <c r="U191" i="44"/>
  <c r="W191" i="44" s="1"/>
  <c r="U206" i="44"/>
  <c r="W206" i="44" s="1"/>
  <c r="Q206" i="44"/>
  <c r="AO206" i="44" s="1"/>
  <c r="Z206" i="44"/>
  <c r="AB206" i="44" s="1"/>
  <c r="AL206" i="44"/>
  <c r="AN206" i="44" s="1"/>
  <c r="F225" i="44"/>
  <c r="Q230" i="44"/>
  <c r="R230" i="44" s="1"/>
  <c r="AE26" i="44"/>
  <c r="H27" i="44"/>
  <c r="AH36" i="44"/>
  <c r="AD51" i="44"/>
  <c r="AH51" i="44"/>
  <c r="AF83" i="44"/>
  <c r="F112" i="44"/>
  <c r="F111" i="44" s="1"/>
  <c r="E125" i="44"/>
  <c r="E124" i="44" s="1"/>
  <c r="U136" i="44"/>
  <c r="W136" i="44" s="1"/>
  <c r="E134" i="44"/>
  <c r="H153" i="44"/>
  <c r="F156" i="44"/>
  <c r="F162" i="44"/>
  <c r="O165" i="44"/>
  <c r="O152" i="44" s="1"/>
  <c r="Z178" i="44"/>
  <c r="AB178" i="44" s="1"/>
  <c r="AF183" i="44"/>
  <c r="H187" i="44"/>
  <c r="AL197" i="44"/>
  <c r="AN197" i="44" s="1"/>
  <c r="T201" i="44"/>
  <c r="AF201" i="44"/>
  <c r="AF151" i="44" s="1"/>
  <c r="AF7" i="44" s="1"/>
  <c r="H216" i="44"/>
  <c r="J216" i="44"/>
  <c r="Q216" i="44" s="1"/>
  <c r="R216" i="44" s="1"/>
  <c r="AE232" i="44"/>
  <c r="AE151" i="44" s="1"/>
  <c r="AE7" i="44" s="1"/>
  <c r="AL237" i="44"/>
  <c r="AN237" i="44" s="1"/>
  <c r="AJ241" i="44"/>
  <c r="AK249" i="44"/>
  <c r="AI249" i="44" s="1"/>
  <c r="O248" i="44"/>
  <c r="AF26" i="44"/>
  <c r="AF25" i="44" s="1"/>
  <c r="Q45" i="44"/>
  <c r="R45" i="44" s="1"/>
  <c r="AO57" i="44"/>
  <c r="AJ60" i="44"/>
  <c r="Q88" i="44"/>
  <c r="AC88" i="44" s="1"/>
  <c r="U94" i="44"/>
  <c r="W94" i="44" s="1"/>
  <c r="T111" i="44"/>
  <c r="AO114" i="44"/>
  <c r="H156" i="44"/>
  <c r="AL179" i="44"/>
  <c r="AN179" i="44" s="1"/>
  <c r="Q186" i="44"/>
  <c r="AO186" i="44" s="1"/>
  <c r="F198" i="44"/>
  <c r="F192" i="44" s="1"/>
  <c r="AJ225" i="44"/>
  <c r="AI229" i="44"/>
  <c r="AG232" i="44"/>
  <c r="AG151" i="44" s="1"/>
  <c r="AG7" i="44" s="1"/>
  <c r="AJ242" i="44"/>
  <c r="AJ258" i="44"/>
  <c r="AC20" i="44"/>
  <c r="R20" i="44"/>
  <c r="X20" i="44"/>
  <c r="X64" i="44"/>
  <c r="AC64" i="44"/>
  <c r="R64" i="44"/>
  <c r="AL20" i="44"/>
  <c r="AN20" i="44" s="1"/>
  <c r="AK19" i="44"/>
  <c r="AL19" i="44" s="1"/>
  <c r="AN19" i="44" s="1"/>
  <c r="Z50" i="44"/>
  <c r="AB50" i="44" s="1"/>
  <c r="Q50" i="44"/>
  <c r="AI77" i="44"/>
  <c r="AK75" i="44"/>
  <c r="AL77" i="44"/>
  <c r="AN77" i="44" s="1"/>
  <c r="U99" i="44"/>
  <c r="W99" i="44" s="1"/>
  <c r="Z99" i="44"/>
  <c r="AB99" i="44" s="1"/>
  <c r="Q99" i="44"/>
  <c r="X99" i="44" s="1"/>
  <c r="AO102" i="44"/>
  <c r="AI102" i="44"/>
  <c r="AK101" i="44"/>
  <c r="AL101" i="44" s="1"/>
  <c r="AN101" i="44" s="1"/>
  <c r="X141" i="44"/>
  <c r="R141" i="44"/>
  <c r="AC141" i="44"/>
  <c r="AF13" i="44"/>
  <c r="Z19" i="44"/>
  <c r="AB19" i="44" s="1"/>
  <c r="Z20" i="44"/>
  <c r="AB20" i="44" s="1"/>
  <c r="AL21" i="44"/>
  <c r="AN21" i="44" s="1"/>
  <c r="Z28" i="44"/>
  <c r="AB28" i="44" s="1"/>
  <c r="U28" i="44"/>
  <c r="W28" i="44" s="1"/>
  <c r="Z30" i="44"/>
  <c r="AB30" i="44" s="1"/>
  <c r="U30" i="44"/>
  <c r="W30" i="44" s="1"/>
  <c r="Q34" i="44"/>
  <c r="R34" i="44" s="1"/>
  <c r="U34" i="44"/>
  <c r="W34" i="44" s="1"/>
  <c r="X35" i="44"/>
  <c r="AC35" i="44"/>
  <c r="AO35" i="44"/>
  <c r="U50" i="44"/>
  <c r="W50" i="44" s="1"/>
  <c r="AC68" i="44"/>
  <c r="AO68" i="44"/>
  <c r="AI85" i="44"/>
  <c r="AL85" i="44"/>
  <c r="AN85" i="44" s="1"/>
  <c r="AL87" i="44"/>
  <c r="AN87" i="44" s="1"/>
  <c r="AL90" i="44"/>
  <c r="AN90" i="44" s="1"/>
  <c r="AI90" i="44"/>
  <c r="AK92" i="44"/>
  <c r="AL92" i="44" s="1"/>
  <c r="AN92" i="44" s="1"/>
  <c r="AD91" i="44"/>
  <c r="AJ91" i="44" s="1"/>
  <c r="AJ92" i="44"/>
  <c r="AE82" i="44"/>
  <c r="AI189" i="44"/>
  <c r="AL189" i="44"/>
  <c r="AN189" i="44" s="1"/>
  <c r="AI44" i="44"/>
  <c r="AK42" i="44"/>
  <c r="AL47" i="44"/>
  <c r="AN47" i="44" s="1"/>
  <c r="AO47" i="44"/>
  <c r="AI47" i="44"/>
  <c r="AO63" i="44"/>
  <c r="AI63" i="44"/>
  <c r="AL63" i="44"/>
  <c r="AN63" i="44" s="1"/>
  <c r="AO79" i="44"/>
  <c r="AI79" i="44"/>
  <c r="AK78" i="44"/>
  <c r="AI78" i="44" s="1"/>
  <c r="AJ112" i="44"/>
  <c r="AE111" i="44"/>
  <c r="AE104" i="44" s="1"/>
  <c r="AC126" i="44"/>
  <c r="U125" i="44"/>
  <c r="W125" i="44" s="1"/>
  <c r="T124" i="44"/>
  <c r="AO20" i="44"/>
  <c r="N18" i="44"/>
  <c r="N13" i="44" s="1"/>
  <c r="AI20" i="44"/>
  <c r="Q28" i="44"/>
  <c r="R28" i="44" s="1"/>
  <c r="O27" i="44"/>
  <c r="O26" i="44" s="1"/>
  <c r="U35" i="44"/>
  <c r="W35" i="44" s="1"/>
  <c r="N37" i="44"/>
  <c r="N36" i="44" s="1"/>
  <c r="N25" i="44" s="1"/>
  <c r="O39" i="44"/>
  <c r="O37" i="44" s="1"/>
  <c r="O36" i="44" s="1"/>
  <c r="AJ42" i="44"/>
  <c r="AK45" i="44"/>
  <c r="AC47" i="44"/>
  <c r="X47" i="44"/>
  <c r="AI54" i="44"/>
  <c r="AK53" i="44"/>
  <c r="AI53" i="44" s="1"/>
  <c r="U62" i="44"/>
  <c r="W62" i="44" s="1"/>
  <c r="AO62" i="44"/>
  <c r="R68" i="44"/>
  <c r="J74" i="44"/>
  <c r="J73" i="44" s="1"/>
  <c r="AC76" i="44"/>
  <c r="AJ78" i="44"/>
  <c r="AE74" i="44"/>
  <c r="AE73" i="44" s="1"/>
  <c r="AL89" i="44"/>
  <c r="AN89" i="44" s="1"/>
  <c r="AL16" i="44"/>
  <c r="AN16" i="44" s="1"/>
  <c r="AI29" i="44"/>
  <c r="AL29" i="44"/>
  <c r="AN29" i="44" s="1"/>
  <c r="H32" i="44"/>
  <c r="H26" i="44" s="1"/>
  <c r="AI34" i="44"/>
  <c r="AO34" i="44"/>
  <c r="J48" i="44"/>
  <c r="U48" i="44" s="1"/>
  <c r="W48" i="44" s="1"/>
  <c r="O53" i="44"/>
  <c r="O52" i="44" s="1"/>
  <c r="Q58" i="44"/>
  <c r="R58" i="44" s="1"/>
  <c r="X63" i="44"/>
  <c r="AC63" i="44"/>
  <c r="R63" i="44"/>
  <c r="AO64" i="44"/>
  <c r="AI64" i="44"/>
  <c r="AL64" i="44"/>
  <c r="AN64" i="44" s="1"/>
  <c r="H82" i="44"/>
  <c r="Q84" i="44"/>
  <c r="X84" i="44" s="1"/>
  <c r="AF82" i="44"/>
  <c r="Z85" i="44"/>
  <c r="AB85" i="44" s="1"/>
  <c r="Y84" i="44"/>
  <c r="Y83" i="44" s="1"/>
  <c r="Z96" i="44"/>
  <c r="AB96" i="44" s="1"/>
  <c r="U96" i="44"/>
  <c r="W96" i="44" s="1"/>
  <c r="Q96" i="44"/>
  <c r="AC96" i="44" s="1"/>
  <c r="U101" i="44"/>
  <c r="W101" i="44" s="1"/>
  <c r="AH104" i="44"/>
  <c r="X130" i="44"/>
  <c r="AO130" i="44"/>
  <c r="R130" i="44"/>
  <c r="AJ32" i="44"/>
  <c r="AO43" i="44"/>
  <c r="AC45" i="44"/>
  <c r="AL50" i="44"/>
  <c r="AN50" i="44" s="1"/>
  <c r="AJ69" i="44"/>
  <c r="AC80" i="44"/>
  <c r="R80" i="44"/>
  <c r="O82" i="44"/>
  <c r="AO112" i="44"/>
  <c r="AC114" i="44"/>
  <c r="AG124" i="44"/>
  <c r="AJ124" i="44" s="1"/>
  <c r="F125" i="44"/>
  <c r="F124" i="44" s="1"/>
  <c r="J135" i="44"/>
  <c r="Q135" i="44" s="1"/>
  <c r="R135" i="44" s="1"/>
  <c r="Q136" i="44"/>
  <c r="X136" i="44" s="1"/>
  <c r="AL145" i="44"/>
  <c r="AN145" i="44" s="1"/>
  <c r="AI145" i="44"/>
  <c r="AI186" i="44"/>
  <c r="AL186" i="44"/>
  <c r="AN186" i="44" s="1"/>
  <c r="AE13" i="44"/>
  <c r="T18" i="44"/>
  <c r="T13" i="44" s="1"/>
  <c r="F26" i="44"/>
  <c r="U29" i="44"/>
  <c r="W29" i="44" s="1"/>
  <c r="U32" i="44"/>
  <c r="W32" i="44" s="1"/>
  <c r="AK32" i="44"/>
  <c r="U33" i="44"/>
  <c r="W33" i="44" s="1"/>
  <c r="AO33" i="44"/>
  <c r="R41" i="44"/>
  <c r="AL41" i="44"/>
  <c r="AN41" i="44" s="1"/>
  <c r="AJ45" i="44"/>
  <c r="F36" i="44"/>
  <c r="AE36" i="44"/>
  <c r="AF52" i="44"/>
  <c r="AF51" i="44" s="1"/>
  <c r="R57" i="44"/>
  <c r="AC57" i="44"/>
  <c r="F74" i="44"/>
  <c r="F73" i="44" s="1"/>
  <c r="AL81" i="44"/>
  <c r="AN81" i="44" s="1"/>
  <c r="U87" i="44"/>
  <c r="W87" i="44" s="1"/>
  <c r="Q87" i="44"/>
  <c r="AC87" i="44" s="1"/>
  <c r="AI89" i="44"/>
  <c r="AK88" i="44"/>
  <c r="AL88" i="44" s="1"/>
  <c r="AN88" i="44" s="1"/>
  <c r="Y100" i="44"/>
  <c r="Z100" i="44" s="1"/>
  <c r="AB100" i="44" s="1"/>
  <c r="U105" i="44"/>
  <c r="W105" i="44" s="1"/>
  <c r="X109" i="44"/>
  <c r="AC109" i="44"/>
  <c r="AC110" i="44"/>
  <c r="AG111" i="44"/>
  <c r="AG104" i="44" s="1"/>
  <c r="AC139" i="44"/>
  <c r="H180" i="44"/>
  <c r="U189" i="44"/>
  <c r="W189" i="44" s="1"/>
  <c r="Q189" i="44"/>
  <c r="X189" i="44" s="1"/>
  <c r="Z189" i="44"/>
  <c r="AB189" i="44" s="1"/>
  <c r="J187" i="44"/>
  <c r="Q187" i="44" s="1"/>
  <c r="R187" i="44" s="1"/>
  <c r="Q195" i="44"/>
  <c r="R195" i="44" s="1"/>
  <c r="Z195" i="44"/>
  <c r="AB195" i="44" s="1"/>
  <c r="U195" i="44"/>
  <c r="W195" i="44" s="1"/>
  <c r="O111" i="44"/>
  <c r="AD111" i="44"/>
  <c r="F136" i="44"/>
  <c r="F135" i="44"/>
  <c r="AI138" i="44"/>
  <c r="AL138" i="44"/>
  <c r="AN138" i="44" s="1"/>
  <c r="Q147" i="44"/>
  <c r="R147" i="44" s="1"/>
  <c r="O146" i="44"/>
  <c r="Q146" i="44" s="1"/>
  <c r="R146" i="44" s="1"/>
  <c r="AQ147" i="44"/>
  <c r="AS147" i="44" s="1"/>
  <c r="AP146" i="44"/>
  <c r="AQ146" i="44" s="1"/>
  <c r="AS146" i="44" s="1"/>
  <c r="AI171" i="44"/>
  <c r="F82" i="44"/>
  <c r="AJ93" i="44"/>
  <c r="AL99" i="44"/>
  <c r="AN99" i="44" s="1"/>
  <c r="AF111" i="44"/>
  <c r="AF104" i="44" s="1"/>
  <c r="AF103" i="44" s="1"/>
  <c r="AF10" i="44" s="1"/>
  <c r="Y125" i="44"/>
  <c r="Y124" i="44" s="1"/>
  <c r="AL125" i="44"/>
  <c r="AN125" i="44" s="1"/>
  <c r="AC131" i="44"/>
  <c r="R132" i="44"/>
  <c r="AJ136" i="44"/>
  <c r="AO141" i="44"/>
  <c r="AO148" i="44"/>
  <c r="F159" i="44"/>
  <c r="AL178" i="44"/>
  <c r="AN178" i="44" s="1"/>
  <c r="AI178" i="44"/>
  <c r="J180" i="44"/>
  <c r="Z180" i="44" s="1"/>
  <c r="AB180" i="44" s="1"/>
  <c r="J198" i="44"/>
  <c r="Q198" i="44" s="1"/>
  <c r="AO198" i="44" s="1"/>
  <c r="N201" i="44"/>
  <c r="U213" i="44"/>
  <c r="W213" i="44" s="1"/>
  <c r="AJ216" i="44"/>
  <c r="U228" i="44"/>
  <c r="W228" i="44" s="1"/>
  <c r="Q228" i="44"/>
  <c r="AC228" i="44" s="1"/>
  <c r="N232" i="44"/>
  <c r="F235" i="44"/>
  <c r="F233" i="44" s="1"/>
  <c r="U238" i="44"/>
  <c r="W238" i="44" s="1"/>
  <c r="Z238" i="44"/>
  <c r="AB238" i="44" s="1"/>
  <c r="Q238" i="44"/>
  <c r="AC238" i="44" s="1"/>
  <c r="U240" i="44"/>
  <c r="W240" i="44" s="1"/>
  <c r="Q240" i="44"/>
  <c r="R240" i="44" s="1"/>
  <c r="AL258" i="44"/>
  <c r="AN258" i="44" s="1"/>
  <c r="Z136" i="44"/>
  <c r="AB136" i="44" s="1"/>
  <c r="AC137" i="44"/>
  <c r="AO138" i="44"/>
  <c r="AC138" i="44"/>
  <c r="Z157" i="44"/>
  <c r="AB157" i="44" s="1"/>
  <c r="Q157" i="44"/>
  <c r="H162" i="44"/>
  <c r="H159" i="44" s="1"/>
  <c r="AI164" i="44"/>
  <c r="AL164" i="44"/>
  <c r="AN164" i="44" s="1"/>
  <c r="U181" i="44"/>
  <c r="W181" i="44" s="1"/>
  <c r="Q181" i="44"/>
  <c r="R181" i="44" s="1"/>
  <c r="AI181" i="44"/>
  <c r="AK180" i="44"/>
  <c r="AE183" i="44"/>
  <c r="Q185" i="44"/>
  <c r="AL185" i="44"/>
  <c r="AN185" i="44" s="1"/>
  <c r="U185" i="44"/>
  <c r="W185" i="44" s="1"/>
  <c r="AG211" i="44"/>
  <c r="AJ254" i="44"/>
  <c r="AC132" i="44"/>
  <c r="AU146" i="44"/>
  <c r="AW146" i="44" s="1"/>
  <c r="AU147" i="44"/>
  <c r="AW147" i="44" s="1"/>
  <c r="U160" i="44"/>
  <c r="W160" i="44" s="1"/>
  <c r="Z160" i="44"/>
  <c r="AB160" i="44" s="1"/>
  <c r="AL160" i="44"/>
  <c r="AN160" i="44" s="1"/>
  <c r="U163" i="44"/>
  <c r="W163" i="44" s="1"/>
  <c r="Q163" i="44"/>
  <c r="AO163" i="44" s="1"/>
  <c r="J162" i="44"/>
  <c r="Q162" i="44" s="1"/>
  <c r="AC162" i="44" s="1"/>
  <c r="Q168" i="44"/>
  <c r="Z168" i="44"/>
  <c r="AB168" i="44" s="1"/>
  <c r="U168" i="44"/>
  <c r="W168" i="44" s="1"/>
  <c r="AL169" i="44"/>
  <c r="AN169" i="44" s="1"/>
  <c r="AI169" i="44"/>
  <c r="AI173" i="44"/>
  <c r="AL173" i="44"/>
  <c r="AN173" i="44" s="1"/>
  <c r="F175" i="44"/>
  <c r="AL181" i="44"/>
  <c r="AN181" i="44" s="1"/>
  <c r="U188" i="44"/>
  <c r="W188" i="44" s="1"/>
  <c r="Q188" i="44"/>
  <c r="X188" i="44" s="1"/>
  <c r="U196" i="44"/>
  <c r="W196" i="44" s="1"/>
  <c r="Q196" i="44"/>
  <c r="X196" i="44" s="1"/>
  <c r="AI221" i="44"/>
  <c r="AL221" i="44"/>
  <c r="AN221" i="44" s="1"/>
  <c r="AL157" i="44"/>
  <c r="AN157" i="44" s="1"/>
  <c r="Z164" i="44"/>
  <c r="AB164" i="44" s="1"/>
  <c r="Z173" i="44"/>
  <c r="AB173" i="44" s="1"/>
  <c r="T175" i="44"/>
  <c r="AF175" i="44"/>
  <c r="AF152" i="44" s="1"/>
  <c r="O202" i="44"/>
  <c r="O201" i="44" s="1"/>
  <c r="AI206" i="44"/>
  <c r="AH211" i="44"/>
  <c r="U215" i="44"/>
  <c r="W215" i="44" s="1"/>
  <c r="H220" i="44"/>
  <c r="H219" i="44" s="1"/>
  <c r="O211" i="44"/>
  <c r="AJ229" i="44"/>
  <c r="AI237" i="44"/>
  <c r="AO237" i="44"/>
  <c r="AK241" i="44"/>
  <c r="AI241" i="44" s="1"/>
  <c r="AI245" i="44"/>
  <c r="J249" i="44"/>
  <c r="Z249" i="44" s="1"/>
  <c r="AB249" i="44" s="1"/>
  <c r="F249" i="44"/>
  <c r="F248" i="44" s="1"/>
  <c r="AJ252" i="44"/>
  <c r="Z259" i="44"/>
  <c r="AB259" i="44" s="1"/>
  <c r="AG152" i="44"/>
  <c r="AG150" i="44" s="1"/>
  <c r="J156" i="44"/>
  <c r="Z156" i="44" s="1"/>
  <c r="AB156" i="44" s="1"/>
  <c r="AL163" i="44"/>
  <c r="AN163" i="44" s="1"/>
  <c r="Q164" i="44"/>
  <c r="R164" i="44" s="1"/>
  <c r="AL177" i="44"/>
  <c r="AN177" i="44" s="1"/>
  <c r="AJ193" i="44"/>
  <c r="AL196" i="44"/>
  <c r="AN196" i="44" s="1"/>
  <c r="Q217" i="44"/>
  <c r="AL217" i="44"/>
  <c r="AN217" i="44" s="1"/>
  <c r="AJ219" i="44"/>
  <c r="H225" i="44"/>
  <c r="AL228" i="44"/>
  <c r="AN228" i="44" s="1"/>
  <c r="X237" i="44"/>
  <c r="AO247" i="44"/>
  <c r="Q256" i="44"/>
  <c r="AO256" i="44" s="1"/>
  <c r="AI257" i="44"/>
  <c r="AJ209" i="44"/>
  <c r="H212" i="44"/>
  <c r="AJ220" i="44"/>
  <c r="F220" i="44"/>
  <c r="F219" i="44" s="1"/>
  <c r="AO19" i="44"/>
  <c r="AI19" i="44"/>
  <c r="U31" i="44"/>
  <c r="W31" i="44" s="1"/>
  <c r="Z31" i="44"/>
  <c r="AB31" i="44" s="1"/>
  <c r="Q31" i="44"/>
  <c r="U45" i="44"/>
  <c r="W45" i="44" s="1"/>
  <c r="X45" i="44"/>
  <c r="T36" i="44"/>
  <c r="R88" i="44"/>
  <c r="R21" i="44"/>
  <c r="X21" i="44"/>
  <c r="AC21" i="44"/>
  <c r="AI30" i="44"/>
  <c r="AL30" i="44"/>
  <c r="AN30" i="44" s="1"/>
  <c r="AK37" i="44"/>
  <c r="AI39" i="44"/>
  <c r="AL39" i="44"/>
  <c r="AN39" i="44" s="1"/>
  <c r="Z55" i="44"/>
  <c r="AB55" i="44" s="1"/>
  <c r="AL55" i="44"/>
  <c r="AN55" i="44" s="1"/>
  <c r="U55" i="44"/>
  <c r="W55" i="44" s="1"/>
  <c r="Q55" i="44"/>
  <c r="R61" i="44"/>
  <c r="X61" i="44"/>
  <c r="AC61" i="44"/>
  <c r="AL72" i="44"/>
  <c r="AN72" i="44" s="1"/>
  <c r="AI72" i="44"/>
  <c r="AC22" i="44"/>
  <c r="R22" i="44"/>
  <c r="AD18" i="44"/>
  <c r="AK22" i="44"/>
  <c r="AJ22" i="44"/>
  <c r="AK27" i="44"/>
  <c r="AG36" i="44"/>
  <c r="AG25" i="44" s="1"/>
  <c r="AJ37" i="44"/>
  <c r="T52" i="44"/>
  <c r="J56" i="44"/>
  <c r="AL56" i="44" s="1"/>
  <c r="AN56" i="44" s="1"/>
  <c r="H56" i="44"/>
  <c r="H53" i="44" s="1"/>
  <c r="H52" i="44" s="1"/>
  <c r="H51" i="44" s="1"/>
  <c r="AI59" i="44"/>
  <c r="Z69" i="44"/>
  <c r="AB69" i="44" s="1"/>
  <c r="AL31" i="44"/>
  <c r="AN31" i="44" s="1"/>
  <c r="AD36" i="44"/>
  <c r="AC49" i="44"/>
  <c r="X49" i="44"/>
  <c r="R49" i="44"/>
  <c r="AL49" i="44"/>
  <c r="AN49" i="44" s="1"/>
  <c r="AO49" i="44"/>
  <c r="AI49" i="44"/>
  <c r="AK48" i="44"/>
  <c r="J54" i="44"/>
  <c r="X16" i="44"/>
  <c r="AC16" i="44"/>
  <c r="Y26" i="44"/>
  <c r="AT3" i="44"/>
  <c r="AJ14" i="44"/>
  <c r="R16" i="44"/>
  <c r="R32" i="44"/>
  <c r="R77" i="44"/>
  <c r="AC77" i="44"/>
  <c r="X77" i="44"/>
  <c r="AI144" i="44"/>
  <c r="AC169" i="44"/>
  <c r="R169" i="44"/>
  <c r="X169" i="44"/>
  <c r="J14" i="44"/>
  <c r="U14" i="44" s="1"/>
  <c r="W14" i="44" s="1"/>
  <c r="U16" i="44"/>
  <c r="W16" i="44" s="1"/>
  <c r="AO16" i="44"/>
  <c r="AO21" i="44"/>
  <c r="Z22" i="44"/>
  <c r="AB22" i="44" s="1"/>
  <c r="X23" i="44"/>
  <c r="J27" i="44"/>
  <c r="T26" i="44"/>
  <c r="X28" i="44"/>
  <c r="Z32" i="44"/>
  <c r="AB32" i="44" s="1"/>
  <c r="Y36" i="44"/>
  <c r="AI43" i="44"/>
  <c r="AE51" i="44"/>
  <c r="N51" i="44"/>
  <c r="X57" i="44"/>
  <c r="U59" i="44"/>
  <c r="W59" i="44" s="1"/>
  <c r="J60" i="44"/>
  <c r="AK60" i="44"/>
  <c r="AO61" i="44"/>
  <c r="AC72" i="44"/>
  <c r="U75" i="44"/>
  <c r="W75" i="44" s="1"/>
  <c r="T74" i="44"/>
  <c r="AJ75" i="44"/>
  <c r="AD74" i="44"/>
  <c r="AO84" i="44"/>
  <c r="AI95" i="44"/>
  <c r="U98" i="44"/>
  <c r="W98" i="44" s="1"/>
  <c r="AL98" i="44"/>
  <c r="AN98" i="44" s="1"/>
  <c r="Z98" i="44"/>
  <c r="AB98" i="44" s="1"/>
  <c r="Q98" i="44"/>
  <c r="J97" i="44"/>
  <c r="Z97" i="44" s="1"/>
  <c r="AB97" i="44" s="1"/>
  <c r="R117" i="44"/>
  <c r="Q116" i="44"/>
  <c r="AC117" i="44"/>
  <c r="X117" i="44"/>
  <c r="U142" i="44"/>
  <c r="W142" i="44" s="1"/>
  <c r="T140" i="44"/>
  <c r="Z147" i="44"/>
  <c r="AB147" i="44" s="1"/>
  <c r="Y146" i="44"/>
  <c r="U22" i="44"/>
  <c r="W22" i="44" s="1"/>
  <c r="AO28" i="44"/>
  <c r="Z33" i="44"/>
  <c r="AB33" i="44" s="1"/>
  <c r="Z34" i="44"/>
  <c r="AB34" i="44" s="1"/>
  <c r="Z35" i="44"/>
  <c r="AB35" i="44" s="1"/>
  <c r="AO42" i="44"/>
  <c r="AI42" i="44"/>
  <c r="Z62" i="44"/>
  <c r="AB62" i="44" s="1"/>
  <c r="AL66" i="44"/>
  <c r="AN66" i="44" s="1"/>
  <c r="AO66" i="44"/>
  <c r="U69" i="44"/>
  <c r="W69" i="44" s="1"/>
  <c r="AI75" i="44"/>
  <c r="AL75" i="44"/>
  <c r="AN75" i="44" s="1"/>
  <c r="Q78" i="44"/>
  <c r="R84" i="44"/>
  <c r="R85" i="44"/>
  <c r="AC85" i="44"/>
  <c r="X85" i="44"/>
  <c r="AO87" i="44"/>
  <c r="AJ88" i="44"/>
  <c r="AG83" i="44"/>
  <c r="AG82" i="44" s="1"/>
  <c r="Z105" i="44"/>
  <c r="AB105" i="44" s="1"/>
  <c r="Z108" i="44"/>
  <c r="AB108" i="44" s="1"/>
  <c r="AC112" i="44"/>
  <c r="Z112" i="44"/>
  <c r="AB112" i="44" s="1"/>
  <c r="AO123" i="44"/>
  <c r="R123" i="44"/>
  <c r="X123" i="44"/>
  <c r="AC123" i="44"/>
  <c r="AJ135" i="44"/>
  <c r="AT11" i="44"/>
  <c r="Z16" i="44"/>
  <c r="AB16" i="44" s="1"/>
  <c r="F18" i="44"/>
  <c r="F13" i="44" s="1"/>
  <c r="AJ19" i="44"/>
  <c r="AJ27" i="44"/>
  <c r="AD26" i="44"/>
  <c r="AH26" i="44"/>
  <c r="AH25" i="44" s="1"/>
  <c r="AC28" i="44"/>
  <c r="AL28" i="44"/>
  <c r="AN28" i="44" s="1"/>
  <c r="Q29" i="44"/>
  <c r="AO29" i="44" s="1"/>
  <c r="Q30" i="44"/>
  <c r="AO30" i="44" s="1"/>
  <c r="R33" i="44"/>
  <c r="AL33" i="44"/>
  <c r="AN33" i="44" s="1"/>
  <c r="AL34" i="44"/>
  <c r="AN34" i="44" s="1"/>
  <c r="R35" i="44"/>
  <c r="AL35" i="44"/>
  <c r="AN35" i="44" s="1"/>
  <c r="U37" i="44"/>
  <c r="W37" i="44" s="1"/>
  <c r="Z45" i="44"/>
  <c r="AB45" i="44" s="1"/>
  <c r="AJ48" i="44"/>
  <c r="Y52" i="44"/>
  <c r="AJ53" i="44"/>
  <c r="F53" i="44"/>
  <c r="R62" i="44"/>
  <c r="AL62" i="44"/>
  <c r="AN62" i="44" s="1"/>
  <c r="AC66" i="44"/>
  <c r="R66" i="44"/>
  <c r="AK69" i="44"/>
  <c r="R81" i="44"/>
  <c r="AC81" i="44"/>
  <c r="X81" i="44"/>
  <c r="AJ83" i="44"/>
  <c r="AC94" i="44"/>
  <c r="R94" i="44"/>
  <c r="X94" i="44"/>
  <c r="AL94" i="44"/>
  <c r="AN94" i="44" s="1"/>
  <c r="AK93" i="44"/>
  <c r="AO94" i="44"/>
  <c r="AI94" i="44"/>
  <c r="AL96" i="44"/>
  <c r="AN96" i="44" s="1"/>
  <c r="AI96" i="44"/>
  <c r="AJ101" i="44"/>
  <c r="AE100" i="44"/>
  <c r="AJ100" i="44" s="1"/>
  <c r="Y111" i="44"/>
  <c r="R119" i="44"/>
  <c r="AC119" i="44"/>
  <c r="X119" i="44"/>
  <c r="N75" i="44"/>
  <c r="N74" i="44" s="1"/>
  <c r="N73" i="44" s="1"/>
  <c r="AO76" i="44"/>
  <c r="AC79" i="44"/>
  <c r="AL79" i="44"/>
  <c r="AN79" i="44" s="1"/>
  <c r="AI80" i="44"/>
  <c r="AO80" i="44"/>
  <c r="U84" i="44"/>
  <c r="W84" i="44" s="1"/>
  <c r="AI84" i="44"/>
  <c r="AO85" i="44"/>
  <c r="U88" i="44"/>
  <c r="W88" i="44" s="1"/>
  <c r="Q89" i="44"/>
  <c r="Q90" i="44"/>
  <c r="Z90" i="44"/>
  <c r="AB90" i="44" s="1"/>
  <c r="Y91" i="44"/>
  <c r="Q92" i="44"/>
  <c r="AJ97" i="44"/>
  <c r="R99" i="44"/>
  <c r="AC102" i="44"/>
  <c r="AL102" i="44"/>
  <c r="AN102" i="44" s="1"/>
  <c r="AJ105" i="44"/>
  <c r="R106" i="44"/>
  <c r="AL106" i="44"/>
  <c r="AN106" i="44" s="1"/>
  <c r="O108" i="44"/>
  <c r="Q108" i="44" s="1"/>
  <c r="R108" i="44" s="1"/>
  <c r="AJ108" i="44"/>
  <c r="R109" i="44"/>
  <c r="AL109" i="44"/>
  <c r="AN109" i="44" s="1"/>
  <c r="AO110" i="44"/>
  <c r="X113" i="44"/>
  <c r="R114" i="44"/>
  <c r="AI115" i="44"/>
  <c r="AK116" i="44"/>
  <c r="AO118" i="44"/>
  <c r="AK121" i="44"/>
  <c r="AI121" i="44" s="1"/>
  <c r="J124" i="44"/>
  <c r="G125" i="44"/>
  <c r="H124" i="44"/>
  <c r="G124" i="44" s="1"/>
  <c r="AE134" i="44"/>
  <c r="H135" i="44"/>
  <c r="AO145" i="44"/>
  <c r="R145" i="44"/>
  <c r="AC145" i="44"/>
  <c r="U147" i="44"/>
  <c r="W147" i="44" s="1"/>
  <c r="T146" i="44"/>
  <c r="AC178" i="44"/>
  <c r="R178" i="44"/>
  <c r="X178" i="44"/>
  <c r="Q222" i="44"/>
  <c r="U222" i="44"/>
  <c r="W222" i="44" s="1"/>
  <c r="Z222" i="44"/>
  <c r="AB222" i="44" s="1"/>
  <c r="Z75" i="44"/>
  <c r="AB75" i="44" s="1"/>
  <c r="O75" i="44"/>
  <c r="X76" i="44"/>
  <c r="AO77" i="44"/>
  <c r="AO81" i="44"/>
  <c r="J83" i="44"/>
  <c r="T82" i="44"/>
  <c r="AL84" i="44"/>
  <c r="AN84" i="44" s="1"/>
  <c r="AK97" i="44"/>
  <c r="H105" i="44"/>
  <c r="AK108" i="44"/>
  <c r="X110" i="44"/>
  <c r="G112" i="44"/>
  <c r="X112" i="44"/>
  <c r="AJ116" i="44"/>
  <c r="AO117" i="44"/>
  <c r="X118" i="44"/>
  <c r="AO119" i="44"/>
  <c r="AJ121" i="44"/>
  <c r="R133" i="44"/>
  <c r="AO133" i="44"/>
  <c r="AC133" i="44"/>
  <c r="Z142" i="44"/>
  <c r="AB142" i="44" s="1"/>
  <c r="Y140" i="44"/>
  <c r="Q144" i="44"/>
  <c r="O142" i="44"/>
  <c r="AJ147" i="44"/>
  <c r="AD146" i="44"/>
  <c r="AJ146" i="44" s="1"/>
  <c r="R179" i="44"/>
  <c r="X179" i="44"/>
  <c r="AE175" i="44"/>
  <c r="AE152" i="44" s="1"/>
  <c r="AJ180" i="44"/>
  <c r="AC198" i="44"/>
  <c r="Z88" i="44"/>
  <c r="AB88" i="44" s="1"/>
  <c r="X114" i="44"/>
  <c r="AO120" i="44"/>
  <c r="X120" i="44"/>
  <c r="R120" i="44"/>
  <c r="AI137" i="44"/>
  <c r="AL137" i="44"/>
  <c r="AN137" i="44" s="1"/>
  <c r="AK136" i="44"/>
  <c r="AO137" i="44"/>
  <c r="AJ142" i="44"/>
  <c r="AK142" i="44"/>
  <c r="AK140" i="44" s="1"/>
  <c r="AD140" i="44"/>
  <c r="AJ140" i="44" s="1"/>
  <c r="X154" i="44"/>
  <c r="AK153" i="44"/>
  <c r="AI154" i="44"/>
  <c r="AL154" i="44"/>
  <c r="AN154" i="44" s="1"/>
  <c r="AJ156" i="44"/>
  <c r="AJ184" i="44"/>
  <c r="AD183" i="44"/>
  <c r="R126" i="44"/>
  <c r="AO126" i="44"/>
  <c r="T135" i="44"/>
  <c r="Y135" i="44"/>
  <c r="R137" i="44"/>
  <c r="AI141" i="44"/>
  <c r="AK147" i="44"/>
  <c r="R148" i="44"/>
  <c r="AL148" i="44"/>
  <c r="AN148" i="44" s="1"/>
  <c r="Z154" i="44"/>
  <c r="AB154" i="44" s="1"/>
  <c r="J153" i="44"/>
  <c r="U155" i="44"/>
  <c r="W155" i="44" s="1"/>
  <c r="AC155" i="44"/>
  <c r="AO155" i="44"/>
  <c r="AI156" i="44"/>
  <c r="T159" i="44"/>
  <c r="Z167" i="44"/>
  <c r="AB167" i="44" s="1"/>
  <c r="J166" i="44"/>
  <c r="Q167" i="44"/>
  <c r="AO167" i="44" s="1"/>
  <c r="AL167" i="44"/>
  <c r="AN167" i="44" s="1"/>
  <c r="AL168" i="44"/>
  <c r="AN168" i="44" s="1"/>
  <c r="AO169" i="44"/>
  <c r="AL171" i="44"/>
  <c r="AN171" i="44" s="1"/>
  <c r="Q172" i="44"/>
  <c r="AO172" i="44" s="1"/>
  <c r="U172" i="44"/>
  <c r="W172" i="44" s="1"/>
  <c r="AO173" i="44"/>
  <c r="X173" i="44"/>
  <c r="AC173" i="44"/>
  <c r="Z174" i="44"/>
  <c r="AB174" i="44" s="1"/>
  <c r="Q174" i="44"/>
  <c r="AO174" i="44" s="1"/>
  <c r="AL174" i="44"/>
  <c r="AN174" i="44" s="1"/>
  <c r="Y175" i="44"/>
  <c r="Q177" i="44"/>
  <c r="J176" i="44"/>
  <c r="Z176" i="44" s="1"/>
  <c r="AB176" i="44" s="1"/>
  <c r="AO178" i="44"/>
  <c r="Z182" i="44"/>
  <c r="AB182" i="44" s="1"/>
  <c r="Q182" i="44"/>
  <c r="AO182" i="44" s="1"/>
  <c r="AL182" i="44"/>
  <c r="AN182" i="44" s="1"/>
  <c r="H184" i="44"/>
  <c r="AK187" i="44"/>
  <c r="AJ187" i="44"/>
  <c r="X214" i="44"/>
  <c r="AO214" i="44"/>
  <c r="AO224" i="44"/>
  <c r="AC224" i="44"/>
  <c r="AO131" i="44"/>
  <c r="X138" i="44"/>
  <c r="X139" i="44"/>
  <c r="Z155" i="44"/>
  <c r="AB155" i="44" s="1"/>
  <c r="AO160" i="44"/>
  <c r="X160" i="44"/>
  <c r="AC160" i="44"/>
  <c r="Z161" i="44"/>
  <c r="AB161" i="44" s="1"/>
  <c r="Q161" i="44"/>
  <c r="AL161" i="44"/>
  <c r="AN161" i="44" s="1"/>
  <c r="AD159" i="44"/>
  <c r="AJ162" i="44"/>
  <c r="AK166" i="44"/>
  <c r="AD165" i="44"/>
  <c r="AJ165" i="44" s="1"/>
  <c r="F166" i="44"/>
  <c r="F165" i="44" s="1"/>
  <c r="AI172" i="44"/>
  <c r="AJ176" i="44"/>
  <c r="AD175" i="44"/>
  <c r="U187" i="44"/>
  <c r="W187" i="44" s="1"/>
  <c r="T184" i="44"/>
  <c r="AI190" i="44"/>
  <c r="AL190" i="44"/>
  <c r="AN190" i="44" s="1"/>
  <c r="AL191" i="44"/>
  <c r="AN191" i="44" s="1"/>
  <c r="AI191" i="44"/>
  <c r="Q205" i="44"/>
  <c r="AO205" i="44" s="1"/>
  <c r="Z205" i="44"/>
  <c r="AB205" i="44" s="1"/>
  <c r="J202" i="44"/>
  <c r="U202" i="44" s="1"/>
  <c r="W202" i="44" s="1"/>
  <c r="U205" i="44"/>
  <c r="W205" i="44" s="1"/>
  <c r="O125" i="44"/>
  <c r="O124" i="44" s="1"/>
  <c r="R131" i="44"/>
  <c r="X131" i="44"/>
  <c r="R138" i="44"/>
  <c r="R139" i="44"/>
  <c r="R155" i="44"/>
  <c r="AL155" i="44"/>
  <c r="AN155" i="44" s="1"/>
  <c r="U156" i="44"/>
  <c r="W156" i="44" s="1"/>
  <c r="Q158" i="44"/>
  <c r="R160" i="44"/>
  <c r="U161" i="44"/>
  <c r="W161" i="44" s="1"/>
  <c r="AK162" i="44"/>
  <c r="AJ166" i="44"/>
  <c r="AL172" i="44"/>
  <c r="AN172" i="44" s="1"/>
  <c r="AI177" i="44"/>
  <c r="AK176" i="44"/>
  <c r="AO179" i="44"/>
  <c r="AI179" i="44"/>
  <c r="O184" i="44"/>
  <c r="Y183" i="44"/>
  <c r="AH183" i="44"/>
  <c r="AL188" i="44"/>
  <c r="AN188" i="44" s="1"/>
  <c r="AI188" i="44"/>
  <c r="Z190" i="44"/>
  <c r="AB190" i="44" s="1"/>
  <c r="U190" i="44"/>
  <c r="W190" i="44" s="1"/>
  <c r="Q190" i="44"/>
  <c r="AO190" i="44" s="1"/>
  <c r="AJ190" i="44"/>
  <c r="Z194" i="44"/>
  <c r="AB194" i="44" s="1"/>
  <c r="U194" i="44"/>
  <c r="W194" i="44" s="1"/>
  <c r="J193" i="44"/>
  <c r="Q194" i="44"/>
  <c r="AO194" i="44" s="1"/>
  <c r="AI194" i="44"/>
  <c r="AK193" i="44"/>
  <c r="AL194" i="44"/>
  <c r="AN194" i="44" s="1"/>
  <c r="AL208" i="44"/>
  <c r="AN208" i="44" s="1"/>
  <c r="AI208" i="44"/>
  <c r="Y159" i="44"/>
  <c r="H176" i="44"/>
  <c r="H175" i="44" s="1"/>
  <c r="Z185" i="44"/>
  <c r="AB185" i="44" s="1"/>
  <c r="F187" i="44"/>
  <c r="F184" i="44" s="1"/>
  <c r="AJ192" i="44"/>
  <c r="Z197" i="44"/>
  <c r="AB197" i="44" s="1"/>
  <c r="Q197" i="44"/>
  <c r="U197" i="44"/>
  <c r="W197" i="44" s="1"/>
  <c r="AL203" i="44"/>
  <c r="AN203" i="44" s="1"/>
  <c r="AI203" i="44"/>
  <c r="AK202" i="44"/>
  <c r="U207" i="44"/>
  <c r="W207" i="44" s="1"/>
  <c r="Z207" i="44"/>
  <c r="AB207" i="44" s="1"/>
  <c r="Q207" i="44"/>
  <c r="T211" i="44"/>
  <c r="AI215" i="44"/>
  <c r="AL215" i="44"/>
  <c r="AN215" i="44" s="1"/>
  <c r="U218" i="44"/>
  <c r="W218" i="44" s="1"/>
  <c r="AL218" i="44"/>
  <c r="AN218" i="44" s="1"/>
  <c r="Q218" i="44"/>
  <c r="F229" i="44"/>
  <c r="AL195" i="44"/>
  <c r="AN195" i="44" s="1"/>
  <c r="AI195" i="44"/>
  <c r="X200" i="44"/>
  <c r="AO200" i="44"/>
  <c r="AC200" i="44"/>
  <c r="AC203" i="44"/>
  <c r="AO196" i="44"/>
  <c r="R196" i="44"/>
  <c r="AC196" i="44"/>
  <c r="X199" i="44"/>
  <c r="AO199" i="44"/>
  <c r="AC199" i="44"/>
  <c r="Y201" i="44"/>
  <c r="AL222" i="44"/>
  <c r="AN222" i="44" s="1"/>
  <c r="AJ202" i="44"/>
  <c r="AD201" i="44"/>
  <c r="AH201" i="44"/>
  <c r="AH151" i="44" s="1"/>
  <c r="AH7" i="44" s="1"/>
  <c r="AL204" i="44"/>
  <c r="AN204" i="44" s="1"/>
  <c r="Z214" i="44"/>
  <c r="AB214" i="44" s="1"/>
  <c r="X216" i="44"/>
  <c r="AK220" i="44"/>
  <c r="AI228" i="44"/>
  <c r="AJ233" i="44"/>
  <c r="H233" i="44"/>
  <c r="T233" i="44"/>
  <c r="AJ235" i="44"/>
  <c r="X238" i="44"/>
  <c r="Z243" i="44"/>
  <c r="AB243" i="44" s="1"/>
  <c r="J242" i="44"/>
  <c r="AL243" i="44"/>
  <c r="AN243" i="44" s="1"/>
  <c r="Q243" i="44"/>
  <c r="AQ258" i="44"/>
  <c r="AS258" i="44" s="1"/>
  <c r="AP257" i="44"/>
  <c r="H202" i="44"/>
  <c r="H201" i="44" s="1"/>
  <c r="Z208" i="44"/>
  <c r="AB208" i="44" s="1"/>
  <c r="U208" i="44"/>
  <c r="W208" i="44" s="1"/>
  <c r="Z210" i="44"/>
  <c r="AB210" i="44" s="1"/>
  <c r="J209" i="44"/>
  <c r="N211" i="44"/>
  <c r="Z216" i="44"/>
  <c r="AB216" i="44" s="1"/>
  <c r="Z227" i="44"/>
  <c r="AB227" i="44" s="1"/>
  <c r="O233" i="44"/>
  <c r="O232" i="44" s="1"/>
  <c r="O151" i="44" s="1"/>
  <c r="O7" i="44" s="1"/>
  <c r="Q236" i="44"/>
  <c r="J235" i="44"/>
  <c r="U235" i="44" s="1"/>
  <c r="W235" i="44" s="1"/>
  <c r="U236" i="44"/>
  <c r="W236" i="44" s="1"/>
  <c r="AL238" i="44"/>
  <c r="AN238" i="44" s="1"/>
  <c r="AO246" i="44"/>
  <c r="AC246" i="44"/>
  <c r="Q253" i="44"/>
  <c r="J252" i="44"/>
  <c r="Q252" i="44" s="1"/>
  <c r="R252" i="44" s="1"/>
  <c r="Z253" i="44"/>
  <c r="AL253" i="44"/>
  <c r="U253" i="44"/>
  <c r="W253" i="44" s="1"/>
  <c r="Q204" i="44"/>
  <c r="Z204" i="44"/>
  <c r="AB204" i="44" s="1"/>
  <c r="AL205" i="44"/>
  <c r="AN205" i="44" s="1"/>
  <c r="Q208" i="44"/>
  <c r="AO208" i="44" s="1"/>
  <c r="Q210" i="44"/>
  <c r="Z213" i="44"/>
  <c r="AB213" i="44" s="1"/>
  <c r="Q213" i="44"/>
  <c r="AK216" i="44"/>
  <c r="AI222" i="44"/>
  <c r="Z226" i="44"/>
  <c r="AB226" i="44" s="1"/>
  <c r="J225" i="44"/>
  <c r="U225" i="44" s="1"/>
  <c r="W225" i="44" s="1"/>
  <c r="Q226" i="44"/>
  <c r="AO226" i="44" s="1"/>
  <c r="AL226" i="44"/>
  <c r="AN226" i="44" s="1"/>
  <c r="AL227" i="44"/>
  <c r="AN227" i="44" s="1"/>
  <c r="AO229" i="44"/>
  <c r="AL230" i="44"/>
  <c r="AN230" i="44" s="1"/>
  <c r="AI230" i="44"/>
  <c r="U231" i="44"/>
  <c r="W231" i="44" s="1"/>
  <c r="Z231" i="44"/>
  <c r="AB231" i="44" s="1"/>
  <c r="Q231" i="44"/>
  <c r="AL231" i="44"/>
  <c r="AN231" i="44" s="1"/>
  <c r="AI234" i="44"/>
  <c r="AL234" i="44"/>
  <c r="AN234" i="44" s="1"/>
  <c r="AO238" i="44"/>
  <c r="R238" i="44"/>
  <c r="AO239" i="44"/>
  <c r="AL239" i="44"/>
  <c r="AN239" i="44" s="1"/>
  <c r="X252" i="44"/>
  <c r="T248" i="44"/>
  <c r="AJ212" i="44"/>
  <c r="AD211" i="44"/>
  <c r="AJ211" i="44" s="1"/>
  <c r="AL213" i="44"/>
  <c r="AN213" i="44" s="1"/>
  <c r="Z221" i="44"/>
  <c r="AB221" i="44" s="1"/>
  <c r="J220" i="44"/>
  <c r="AK225" i="44"/>
  <c r="Q234" i="44"/>
  <c r="AO234" i="44" s="1"/>
  <c r="Z234" i="44"/>
  <c r="AB234" i="44" s="1"/>
  <c r="AI236" i="44"/>
  <c r="AK235" i="44"/>
  <c r="AK233" i="44" s="1"/>
  <c r="R239" i="44"/>
  <c r="AC239" i="44"/>
  <c r="AL240" i="44"/>
  <c r="AN240" i="44" s="1"/>
  <c r="AO240" i="44"/>
  <c r="AI240" i="44"/>
  <c r="AC256" i="44"/>
  <c r="Z239" i="44"/>
  <c r="AB239" i="44" s="1"/>
  <c r="U239" i="44"/>
  <c r="W239" i="44" s="1"/>
  <c r="U242" i="44"/>
  <c r="W242" i="44" s="1"/>
  <c r="AK242" i="44"/>
  <c r="AC244" i="44"/>
  <c r="AJ249" i="44"/>
  <c r="AE248" i="44"/>
  <c r="R251" i="44"/>
  <c r="AC251" i="44"/>
  <c r="AO251" i="44"/>
  <c r="AQ255" i="44"/>
  <c r="AS255" i="44" s="1"/>
  <c r="Z256" i="44"/>
  <c r="AB256" i="44" s="1"/>
  <c r="U256" i="44"/>
  <c r="W256" i="44" s="1"/>
  <c r="AU259" i="44"/>
  <c r="AW259" i="44" s="1"/>
  <c r="Q259" i="44"/>
  <c r="AQ259" i="44"/>
  <c r="AS259" i="44" s="1"/>
  <c r="AI243" i="44"/>
  <c r="Z250" i="44"/>
  <c r="AB250" i="44" s="1"/>
  <c r="Q250" i="44"/>
  <c r="AO250" i="44" s="1"/>
  <c r="Z251" i="44"/>
  <c r="AB251" i="44" s="1"/>
  <c r="Q255" i="44"/>
  <c r="X255" i="44" s="1"/>
  <c r="J254" i="44"/>
  <c r="Q254" i="44" s="1"/>
  <c r="R254" i="44" s="1"/>
  <c r="T254" i="44"/>
  <c r="Y257" i="44"/>
  <c r="AL251" i="44"/>
  <c r="AN251" i="44" s="1"/>
  <c r="AL256" i="44"/>
  <c r="AN256" i="44" s="1"/>
  <c r="AJ257" i="44"/>
  <c r="AF248" i="44"/>
  <c r="AC252" i="44"/>
  <c r="AI253" i="44"/>
  <c r="AK252" i="44"/>
  <c r="AJ255" i="44"/>
  <c r="AI258" i="44"/>
  <c r="AL259" i="44"/>
  <c r="AN259" i="44" s="1"/>
  <c r="AO195" i="44" l="1"/>
  <c r="F152" i="44"/>
  <c r="AC154" i="44"/>
  <c r="AO227" i="44"/>
  <c r="X221" i="44"/>
  <c r="Z162" i="44"/>
  <c r="AB162" i="44" s="1"/>
  <c r="AO191" i="44"/>
  <c r="R188" i="44"/>
  <c r="R214" i="44"/>
  <c r="AC191" i="44"/>
  <c r="AO154" i="44"/>
  <c r="AC84" i="44"/>
  <c r="AC58" i="44"/>
  <c r="AL59" i="44"/>
  <c r="AN59" i="44" s="1"/>
  <c r="AO88" i="44"/>
  <c r="AO171" i="44"/>
  <c r="AC32" i="44"/>
  <c r="J134" i="44"/>
  <c r="AO32" i="44"/>
  <c r="Q95" i="44"/>
  <c r="AC95" i="44" s="1"/>
  <c r="AJ248" i="44"/>
  <c r="U249" i="44"/>
  <c r="W249" i="44" s="1"/>
  <c r="J184" i="44"/>
  <c r="Z184" i="44" s="1"/>
  <c r="AB184" i="44" s="1"/>
  <c r="AJ175" i="44"/>
  <c r="X191" i="44"/>
  <c r="R163" i="44"/>
  <c r="Q39" i="44"/>
  <c r="AC39" i="44" s="1"/>
  <c r="Q37" i="44"/>
  <c r="X37" i="44" s="1"/>
  <c r="AC187" i="44"/>
  <c r="X88" i="44"/>
  <c r="AE25" i="44"/>
  <c r="AE12" i="44" s="1"/>
  <c r="AE5" i="44" s="1"/>
  <c r="AJ52" i="44"/>
  <c r="J104" i="44"/>
  <c r="F211" i="44"/>
  <c r="X256" i="44"/>
  <c r="AO221" i="44"/>
  <c r="Z229" i="44"/>
  <c r="AB229" i="44" s="1"/>
  <c r="AO188" i="44"/>
  <c r="O183" i="44"/>
  <c r="O149" i="44" s="1"/>
  <c r="O11" i="44" s="1"/>
  <c r="AO181" i="44"/>
  <c r="R171" i="44"/>
  <c r="AC136" i="44"/>
  <c r="AC101" i="44"/>
  <c r="X87" i="44"/>
  <c r="R59" i="44"/>
  <c r="AO101" i="44"/>
  <c r="U111" i="44"/>
  <c r="W111" i="44" s="1"/>
  <c r="R245" i="44"/>
  <c r="R256" i="44"/>
  <c r="N150" i="44"/>
  <c r="N6" i="44" s="1"/>
  <c r="AI255" i="44"/>
  <c r="R221" i="44"/>
  <c r="AC171" i="44"/>
  <c r="R136" i="44"/>
  <c r="R101" i="44"/>
  <c r="R87" i="44"/>
  <c r="AO59" i="44"/>
  <c r="AJ111" i="44"/>
  <c r="AH103" i="44"/>
  <c r="AH10" i="44" s="1"/>
  <c r="AK248" i="44"/>
  <c r="AI248" i="44" s="1"/>
  <c r="AC216" i="44"/>
  <c r="AI125" i="44"/>
  <c r="AC59" i="44"/>
  <c r="X245" i="44"/>
  <c r="AL180" i="44"/>
  <c r="AN180" i="44" s="1"/>
  <c r="J212" i="44"/>
  <c r="Q212" i="44" s="1"/>
  <c r="AO230" i="44"/>
  <c r="AC229" i="44"/>
  <c r="AL255" i="44"/>
  <c r="AN255" i="44" s="1"/>
  <c r="X229" i="44"/>
  <c r="Q100" i="44"/>
  <c r="AC100" i="44" s="1"/>
  <c r="J159" i="44"/>
  <c r="Q159" i="44" s="1"/>
  <c r="R159" i="44" s="1"/>
  <c r="H134" i="44"/>
  <c r="R186" i="44"/>
  <c r="AO92" i="44"/>
  <c r="AC18" i="44"/>
  <c r="AG149" i="44"/>
  <c r="AG11" i="44" s="1"/>
  <c r="H211" i="44"/>
  <c r="O25" i="44"/>
  <c r="F104" i="44"/>
  <c r="F103" i="44" s="1"/>
  <c r="F10" i="44" s="1"/>
  <c r="AC245" i="44"/>
  <c r="X215" i="44"/>
  <c r="U229" i="44"/>
  <c r="W229" i="44" s="1"/>
  <c r="AH12" i="44"/>
  <c r="AH9" i="44" s="1"/>
  <c r="AG12" i="44"/>
  <c r="AG9" i="44" s="1"/>
  <c r="Z18" i="44"/>
  <c r="AB18" i="44" s="1"/>
  <c r="AL156" i="44"/>
  <c r="AN156" i="44" s="1"/>
  <c r="AL229" i="44"/>
  <c r="AN229" i="44" s="1"/>
  <c r="R215" i="44"/>
  <c r="X230" i="44"/>
  <c r="U162" i="44"/>
  <c r="W162" i="44" s="1"/>
  <c r="X162" i="44"/>
  <c r="AK74" i="44"/>
  <c r="AL74" i="44" s="1"/>
  <c r="AN74" i="44" s="1"/>
  <c r="U180" i="44"/>
  <c r="W180" i="44" s="1"/>
  <c r="J36" i="44"/>
  <c r="Q36" i="44" s="1"/>
  <c r="R36" i="44" s="1"/>
  <c r="H25" i="44"/>
  <c r="Z84" i="44"/>
  <c r="AB84" i="44" s="1"/>
  <c r="E103" i="44"/>
  <c r="U255" i="44"/>
  <c r="W255" i="44" s="1"/>
  <c r="AL257" i="44"/>
  <c r="AN257" i="44" s="1"/>
  <c r="Q257" i="44"/>
  <c r="R257" i="44" s="1"/>
  <c r="U257" i="44"/>
  <c r="W257" i="44" s="1"/>
  <c r="O150" i="44"/>
  <c r="H12" i="44"/>
  <c r="H5" i="44" s="1"/>
  <c r="AC230" i="44"/>
  <c r="AC186" i="44"/>
  <c r="AL95" i="44"/>
  <c r="AN95" i="44" s="1"/>
  <c r="X18" i="44"/>
  <c r="J93" i="44"/>
  <c r="Z93" i="44" s="1"/>
  <c r="AB93" i="44" s="1"/>
  <c r="AF149" i="44"/>
  <c r="AF11" i="44" s="1"/>
  <c r="AC215" i="44"/>
  <c r="R228" i="44"/>
  <c r="R227" i="44"/>
  <c r="U216" i="44"/>
  <c r="W216" i="44" s="1"/>
  <c r="X203" i="44"/>
  <c r="F151" i="44"/>
  <c r="F7" i="44" s="1"/>
  <c r="AO203" i="44"/>
  <c r="Z187" i="44"/>
  <c r="AB187" i="44" s="1"/>
  <c r="AH150" i="44"/>
  <c r="X195" i="44"/>
  <c r="X164" i="44"/>
  <c r="Q156" i="44"/>
  <c r="AO156" i="44" s="1"/>
  <c r="R162" i="44"/>
  <c r="X187" i="44"/>
  <c r="X147" i="44"/>
  <c r="X69" i="44"/>
  <c r="X186" i="44"/>
  <c r="AI92" i="44"/>
  <c r="Q180" i="44"/>
  <c r="Q258" i="44"/>
  <c r="AG103" i="44"/>
  <c r="AG10" i="44" s="1"/>
  <c r="T104" i="44"/>
  <c r="U104" i="44" s="1"/>
  <c r="W104" i="44" s="1"/>
  <c r="AK83" i="44"/>
  <c r="AI83" i="44" s="1"/>
  <c r="AC206" i="44"/>
  <c r="R206" i="44"/>
  <c r="U258" i="44"/>
  <c r="W258" i="44" s="1"/>
  <c r="Q249" i="44"/>
  <c r="AO249" i="44" s="1"/>
  <c r="AL249" i="44"/>
  <c r="AN249" i="44" s="1"/>
  <c r="AC227" i="44"/>
  <c r="F183" i="44"/>
  <c r="F150" i="44" s="1"/>
  <c r="AC188" i="44"/>
  <c r="AC164" i="44"/>
  <c r="Z258" i="44"/>
  <c r="AB258" i="44" s="1"/>
  <c r="AJ232" i="44"/>
  <c r="AQ257" i="44"/>
  <c r="AS257" i="44" s="1"/>
  <c r="AC240" i="44"/>
  <c r="AL78" i="44"/>
  <c r="AN78" i="44" s="1"/>
  <c r="X163" i="44"/>
  <c r="AE103" i="44"/>
  <c r="AE10" i="44" s="1"/>
  <c r="Z125" i="44"/>
  <c r="AB125" i="44" s="1"/>
  <c r="R72" i="44"/>
  <c r="AJ51" i="44"/>
  <c r="AC69" i="44"/>
  <c r="AO72" i="44"/>
  <c r="X206" i="44"/>
  <c r="Z95" i="44"/>
  <c r="AB95" i="44" s="1"/>
  <c r="O51" i="44"/>
  <c r="N12" i="44"/>
  <c r="N9" i="44" s="1"/>
  <c r="X19" i="44"/>
  <c r="R19" i="44"/>
  <c r="X185" i="44"/>
  <c r="R185" i="44"/>
  <c r="AC185" i="44"/>
  <c r="AO185" i="44"/>
  <c r="AO228" i="44"/>
  <c r="X228" i="44"/>
  <c r="AO189" i="44"/>
  <c r="R189" i="44"/>
  <c r="AC189" i="44"/>
  <c r="AC50" i="44"/>
  <c r="R50" i="44"/>
  <c r="AO50" i="44"/>
  <c r="X50" i="44"/>
  <c r="AC195" i="44"/>
  <c r="H183" i="44"/>
  <c r="AC181" i="44"/>
  <c r="AO164" i="44"/>
  <c r="H152" i="44"/>
  <c r="AC163" i="44"/>
  <c r="Z124" i="44"/>
  <c r="AB124" i="44" s="1"/>
  <c r="X96" i="44"/>
  <c r="AL32" i="44"/>
  <c r="AN32" i="44" s="1"/>
  <c r="X95" i="44"/>
  <c r="U18" i="44"/>
  <c r="W18" i="44" s="1"/>
  <c r="AJ36" i="44"/>
  <c r="U124" i="44"/>
  <c r="W124" i="44" s="1"/>
  <c r="Z74" i="44"/>
  <c r="AB74" i="44" s="1"/>
  <c r="AC217" i="44"/>
  <c r="R217" i="44"/>
  <c r="X217" i="44"/>
  <c r="AO217" i="44"/>
  <c r="X168" i="44"/>
  <c r="AO168" i="44"/>
  <c r="R168" i="44"/>
  <c r="AC168" i="44"/>
  <c r="AC157" i="44"/>
  <c r="R157" i="44"/>
  <c r="AO157" i="44"/>
  <c r="X157" i="44"/>
  <c r="Q93" i="44"/>
  <c r="AO93" i="44" s="1"/>
  <c r="AO255" i="44"/>
  <c r="AI45" i="44"/>
  <c r="AL45" i="44"/>
  <c r="AN45" i="44" s="1"/>
  <c r="Z254" i="44"/>
  <c r="AB254" i="44" s="1"/>
  <c r="Z202" i="44"/>
  <c r="AB202" i="44" s="1"/>
  <c r="AC254" i="44"/>
  <c r="J233" i="44"/>
  <c r="Z233" i="44" s="1"/>
  <c r="AB233" i="44" s="1"/>
  <c r="X240" i="44"/>
  <c r="X181" i="44"/>
  <c r="AH149" i="44"/>
  <c r="AH11" i="44" s="1"/>
  <c r="AI11" i="44" s="1"/>
  <c r="AI88" i="44"/>
  <c r="R96" i="44"/>
  <c r="AK91" i="44"/>
  <c r="AI91" i="44" s="1"/>
  <c r="AI32" i="44"/>
  <c r="AC147" i="44"/>
  <c r="AD104" i="44"/>
  <c r="AJ104" i="44" s="1"/>
  <c r="R95" i="44"/>
  <c r="Q48" i="44"/>
  <c r="X48" i="44" s="1"/>
  <c r="Z48" i="44"/>
  <c r="AB48" i="44" s="1"/>
  <c r="AO180" i="44"/>
  <c r="AI180" i="44"/>
  <c r="N151" i="44"/>
  <c r="N7" i="44" s="1"/>
  <c r="F25" i="44"/>
  <c r="X58" i="44"/>
  <c r="AO58" i="44"/>
  <c r="X34" i="44"/>
  <c r="AC34" i="44"/>
  <c r="AF12" i="44"/>
  <c r="AC99" i="44"/>
  <c r="AO99" i="44"/>
  <c r="AO96" i="44"/>
  <c r="AO45" i="44"/>
  <c r="AO95" i="44"/>
  <c r="AK100" i="44"/>
  <c r="AI101" i="44"/>
  <c r="F149" i="44"/>
  <c r="F11" i="44" s="1"/>
  <c r="E152" i="44"/>
  <c r="AE150" i="44"/>
  <c r="AE149" i="44"/>
  <c r="AE11" i="44" s="1"/>
  <c r="AO210" i="44"/>
  <c r="R210" i="44"/>
  <c r="AC210" i="44"/>
  <c r="X210" i="44"/>
  <c r="R243" i="44"/>
  <c r="X243" i="44"/>
  <c r="AC243" i="44"/>
  <c r="AK175" i="44"/>
  <c r="AI176" i="44"/>
  <c r="AL176" i="44"/>
  <c r="AN176" i="44" s="1"/>
  <c r="AL140" i="44"/>
  <c r="AN140" i="44" s="1"/>
  <c r="AI140" i="44"/>
  <c r="R144" i="44"/>
  <c r="AC144" i="44"/>
  <c r="X144" i="44"/>
  <c r="AO108" i="44"/>
  <c r="AL108" i="44"/>
  <c r="AN108" i="44" s="1"/>
  <c r="AI108" i="44"/>
  <c r="O74" i="44"/>
  <c r="Q75" i="44"/>
  <c r="R89" i="44"/>
  <c r="X89" i="44"/>
  <c r="AC89" i="44"/>
  <c r="Z36" i="44"/>
  <c r="AB36" i="44" s="1"/>
  <c r="AO144" i="44"/>
  <c r="AG5" i="44"/>
  <c r="R55" i="44"/>
  <c r="AC55" i="44"/>
  <c r="X55" i="44"/>
  <c r="X259" i="44"/>
  <c r="AC259" i="44"/>
  <c r="R259" i="44"/>
  <c r="AO259" i="44"/>
  <c r="AL242" i="44"/>
  <c r="AN242" i="44" s="1"/>
  <c r="AI242" i="44"/>
  <c r="Z257" i="44"/>
  <c r="AB257" i="44" s="1"/>
  <c r="AO243" i="44"/>
  <c r="AL235" i="44"/>
  <c r="AN235" i="44" s="1"/>
  <c r="AI235" i="44"/>
  <c r="Z220" i="44"/>
  <c r="AB220" i="44" s="1"/>
  <c r="Q220" i="44"/>
  <c r="AO220" i="44" s="1"/>
  <c r="U220" i="44"/>
  <c r="W220" i="44" s="1"/>
  <c r="J219" i="44"/>
  <c r="R226" i="44"/>
  <c r="AC226" i="44"/>
  <c r="X226" i="44"/>
  <c r="X253" i="44"/>
  <c r="AO253" i="44"/>
  <c r="AC253" i="44"/>
  <c r="R253" i="44"/>
  <c r="Z242" i="44"/>
  <c r="AB242" i="44" s="1"/>
  <c r="Q242" i="44"/>
  <c r="AO242" i="44" s="1"/>
  <c r="J241" i="44"/>
  <c r="Y151" i="44"/>
  <c r="AL193" i="44"/>
  <c r="AN193" i="44" s="1"/>
  <c r="AK192" i="44"/>
  <c r="AI193" i="44"/>
  <c r="J192" i="44"/>
  <c r="Q193" i="44"/>
  <c r="AO193" i="44" s="1"/>
  <c r="Z193" i="44"/>
  <c r="AB193" i="44" s="1"/>
  <c r="U193" i="44"/>
  <c r="W193" i="44" s="1"/>
  <c r="T183" i="44"/>
  <c r="AJ159" i="44"/>
  <c r="AD152" i="44"/>
  <c r="Q166" i="44"/>
  <c r="AO166" i="44" s="1"/>
  <c r="J165" i="44"/>
  <c r="Z166" i="44"/>
  <c r="AB166" i="44" s="1"/>
  <c r="U166" i="44"/>
  <c r="W166" i="44" s="1"/>
  <c r="T152" i="44"/>
  <c r="Q153" i="44"/>
  <c r="AO153" i="44" s="1"/>
  <c r="X135" i="44"/>
  <c r="U135" i="44"/>
  <c r="W135" i="44" s="1"/>
  <c r="T134" i="44"/>
  <c r="AC255" i="44"/>
  <c r="R255" i="44"/>
  <c r="R250" i="44"/>
  <c r="AC250" i="44"/>
  <c r="X250" i="44"/>
  <c r="J248" i="44"/>
  <c r="X234" i="44"/>
  <c r="R234" i="44"/>
  <c r="AC234" i="44"/>
  <c r="AI225" i="44"/>
  <c r="AL225" i="44"/>
  <c r="AN225" i="44" s="1"/>
  <c r="U252" i="44"/>
  <c r="W252" i="44" s="1"/>
  <c r="AC231" i="44"/>
  <c r="X231" i="44"/>
  <c r="R231" i="44"/>
  <c r="AO231" i="44"/>
  <c r="Q225" i="44"/>
  <c r="Z225" i="44"/>
  <c r="AB225" i="44" s="1"/>
  <c r="AN253" i="44"/>
  <c r="AN252" i="44" s="1"/>
  <c r="AL252" i="44"/>
  <c r="Z235" i="44"/>
  <c r="AB235" i="44" s="1"/>
  <c r="Q235" i="44"/>
  <c r="AO235" i="44" s="1"/>
  <c r="AJ201" i="44"/>
  <c r="AD151" i="44"/>
  <c r="AO207" i="44"/>
  <c r="R207" i="44"/>
  <c r="X207" i="44"/>
  <c r="AC207" i="44"/>
  <c r="AO197" i="44"/>
  <c r="R197" i="44"/>
  <c r="X197" i="44"/>
  <c r="AC197" i="44"/>
  <c r="Z159" i="44"/>
  <c r="AB159" i="44" s="1"/>
  <c r="Y152" i="44"/>
  <c r="R190" i="44"/>
  <c r="AC190" i="44"/>
  <c r="X190" i="44"/>
  <c r="U153" i="44"/>
  <c r="W153" i="44" s="1"/>
  <c r="Q202" i="44"/>
  <c r="AO202" i="44" s="1"/>
  <c r="J201" i="44"/>
  <c r="Z201" i="44" s="1"/>
  <c r="AB201" i="44" s="1"/>
  <c r="X177" i="44"/>
  <c r="R177" i="44"/>
  <c r="AO177" i="44"/>
  <c r="AC177" i="44"/>
  <c r="R174" i="44"/>
  <c r="X174" i="44"/>
  <c r="AC174" i="44"/>
  <c r="AF150" i="44"/>
  <c r="AF6" i="44" s="1"/>
  <c r="Q142" i="44"/>
  <c r="O140" i="44"/>
  <c r="Z153" i="44"/>
  <c r="AB153" i="44" s="1"/>
  <c r="R92" i="44"/>
  <c r="X92" i="44"/>
  <c r="AC92" i="44"/>
  <c r="AO89" i="44"/>
  <c r="AJ82" i="44"/>
  <c r="AI69" i="44"/>
  <c r="AO69" i="44"/>
  <c r="AL69" i="44"/>
  <c r="AN69" i="44" s="1"/>
  <c r="Y51" i="44"/>
  <c r="R29" i="44"/>
  <c r="X29" i="44"/>
  <c r="AC29" i="44"/>
  <c r="AJ26" i="44"/>
  <c r="AD25" i="44"/>
  <c r="AC108" i="44"/>
  <c r="R116" i="44"/>
  <c r="X116" i="44"/>
  <c r="AC116" i="44"/>
  <c r="X111" i="44"/>
  <c r="Q97" i="44"/>
  <c r="AO97" i="44" s="1"/>
  <c r="U97" i="44"/>
  <c r="W97" i="44" s="1"/>
  <c r="AJ74" i="44"/>
  <c r="AD73" i="44"/>
  <c r="AJ73" i="44" s="1"/>
  <c r="Z60" i="44"/>
  <c r="AB60" i="44" s="1"/>
  <c r="U60" i="44"/>
  <c r="W60" i="44" s="1"/>
  <c r="Q60" i="44"/>
  <c r="AO60" i="44" s="1"/>
  <c r="R37" i="44"/>
  <c r="AC37" i="44"/>
  <c r="T25" i="44"/>
  <c r="J13" i="44"/>
  <c r="AL14" i="44"/>
  <c r="AN14" i="44" s="1"/>
  <c r="Q14" i="44"/>
  <c r="Z73" i="44"/>
  <c r="AB73" i="44" s="1"/>
  <c r="Q56" i="44"/>
  <c r="Z56" i="44"/>
  <c r="AB56" i="44" s="1"/>
  <c r="U56" i="44"/>
  <c r="W56" i="44" s="1"/>
  <c r="Z14" i="44"/>
  <c r="AB14" i="44" s="1"/>
  <c r="X254" i="44"/>
  <c r="U254" i="44"/>
  <c r="W254" i="44" s="1"/>
  <c r="AK232" i="44"/>
  <c r="AI233" i="44"/>
  <c r="AL233" i="44"/>
  <c r="AN233" i="44" s="1"/>
  <c r="AI216" i="44"/>
  <c r="AO216" i="44"/>
  <c r="AL216" i="44"/>
  <c r="AN216" i="44" s="1"/>
  <c r="AB253" i="44"/>
  <c r="Z252" i="44"/>
  <c r="AB252" i="44" s="1"/>
  <c r="X236" i="44"/>
  <c r="AC236" i="44"/>
  <c r="R236" i="44"/>
  <c r="Z209" i="44"/>
  <c r="AB209" i="44" s="1"/>
  <c r="AL209" i="44"/>
  <c r="AN209" i="44" s="1"/>
  <c r="Q209" i="44"/>
  <c r="U209" i="44"/>
  <c r="W209" i="44" s="1"/>
  <c r="AI220" i="44"/>
  <c r="AL220" i="44"/>
  <c r="AN220" i="44" s="1"/>
  <c r="AK219" i="44"/>
  <c r="AK212" i="44"/>
  <c r="R161" i="44"/>
  <c r="AC161" i="44"/>
  <c r="X161" i="44"/>
  <c r="R182" i="44"/>
  <c r="X182" i="44"/>
  <c r="AC182" i="44"/>
  <c r="Q83" i="44"/>
  <c r="U83" i="44"/>
  <c r="W83" i="44" s="1"/>
  <c r="AC111" i="44"/>
  <c r="Z111" i="44"/>
  <c r="AB111" i="44" s="1"/>
  <c r="U140" i="44"/>
  <c r="W140" i="44" s="1"/>
  <c r="Q27" i="44"/>
  <c r="U27" i="44"/>
  <c r="W27" i="44" s="1"/>
  <c r="J26" i="44"/>
  <c r="Z26" i="44" s="1"/>
  <c r="AB26" i="44" s="1"/>
  <c r="Z27" i="44"/>
  <c r="AB27" i="44" s="1"/>
  <c r="U54" i="44"/>
  <c r="W54" i="44" s="1"/>
  <c r="AL54" i="44"/>
  <c r="AN54" i="44" s="1"/>
  <c r="Z54" i="44"/>
  <c r="AB54" i="44" s="1"/>
  <c r="Q54" i="44"/>
  <c r="J53" i="44"/>
  <c r="AO236" i="44"/>
  <c r="AL254" i="44"/>
  <c r="AN254" i="44" s="1"/>
  <c r="AO254" i="44"/>
  <c r="AI254" i="44"/>
  <c r="U233" i="44"/>
  <c r="W233" i="44" s="1"/>
  <c r="T232" i="44"/>
  <c r="AQ254" i="44"/>
  <c r="AS254" i="44" s="1"/>
  <c r="AO218" i="44"/>
  <c r="R218" i="44"/>
  <c r="AC218" i="44"/>
  <c r="X218" i="44"/>
  <c r="AO161" i="44"/>
  <c r="X194" i="44"/>
  <c r="R194" i="44"/>
  <c r="AC194" i="44"/>
  <c r="X205" i="44"/>
  <c r="R205" i="44"/>
  <c r="AC205" i="44"/>
  <c r="AI187" i="44"/>
  <c r="AO187" i="44"/>
  <c r="AK184" i="44"/>
  <c r="AL187" i="44"/>
  <c r="AN187" i="44" s="1"/>
  <c r="X172" i="44"/>
  <c r="AC172" i="44"/>
  <c r="R172" i="44"/>
  <c r="R167" i="44"/>
  <c r="X167" i="44"/>
  <c r="AC167" i="44"/>
  <c r="AC135" i="44"/>
  <c r="Z135" i="44"/>
  <c r="AB135" i="44" s="1"/>
  <c r="Y134" i="44"/>
  <c r="AO142" i="44"/>
  <c r="AI142" i="44"/>
  <c r="AL142" i="44"/>
  <c r="AN142" i="44" s="1"/>
  <c r="Z140" i="44"/>
  <c r="AB140" i="44" s="1"/>
  <c r="H104" i="44"/>
  <c r="G105" i="44"/>
  <c r="AL97" i="44"/>
  <c r="AN97" i="44" s="1"/>
  <c r="AI97" i="44"/>
  <c r="Q124" i="44"/>
  <c r="J103" i="44"/>
  <c r="AO116" i="44"/>
  <c r="AI116" i="44"/>
  <c r="AL116" i="44"/>
  <c r="AN116" i="44" s="1"/>
  <c r="AK111" i="44"/>
  <c r="O105" i="44"/>
  <c r="F52" i="44"/>
  <c r="E53" i="44"/>
  <c r="X30" i="44"/>
  <c r="AC30" i="44"/>
  <c r="R30" i="44"/>
  <c r="N149" i="44"/>
  <c r="N11" i="44" s="1"/>
  <c r="AC78" i="44"/>
  <c r="X78" i="44"/>
  <c r="R78" i="44"/>
  <c r="AO78" i="44"/>
  <c r="AC146" i="44"/>
  <c r="Z146" i="44"/>
  <c r="AB146" i="44" s="1"/>
  <c r="T73" i="44"/>
  <c r="U74" i="44"/>
  <c r="W74" i="44" s="1"/>
  <c r="AL48" i="44"/>
  <c r="AN48" i="44" s="1"/>
  <c r="AI48" i="44"/>
  <c r="AL124" i="44"/>
  <c r="AN124" i="44" s="1"/>
  <c r="X108" i="44"/>
  <c r="T51" i="44"/>
  <c r="AI22" i="44"/>
  <c r="AL22" i="44"/>
  <c r="AN22" i="44" s="1"/>
  <c r="AO22" i="44"/>
  <c r="AI37" i="44"/>
  <c r="AK36" i="44"/>
  <c r="AO37" i="44"/>
  <c r="AL37" i="44"/>
  <c r="AN37" i="44" s="1"/>
  <c r="AK18" i="44"/>
  <c r="AO31" i="44"/>
  <c r="X31" i="44"/>
  <c r="AC31" i="44"/>
  <c r="R31" i="44"/>
  <c r="U248" i="44"/>
  <c r="W248" i="44" s="1"/>
  <c r="AO204" i="44"/>
  <c r="X204" i="44"/>
  <c r="AC204" i="44"/>
  <c r="R204" i="44"/>
  <c r="H232" i="44"/>
  <c r="G233" i="44"/>
  <c r="AI162" i="44"/>
  <c r="AL162" i="44"/>
  <c r="AN162" i="44" s="1"/>
  <c r="AO162" i="44"/>
  <c r="AK159" i="44"/>
  <c r="AL136" i="44"/>
  <c r="AN136" i="44" s="1"/>
  <c r="AK135" i="44"/>
  <c r="AI136" i="44"/>
  <c r="AO136" i="44"/>
  <c r="X222" i="44"/>
  <c r="AC222" i="44"/>
  <c r="R222" i="44"/>
  <c r="R39" i="44"/>
  <c r="Y104" i="44"/>
  <c r="AC98" i="44"/>
  <c r="R98" i="44"/>
  <c r="AO98" i="44"/>
  <c r="X98" i="44"/>
  <c r="Z83" i="44"/>
  <c r="AB83" i="44" s="1"/>
  <c r="AC213" i="44"/>
  <c r="X213" i="44"/>
  <c r="AO213" i="44"/>
  <c r="R213" i="44"/>
  <c r="R208" i="44"/>
  <c r="AC208" i="44"/>
  <c r="X208" i="44"/>
  <c r="AO252" i="44"/>
  <c r="AI252" i="44"/>
  <c r="Q233" i="44"/>
  <c r="AO233" i="44" s="1"/>
  <c r="AO222" i="44"/>
  <c r="AL202" i="44"/>
  <c r="AN202" i="44" s="1"/>
  <c r="AK201" i="44"/>
  <c r="AI202" i="44"/>
  <c r="AI166" i="44"/>
  <c r="AK165" i="44"/>
  <c r="AL166" i="44"/>
  <c r="AN166" i="44" s="1"/>
  <c r="Q176" i="44"/>
  <c r="J175" i="44"/>
  <c r="Z175" i="44" s="1"/>
  <c r="AB175" i="44" s="1"/>
  <c r="U176" i="44"/>
  <c r="W176" i="44" s="1"/>
  <c r="AO147" i="44"/>
  <c r="AK146" i="44"/>
  <c r="AI147" i="44"/>
  <c r="AL147" i="44"/>
  <c r="AN147" i="44" s="1"/>
  <c r="AK183" i="44"/>
  <c r="AJ183" i="44"/>
  <c r="AL153" i="44"/>
  <c r="AN153" i="44" s="1"/>
  <c r="AI153" i="44"/>
  <c r="X100" i="44"/>
  <c r="AK105" i="44"/>
  <c r="X146" i="44"/>
  <c r="U146" i="44"/>
  <c r="W146" i="44" s="1"/>
  <c r="Q125" i="44"/>
  <c r="AO90" i="44"/>
  <c r="X90" i="44"/>
  <c r="AC90" i="44"/>
  <c r="R90" i="44"/>
  <c r="AI93" i="44"/>
  <c r="AI74" i="44"/>
  <c r="AD134" i="44"/>
  <c r="AJ134" i="44" s="1"/>
  <c r="Y82" i="44"/>
  <c r="AL60" i="44"/>
  <c r="AN60" i="44" s="1"/>
  <c r="AI60" i="44"/>
  <c r="AO55" i="44"/>
  <c r="Y25" i="44"/>
  <c r="AK52" i="44"/>
  <c r="AO27" i="44"/>
  <c r="AL27" i="44"/>
  <c r="AN27" i="44" s="1"/>
  <c r="AK26" i="44"/>
  <c r="AI27" i="44"/>
  <c r="AJ18" i="44"/>
  <c r="AD13" i="44"/>
  <c r="AC48" i="44"/>
  <c r="X212" i="44" l="1"/>
  <c r="R212" i="44"/>
  <c r="AC212" i="44"/>
  <c r="AO39" i="44"/>
  <c r="Q184" i="44"/>
  <c r="U36" i="44"/>
  <c r="W36" i="44" s="1"/>
  <c r="AJ25" i="44"/>
  <c r="U184" i="44"/>
  <c r="W184" i="44" s="1"/>
  <c r="AC36" i="44"/>
  <c r="X39" i="44"/>
  <c r="AO100" i="44"/>
  <c r="H150" i="44"/>
  <c r="AH6" i="44"/>
  <c r="R100" i="44"/>
  <c r="AL93" i="44"/>
  <c r="AN93" i="44" s="1"/>
  <c r="X156" i="44"/>
  <c r="X36" i="44"/>
  <c r="J183" i="44"/>
  <c r="Q183" i="44" s="1"/>
  <c r="AO183" i="44" s="1"/>
  <c r="R48" i="44"/>
  <c r="AC159" i="44"/>
  <c r="U159" i="44"/>
  <c r="W159" i="44" s="1"/>
  <c r="H9" i="44"/>
  <c r="H149" i="44"/>
  <c r="H11" i="44" s="1"/>
  <c r="AL248" i="44"/>
  <c r="AN248" i="44" s="1"/>
  <c r="AH5" i="44"/>
  <c r="AH3" i="44" s="1"/>
  <c r="AO48" i="44"/>
  <c r="X159" i="44"/>
  <c r="F6" i="44"/>
  <c r="U212" i="44"/>
  <c r="W212" i="44" s="1"/>
  <c r="Z212" i="44"/>
  <c r="AB212" i="44" s="1"/>
  <c r="AK73" i="44"/>
  <c r="AI73" i="44" s="1"/>
  <c r="X257" i="44"/>
  <c r="AE9" i="44"/>
  <c r="AG6" i="44"/>
  <c r="AG3" i="44" s="1"/>
  <c r="N5" i="44"/>
  <c r="N3" i="44" s="1"/>
  <c r="AC257" i="44"/>
  <c r="AO257" i="44"/>
  <c r="X258" i="44"/>
  <c r="AO258" i="44"/>
  <c r="R258" i="44"/>
  <c r="AC258" i="44"/>
  <c r="U26" i="44"/>
  <c r="W26" i="44" s="1"/>
  <c r="R249" i="44"/>
  <c r="R180" i="44"/>
  <c r="AC180" i="44"/>
  <c r="X180" i="44"/>
  <c r="AC156" i="44"/>
  <c r="AL83" i="44"/>
  <c r="AN83" i="44" s="1"/>
  <c r="AC249" i="44"/>
  <c r="AE6" i="44"/>
  <c r="AE3" i="44" s="1"/>
  <c r="U93" i="44"/>
  <c r="W93" i="44" s="1"/>
  <c r="R156" i="44"/>
  <c r="X249" i="44"/>
  <c r="AK82" i="44"/>
  <c r="AI82" i="44" s="1"/>
  <c r="J91" i="44"/>
  <c r="U91" i="44" s="1"/>
  <c r="W91" i="44" s="1"/>
  <c r="AK152" i="44"/>
  <c r="AI152" i="44" s="1"/>
  <c r="AI100" i="44"/>
  <c r="AL100" i="44"/>
  <c r="AN100" i="44" s="1"/>
  <c r="Q91" i="44"/>
  <c r="AF9" i="44"/>
  <c r="AF5" i="44"/>
  <c r="AF3" i="44" s="1"/>
  <c r="R93" i="44"/>
  <c r="AC93" i="44"/>
  <c r="X93" i="44"/>
  <c r="Z183" i="44"/>
  <c r="AB183" i="44" s="1"/>
  <c r="AL105" i="44"/>
  <c r="AN105" i="44" s="1"/>
  <c r="AK104" i="44"/>
  <c r="AI105" i="44"/>
  <c r="R184" i="44"/>
  <c r="AC184" i="44"/>
  <c r="Y103" i="44"/>
  <c r="Z104" i="44"/>
  <c r="AB104" i="44" s="1"/>
  <c r="F51" i="44"/>
  <c r="E52" i="44"/>
  <c r="H103" i="44"/>
  <c r="G104" i="44"/>
  <c r="AC54" i="44"/>
  <c r="R54" i="44"/>
  <c r="AO54" i="44"/>
  <c r="X54" i="44"/>
  <c r="Y150" i="44"/>
  <c r="Y149" i="44"/>
  <c r="X176" i="44"/>
  <c r="R176" i="44"/>
  <c r="AC176" i="44"/>
  <c r="AL201" i="44"/>
  <c r="AN201" i="44" s="1"/>
  <c r="AI201" i="44"/>
  <c r="AK151" i="44"/>
  <c r="AD103" i="44"/>
  <c r="AO111" i="44"/>
  <c r="AL111" i="44"/>
  <c r="AN111" i="44" s="1"/>
  <c r="AI111" i="44"/>
  <c r="AK51" i="44"/>
  <c r="AI52" i="44"/>
  <c r="AO146" i="44"/>
  <c r="AL146" i="44"/>
  <c r="AN146" i="44" s="1"/>
  <c r="AI146" i="44"/>
  <c r="R233" i="44"/>
  <c r="AC233" i="44"/>
  <c r="AO135" i="44"/>
  <c r="AL135" i="44"/>
  <c r="AN135" i="44" s="1"/>
  <c r="AK134" i="44"/>
  <c r="AI135" i="44"/>
  <c r="R124" i="44"/>
  <c r="AO124" i="44"/>
  <c r="AC124" i="44"/>
  <c r="X124" i="44"/>
  <c r="X233" i="44"/>
  <c r="Q53" i="44"/>
  <c r="J52" i="44"/>
  <c r="AL52" i="44" s="1"/>
  <c r="AN52" i="44" s="1"/>
  <c r="U53" i="44"/>
  <c r="W53" i="44" s="1"/>
  <c r="AL53" i="44"/>
  <c r="AN53" i="44" s="1"/>
  <c r="Z53" i="44"/>
  <c r="AB53" i="44" s="1"/>
  <c r="X27" i="44"/>
  <c r="R27" i="44"/>
  <c r="AC27" i="44"/>
  <c r="X209" i="44"/>
  <c r="R209" i="44"/>
  <c r="AO209" i="44"/>
  <c r="AC209" i="44"/>
  <c r="X56" i="44"/>
  <c r="R56" i="44"/>
  <c r="AC56" i="44"/>
  <c r="AO56" i="44"/>
  <c r="R14" i="44"/>
  <c r="AC14" i="44"/>
  <c r="AO14" i="44"/>
  <c r="X14" i="44"/>
  <c r="T12" i="44"/>
  <c r="AC60" i="44"/>
  <c r="X60" i="44"/>
  <c r="R60" i="44"/>
  <c r="R142" i="44"/>
  <c r="AC142" i="44"/>
  <c r="X142" i="44"/>
  <c r="AJ151" i="44"/>
  <c r="AD7" i="44"/>
  <c r="AJ7" i="44" s="1"/>
  <c r="R225" i="44"/>
  <c r="X225" i="44"/>
  <c r="AC225" i="44"/>
  <c r="AO225" i="44"/>
  <c r="Q248" i="44"/>
  <c r="Z248" i="44"/>
  <c r="AB248" i="44" s="1"/>
  <c r="T149" i="44"/>
  <c r="T150" i="44"/>
  <c r="AL36" i="44"/>
  <c r="AN36" i="44" s="1"/>
  <c r="AI36" i="44"/>
  <c r="AO36" i="44"/>
  <c r="Q165" i="44"/>
  <c r="Z165" i="44"/>
  <c r="AB165" i="44" s="1"/>
  <c r="U165" i="44"/>
  <c r="W165" i="44" s="1"/>
  <c r="R220" i="44"/>
  <c r="AC220" i="44"/>
  <c r="X220" i="44"/>
  <c r="AJ13" i="44"/>
  <c r="AD12" i="44"/>
  <c r="Y12" i="44"/>
  <c r="X125" i="44"/>
  <c r="AO125" i="44"/>
  <c r="R125" i="44"/>
  <c r="AC125" i="44"/>
  <c r="U175" i="44"/>
  <c r="W175" i="44" s="1"/>
  <c r="Q175" i="44"/>
  <c r="AO175" i="44" s="1"/>
  <c r="AL159" i="44"/>
  <c r="AN159" i="44" s="1"/>
  <c r="AI159" i="44"/>
  <c r="AO159" i="44"/>
  <c r="AI18" i="44"/>
  <c r="AK13" i="44"/>
  <c r="AO18" i="44"/>
  <c r="AL18" i="44"/>
  <c r="AN18" i="44" s="1"/>
  <c r="U73" i="44"/>
  <c r="W73" i="44" s="1"/>
  <c r="O104" i="44"/>
  <c r="Q105" i="44"/>
  <c r="AO105" i="44" s="1"/>
  <c r="T151" i="44"/>
  <c r="J25" i="44"/>
  <c r="Q25" i="44" s="1"/>
  <c r="R25" i="44" s="1"/>
  <c r="Q26" i="44"/>
  <c r="AO26" i="44" s="1"/>
  <c r="AO212" i="44"/>
  <c r="AI212" i="44"/>
  <c r="AL212" i="44"/>
  <c r="AN212" i="44" s="1"/>
  <c r="AK211" i="44"/>
  <c r="AK150" i="44" s="1"/>
  <c r="AI232" i="44"/>
  <c r="Q13" i="44"/>
  <c r="U13" i="44"/>
  <c r="W13" i="44" s="1"/>
  <c r="Z13" i="44"/>
  <c r="AB13" i="44" s="1"/>
  <c r="R97" i="44"/>
  <c r="AC97" i="44"/>
  <c r="X97" i="44"/>
  <c r="R202" i="44"/>
  <c r="AC202" i="44"/>
  <c r="X202" i="44"/>
  <c r="R153" i="44"/>
  <c r="X153" i="44"/>
  <c r="AC153" i="44"/>
  <c r="R166" i="44"/>
  <c r="X166" i="44"/>
  <c r="AC166" i="44"/>
  <c r="X184" i="44"/>
  <c r="AC193" i="44"/>
  <c r="X193" i="44"/>
  <c r="R193" i="44"/>
  <c r="AL192" i="44"/>
  <c r="AN192" i="44" s="1"/>
  <c r="AI192" i="44"/>
  <c r="Y7" i="44"/>
  <c r="R242" i="44"/>
  <c r="X242" i="44"/>
  <c r="AC242" i="44"/>
  <c r="O73" i="44"/>
  <c r="Q74" i="44"/>
  <c r="AL175" i="44"/>
  <c r="AN175" i="44" s="1"/>
  <c r="AI175" i="44"/>
  <c r="AL26" i="44"/>
  <c r="AN26" i="44" s="1"/>
  <c r="AI26" i="44"/>
  <c r="AK25" i="44"/>
  <c r="AL183" i="44"/>
  <c r="AN183" i="44" s="1"/>
  <c r="AI183" i="44"/>
  <c r="AI165" i="44"/>
  <c r="AL165" i="44"/>
  <c r="AN165" i="44" s="1"/>
  <c r="AO165" i="44"/>
  <c r="Q201" i="44"/>
  <c r="AO201" i="44" s="1"/>
  <c r="U201" i="44"/>
  <c r="W201" i="44" s="1"/>
  <c r="Q241" i="44"/>
  <c r="AL241" i="44"/>
  <c r="AN241" i="44" s="1"/>
  <c r="U241" i="44"/>
  <c r="W241" i="44" s="1"/>
  <c r="Z241" i="44"/>
  <c r="AB241" i="44" s="1"/>
  <c r="R75" i="44"/>
  <c r="X75" i="44"/>
  <c r="AC75" i="44"/>
  <c r="AO75" i="44"/>
  <c r="J232" i="44"/>
  <c r="U232" i="44" s="1"/>
  <c r="W232" i="44" s="1"/>
  <c r="AQ103" i="44"/>
  <c r="AS103" i="44" s="1"/>
  <c r="J10" i="44"/>
  <c r="AU103" i="44"/>
  <c r="AW103" i="44" s="1"/>
  <c r="Z134" i="44"/>
  <c r="AB134" i="44" s="1"/>
  <c r="AO184" i="44"/>
  <c r="AL184" i="44"/>
  <c r="AN184" i="44" s="1"/>
  <c r="AI184" i="44"/>
  <c r="R83" i="44"/>
  <c r="AO83" i="44"/>
  <c r="AC83" i="44"/>
  <c r="X83" i="44"/>
  <c r="AI219" i="44"/>
  <c r="AL219" i="44"/>
  <c r="AN219" i="44" s="1"/>
  <c r="Q140" i="44"/>
  <c r="O134" i="44"/>
  <c r="Q134" i="44" s="1"/>
  <c r="R134" i="44" s="1"/>
  <c r="R235" i="44"/>
  <c r="AC235" i="44"/>
  <c r="X235" i="44"/>
  <c r="U134" i="44"/>
  <c r="W134" i="44" s="1"/>
  <c r="T103" i="44"/>
  <c r="J152" i="44"/>
  <c r="AJ152" i="44"/>
  <c r="AD150" i="44"/>
  <c r="AJ150" i="44" s="1"/>
  <c r="AD149" i="44"/>
  <c r="U183" i="44"/>
  <c r="W183" i="44" s="1"/>
  <c r="Q192" i="44"/>
  <c r="Z192" i="44"/>
  <c r="AB192" i="44" s="1"/>
  <c r="U192" i="44"/>
  <c r="W192" i="44" s="1"/>
  <c r="Q219" i="44"/>
  <c r="AO219" i="44" s="1"/>
  <c r="J211" i="44"/>
  <c r="U219" i="44"/>
  <c r="W219" i="44" s="1"/>
  <c r="Z219" i="44"/>
  <c r="AB219" i="44" s="1"/>
  <c r="AO176" i="44"/>
  <c r="H151" i="44"/>
  <c r="H7" i="44" s="1"/>
  <c r="AL73" i="44" l="1"/>
  <c r="AN73" i="44" s="1"/>
  <c r="AL152" i="44"/>
  <c r="AN152" i="44" s="1"/>
  <c r="J151" i="44"/>
  <c r="AQ151" i="44" s="1"/>
  <c r="AS151" i="44" s="1"/>
  <c r="X134" i="44"/>
  <c r="AL91" i="44"/>
  <c r="AN91" i="44" s="1"/>
  <c r="J82" i="44"/>
  <c r="Z91" i="44"/>
  <c r="AB91" i="44" s="1"/>
  <c r="AC134" i="44"/>
  <c r="X183" i="44"/>
  <c r="R91" i="44"/>
  <c r="X91" i="44"/>
  <c r="AO91" i="44"/>
  <c r="AC91" i="44"/>
  <c r="Z25" i="44"/>
  <c r="AB25" i="44" s="1"/>
  <c r="U25" i="44"/>
  <c r="W25" i="44" s="1"/>
  <c r="AI150" i="44"/>
  <c r="R192" i="44"/>
  <c r="AC192" i="44"/>
  <c r="X192" i="44"/>
  <c r="AI13" i="44"/>
  <c r="AK12" i="44"/>
  <c r="AL13" i="44"/>
  <c r="AN13" i="44" s="1"/>
  <c r="AO13" i="44"/>
  <c r="AJ149" i="44"/>
  <c r="AD11" i="44"/>
  <c r="AJ11" i="44" s="1"/>
  <c r="U103" i="44"/>
  <c r="W103" i="44" s="1"/>
  <c r="T10" i="44"/>
  <c r="T6" i="44"/>
  <c r="AQ10" i="44"/>
  <c r="AS10" i="44" s="1"/>
  <c r="AU10" i="44"/>
  <c r="AW10" i="44" s="1"/>
  <c r="AO25" i="44"/>
  <c r="AL25" i="44"/>
  <c r="AN25" i="44" s="1"/>
  <c r="AI25" i="44"/>
  <c r="O12" i="44"/>
  <c r="Q73" i="44"/>
  <c r="AL232" i="44"/>
  <c r="AN232" i="44" s="1"/>
  <c r="T7" i="44"/>
  <c r="O103" i="44"/>
  <c r="Q104" i="44"/>
  <c r="AO104" i="44" s="1"/>
  <c r="Y9" i="44"/>
  <c r="Y5" i="44"/>
  <c r="U152" i="44"/>
  <c r="W152" i="44" s="1"/>
  <c r="X25" i="44"/>
  <c r="J51" i="44"/>
  <c r="Q52" i="44"/>
  <c r="Z52" i="44"/>
  <c r="AB52" i="44" s="1"/>
  <c r="U52" i="44"/>
  <c r="W52" i="44" s="1"/>
  <c r="AL51" i="44"/>
  <c r="AN51" i="44" s="1"/>
  <c r="AI51" i="44"/>
  <c r="Y11" i="44"/>
  <c r="Q211" i="44"/>
  <c r="AO211" i="44" s="1"/>
  <c r="Z211" i="44"/>
  <c r="AB211" i="44" s="1"/>
  <c r="U211" i="44"/>
  <c r="W211" i="44" s="1"/>
  <c r="AO192" i="44"/>
  <c r="R53" i="44"/>
  <c r="AO53" i="44"/>
  <c r="AC53" i="44"/>
  <c r="X53" i="44"/>
  <c r="AJ103" i="44"/>
  <c r="AD10" i="44"/>
  <c r="AJ10" i="44" s="1"/>
  <c r="AD6" i="44"/>
  <c r="Z152" i="44"/>
  <c r="AB152" i="44" s="1"/>
  <c r="G103" i="44"/>
  <c r="H10" i="44"/>
  <c r="H6" i="44"/>
  <c r="H3" i="44" s="1"/>
  <c r="Z103" i="44"/>
  <c r="AB103" i="44" s="1"/>
  <c r="Y10" i="44"/>
  <c r="Y6" i="44"/>
  <c r="R219" i="44"/>
  <c r="X219" i="44"/>
  <c r="AC219" i="44"/>
  <c r="R201" i="44"/>
  <c r="X201" i="44"/>
  <c r="AC201" i="44"/>
  <c r="AL211" i="44"/>
  <c r="AN211" i="44" s="1"/>
  <c r="AI211" i="44"/>
  <c r="R26" i="44"/>
  <c r="X26" i="44"/>
  <c r="AC26" i="44"/>
  <c r="R175" i="44"/>
  <c r="X175" i="44"/>
  <c r="AC175" i="44"/>
  <c r="AC25" i="44"/>
  <c r="AC165" i="44"/>
  <c r="R165" i="44"/>
  <c r="X165" i="44"/>
  <c r="R248" i="44"/>
  <c r="AC248" i="44"/>
  <c r="AO248" i="44"/>
  <c r="X248" i="44"/>
  <c r="AO134" i="44"/>
  <c r="AI134" i="44"/>
  <c r="AL134" i="44"/>
  <c r="AN134" i="44" s="1"/>
  <c r="AI151" i="44"/>
  <c r="AK7" i="44"/>
  <c r="AI104" i="44"/>
  <c r="AK103" i="44"/>
  <c r="AL104" i="44"/>
  <c r="AN104" i="44" s="1"/>
  <c r="R13" i="44"/>
  <c r="X13" i="44"/>
  <c r="AC13" i="44"/>
  <c r="Q152" i="44"/>
  <c r="J150" i="44"/>
  <c r="U150" i="44" s="1"/>
  <c r="W150" i="44" s="1"/>
  <c r="J149" i="44"/>
  <c r="Z149" i="44" s="1"/>
  <c r="AB149" i="44" s="1"/>
  <c r="R140" i="44"/>
  <c r="AO140" i="44"/>
  <c r="X140" i="44"/>
  <c r="AC140" i="44"/>
  <c r="Q232" i="44"/>
  <c r="Z232" i="44"/>
  <c r="AB232" i="44" s="1"/>
  <c r="R241" i="44"/>
  <c r="AC241" i="44"/>
  <c r="AO241" i="44"/>
  <c r="X241" i="44"/>
  <c r="AC74" i="44"/>
  <c r="R74" i="44"/>
  <c r="AO74" i="44"/>
  <c r="X74" i="44"/>
  <c r="R105" i="44"/>
  <c r="AC105" i="44"/>
  <c r="X105" i="44"/>
  <c r="AD9" i="44"/>
  <c r="AJ9" i="44" s="1"/>
  <c r="AD5" i="44"/>
  <c r="AJ5" i="44" s="1"/>
  <c r="AJ12" i="44"/>
  <c r="T11" i="44"/>
  <c r="T9" i="44"/>
  <c r="T5" i="44"/>
  <c r="E51" i="44"/>
  <c r="F12" i="44"/>
  <c r="AK149" i="44"/>
  <c r="R183" i="44"/>
  <c r="AC183" i="44"/>
  <c r="J7" i="44" l="1"/>
  <c r="Z7" i="44" s="1"/>
  <c r="AB7" i="44" s="1"/>
  <c r="AL151" i="44"/>
  <c r="AN151" i="44" s="1"/>
  <c r="AU151" i="44"/>
  <c r="AW151" i="44" s="1"/>
  <c r="J12" i="44"/>
  <c r="U12" i="44" s="1"/>
  <c r="W12" i="44" s="1"/>
  <c r="U151" i="44"/>
  <c r="W151" i="44" s="1"/>
  <c r="Q151" i="44"/>
  <c r="X151" i="44" s="1"/>
  <c r="AO151" i="44"/>
  <c r="Q82" i="44"/>
  <c r="Z82" i="44"/>
  <c r="AB82" i="44" s="1"/>
  <c r="AL82" i="44"/>
  <c r="AN82" i="44" s="1"/>
  <c r="U82" i="44"/>
  <c r="W82" i="44" s="1"/>
  <c r="Z151" i="44"/>
  <c r="AB151" i="44" s="1"/>
  <c r="AL149" i="44"/>
  <c r="AN149" i="44" s="1"/>
  <c r="AI149" i="44"/>
  <c r="U149" i="44"/>
  <c r="W149" i="44" s="1"/>
  <c r="R152" i="44"/>
  <c r="AC152" i="44"/>
  <c r="X152" i="44"/>
  <c r="AO152" i="44"/>
  <c r="Z150" i="44"/>
  <c r="AB150" i="44" s="1"/>
  <c r="Q51" i="44"/>
  <c r="U51" i="44"/>
  <c r="W51" i="44" s="1"/>
  <c r="Z51" i="44"/>
  <c r="AB51" i="44" s="1"/>
  <c r="O10" i="44"/>
  <c r="Q10" i="44" s="1"/>
  <c r="R10" i="44" s="1"/>
  <c r="O6" i="44"/>
  <c r="Q103" i="44"/>
  <c r="AO103" i="44" s="1"/>
  <c r="O9" i="44"/>
  <c r="O5" i="44"/>
  <c r="U10" i="44"/>
  <c r="W10" i="44" s="1"/>
  <c r="AL150" i="44"/>
  <c r="AN150" i="44" s="1"/>
  <c r="AI12" i="44"/>
  <c r="AK9" i="44"/>
  <c r="AK5" i="44"/>
  <c r="AL12" i="44"/>
  <c r="AN12" i="44" s="1"/>
  <c r="F9" i="44"/>
  <c r="F5" i="44"/>
  <c r="F3" i="44" s="1"/>
  <c r="R232" i="44"/>
  <c r="AC232" i="44"/>
  <c r="X232" i="44"/>
  <c r="AO232" i="44"/>
  <c r="AI103" i="44"/>
  <c r="AL103" i="44"/>
  <c r="AN103" i="44" s="1"/>
  <c r="AK10" i="44"/>
  <c r="AK6" i="44"/>
  <c r="U7" i="44"/>
  <c r="W7" i="44" s="1"/>
  <c r="Q7" i="44"/>
  <c r="X7" i="44" s="1"/>
  <c r="AQ7" i="44"/>
  <c r="AS7" i="44" s="1"/>
  <c r="AU7" i="44"/>
  <c r="AW7" i="44" s="1"/>
  <c r="AQ150" i="44"/>
  <c r="AS150" i="44" s="1"/>
  <c r="Q150" i="44"/>
  <c r="AU150" i="44"/>
  <c r="AW150" i="44" s="1"/>
  <c r="J6" i="44"/>
  <c r="U6" i="44" s="1"/>
  <c r="W6" i="44" s="1"/>
  <c r="Z10" i="44"/>
  <c r="AB10" i="44" s="1"/>
  <c r="R52" i="44"/>
  <c r="X52" i="44"/>
  <c r="AC52" i="44"/>
  <c r="AO52" i="44"/>
  <c r="R104" i="44"/>
  <c r="X104" i="44"/>
  <c r="AC104" i="44"/>
  <c r="AC73" i="44"/>
  <c r="R73" i="44"/>
  <c r="AO73" i="44"/>
  <c r="X73" i="44"/>
  <c r="T3" i="44"/>
  <c r="AQ149" i="44"/>
  <c r="AS149" i="44" s="1"/>
  <c r="Q149" i="44"/>
  <c r="J11" i="44"/>
  <c r="AU149" i="44"/>
  <c r="AW149" i="44" s="1"/>
  <c r="AO7" i="44"/>
  <c r="AI7" i="44"/>
  <c r="AL7" i="44"/>
  <c r="AN7" i="44" s="1"/>
  <c r="AU12" i="44"/>
  <c r="AW12" i="44" s="1"/>
  <c r="AQ12" i="44"/>
  <c r="AS12" i="44" s="1"/>
  <c r="J9" i="44"/>
  <c r="Z9" i="44" s="1"/>
  <c r="AB9" i="44" s="1"/>
  <c r="J5" i="44"/>
  <c r="Q12" i="44"/>
  <c r="AO12" i="44" s="1"/>
  <c r="Y3" i="44"/>
  <c r="Z6" i="44"/>
  <c r="AB6" i="44" s="1"/>
  <c r="AJ6" i="44"/>
  <c r="AD3" i="44"/>
  <c r="AJ3" i="44" s="1"/>
  <c r="R211" i="44"/>
  <c r="AC211" i="44"/>
  <c r="X211" i="44"/>
  <c r="Z12" i="44"/>
  <c r="AB12" i="44" s="1"/>
  <c r="R151" i="44"/>
  <c r="AC151" i="44"/>
  <c r="R82" i="44" l="1"/>
  <c r="AO82" i="44"/>
  <c r="AC82" i="44"/>
  <c r="X82" i="44"/>
  <c r="X10" i="44"/>
  <c r="AC10" i="44"/>
  <c r="O3" i="44"/>
  <c r="AQ5" i="44"/>
  <c r="AS5" i="44" s="1"/>
  <c r="Q5" i="44"/>
  <c r="AU5" i="44"/>
  <c r="AW5" i="44" s="1"/>
  <c r="AL11" i="44"/>
  <c r="AN11" i="44" s="1"/>
  <c r="Q11" i="44"/>
  <c r="AQ11" i="44"/>
  <c r="AS11" i="44" s="1"/>
  <c r="AU11" i="44"/>
  <c r="AW11" i="44" s="1"/>
  <c r="AI9" i="44"/>
  <c r="AL9" i="44"/>
  <c r="AN9" i="44" s="1"/>
  <c r="R51" i="44"/>
  <c r="X51" i="44"/>
  <c r="AC51" i="44"/>
  <c r="AO51" i="44"/>
  <c r="Z5" i="44"/>
  <c r="AB5" i="44" s="1"/>
  <c r="Q9" i="44"/>
  <c r="AO9" i="44" s="1"/>
  <c r="AQ9" i="44"/>
  <c r="AS9" i="44" s="1"/>
  <c r="AU9" i="44"/>
  <c r="AW9" i="44" s="1"/>
  <c r="R149" i="44"/>
  <c r="AC149" i="44"/>
  <c r="X149" i="44"/>
  <c r="AK3" i="44"/>
  <c r="AL6" i="44"/>
  <c r="AN6" i="44" s="1"/>
  <c r="AI6" i="44"/>
  <c r="AO149" i="44"/>
  <c r="R150" i="44"/>
  <c r="AO150" i="44"/>
  <c r="X150" i="44"/>
  <c r="AC150" i="44"/>
  <c r="R103" i="44"/>
  <c r="X103" i="44"/>
  <c r="AC103" i="44"/>
  <c r="R12" i="44"/>
  <c r="AC12" i="44"/>
  <c r="X12" i="44"/>
  <c r="J3" i="44"/>
  <c r="Z3" i="44" s="1"/>
  <c r="AB3" i="44" s="1"/>
  <c r="Q6" i="44"/>
  <c r="AQ6" i="44"/>
  <c r="AS6" i="44" s="1"/>
  <c r="AU6" i="44"/>
  <c r="AW6" i="44" s="1"/>
  <c r="U5" i="44"/>
  <c r="W5" i="44" s="1"/>
  <c r="R7" i="44"/>
  <c r="AC7" i="44"/>
  <c r="AI10" i="44"/>
  <c r="AL10" i="44"/>
  <c r="AN10" i="44" s="1"/>
  <c r="AO10" i="44"/>
  <c r="AO5" i="44"/>
  <c r="AI5" i="44"/>
  <c r="AL5" i="44"/>
  <c r="AN5" i="44" s="1"/>
  <c r="Z11" i="44"/>
  <c r="AB11" i="44" s="1"/>
  <c r="U9" i="44"/>
  <c r="W9" i="44" s="1"/>
  <c r="U11" i="44"/>
  <c r="W11" i="44" s="1"/>
  <c r="R6" i="44" l="1"/>
  <c r="X6" i="44"/>
  <c r="AC6" i="44"/>
  <c r="AO6" i="44"/>
  <c r="R9" i="44"/>
  <c r="AC9" i="44"/>
  <c r="X9" i="44"/>
  <c r="R5" i="44"/>
  <c r="AC5" i="44"/>
  <c r="X5" i="44"/>
  <c r="AL3" i="44"/>
  <c r="AN3" i="44" s="1"/>
  <c r="AI3" i="44"/>
  <c r="AQ3" i="44"/>
  <c r="AS3" i="44" s="1"/>
  <c r="Q3" i="44"/>
  <c r="AO3" i="44" s="1"/>
  <c r="AU3" i="44"/>
  <c r="AW3" i="44" s="1"/>
  <c r="U3" i="44"/>
  <c r="W3" i="44" s="1"/>
  <c r="AO11" i="44"/>
  <c r="R11" i="44"/>
  <c r="X11" i="44"/>
  <c r="AC11" i="44"/>
  <c r="R3" i="44" l="1"/>
  <c r="AC3" i="44"/>
  <c r="X3" i="44"/>
  <c r="J45" i="40" l="1"/>
  <c r="C3" i="39" s="1"/>
  <c r="O45" i="43"/>
  <c r="O42" i="43"/>
  <c r="O37" i="43"/>
  <c r="O30" i="43"/>
  <c r="O27" i="43"/>
  <c r="O14" i="43"/>
  <c r="I50" i="40"/>
  <c r="I51" i="40"/>
  <c r="I52" i="40"/>
  <c r="M52" i="40" s="1"/>
  <c r="N52" i="40" s="1"/>
  <c r="I53" i="40"/>
  <c r="I54" i="40"/>
  <c r="I55" i="40"/>
  <c r="I56" i="40"/>
  <c r="I49" i="40"/>
  <c r="I47" i="40"/>
  <c r="H47" i="40" s="1"/>
  <c r="I46" i="40"/>
  <c r="H46" i="40" s="1"/>
  <c r="I42" i="40"/>
  <c r="I43" i="40"/>
  <c r="H43" i="40" s="1"/>
  <c r="I44" i="40"/>
  <c r="H44" i="40" s="1"/>
  <c r="I41" i="40"/>
  <c r="H41" i="40" s="1"/>
  <c r="I35" i="40"/>
  <c r="I36" i="40"/>
  <c r="I37" i="40"/>
  <c r="H37" i="40" s="1"/>
  <c r="I38" i="40"/>
  <c r="I39" i="40"/>
  <c r="H39" i="40" s="1"/>
  <c r="H33" i="40" s="1"/>
  <c r="I34" i="40"/>
  <c r="I32" i="40"/>
  <c r="I31" i="40"/>
  <c r="I25" i="40"/>
  <c r="H25" i="40" s="1"/>
  <c r="I26" i="40"/>
  <c r="I27" i="40"/>
  <c r="I28" i="40"/>
  <c r="I29" i="40"/>
  <c r="M29" i="40" s="1"/>
  <c r="N29" i="40" s="1"/>
  <c r="I19" i="40"/>
  <c r="I20" i="40"/>
  <c r="H20" i="40" s="1"/>
  <c r="I22" i="40"/>
  <c r="I18" i="40"/>
  <c r="M18" i="40" s="1"/>
  <c r="N18" i="40" s="1"/>
  <c r="U54" i="43"/>
  <c r="L54" i="43"/>
  <c r="M54" i="43" s="1"/>
  <c r="L53" i="43"/>
  <c r="M53" i="43" s="1"/>
  <c r="S52" i="43"/>
  <c r="U52" i="43" s="1"/>
  <c r="U50" i="43"/>
  <c r="U49" i="43"/>
  <c r="U48" i="43"/>
  <c r="U47" i="43"/>
  <c r="U46" i="43"/>
  <c r="T45" i="43"/>
  <c r="R45" i="43"/>
  <c r="Q45" i="43"/>
  <c r="M45" i="43"/>
  <c r="K45" i="43"/>
  <c r="J45" i="43"/>
  <c r="I45" i="43"/>
  <c r="H45" i="43"/>
  <c r="G45" i="43"/>
  <c r="F45" i="43"/>
  <c r="E45" i="43"/>
  <c r="U44" i="43"/>
  <c r="L44" i="43"/>
  <c r="M44" i="43" s="1"/>
  <c r="U43" i="43"/>
  <c r="L43" i="43"/>
  <c r="M43" i="43" s="1"/>
  <c r="T42" i="43"/>
  <c r="S42" i="43"/>
  <c r="R42" i="43"/>
  <c r="Q42" i="43"/>
  <c r="P42" i="43"/>
  <c r="K42" i="43"/>
  <c r="J42" i="43"/>
  <c r="I42" i="43"/>
  <c r="H42" i="43"/>
  <c r="G42" i="43"/>
  <c r="F42" i="43"/>
  <c r="N42" i="43" s="1"/>
  <c r="E42" i="43"/>
  <c r="U40" i="43"/>
  <c r="L40" i="43"/>
  <c r="M40" i="43" s="1"/>
  <c r="U39" i="43"/>
  <c r="L39" i="43"/>
  <c r="U38" i="43"/>
  <c r="L38" i="43"/>
  <c r="M38" i="43" s="1"/>
  <c r="T37" i="43"/>
  <c r="S37" i="43"/>
  <c r="R37" i="43"/>
  <c r="Q37" i="43"/>
  <c r="P37" i="43"/>
  <c r="K37" i="43"/>
  <c r="J37" i="43"/>
  <c r="I37" i="43"/>
  <c r="H37" i="43"/>
  <c r="G37" i="43"/>
  <c r="E37" i="43"/>
  <c r="U36" i="43"/>
  <c r="L36" i="43"/>
  <c r="U35" i="43"/>
  <c r="L35" i="43"/>
  <c r="M35" i="43" s="1"/>
  <c r="U34" i="43"/>
  <c r="L34" i="43"/>
  <c r="M34" i="43" s="1"/>
  <c r="U33" i="43"/>
  <c r="L33" i="43"/>
  <c r="M33" i="43" s="1"/>
  <c r="U32" i="43"/>
  <c r="L32" i="43"/>
  <c r="U31" i="43"/>
  <c r="L31" i="43"/>
  <c r="T30" i="43"/>
  <c r="S30" i="43"/>
  <c r="R30" i="43"/>
  <c r="Q30" i="43"/>
  <c r="P30" i="43"/>
  <c r="N30" i="43"/>
  <c r="K30" i="43"/>
  <c r="J30" i="43"/>
  <c r="I30" i="43"/>
  <c r="H30" i="43"/>
  <c r="G30" i="43"/>
  <c r="E30" i="43"/>
  <c r="U29" i="43"/>
  <c r="L29" i="43"/>
  <c r="M29" i="43" s="1"/>
  <c r="U28" i="43"/>
  <c r="L28" i="43"/>
  <c r="M28" i="43" s="1"/>
  <c r="T27" i="43"/>
  <c r="S27" i="43"/>
  <c r="R27" i="43"/>
  <c r="Q27" i="43"/>
  <c r="P27" i="43"/>
  <c r="K27" i="43"/>
  <c r="J27" i="43"/>
  <c r="I27" i="43"/>
  <c r="H27" i="43"/>
  <c r="G27" i="43"/>
  <c r="F27" i="43"/>
  <c r="N27" i="43" s="1"/>
  <c r="E27" i="43"/>
  <c r="U26" i="43"/>
  <c r="L26" i="43"/>
  <c r="U25" i="43"/>
  <c r="L25" i="43"/>
  <c r="L24" i="43"/>
  <c r="U23" i="43"/>
  <c r="L23" i="43"/>
  <c r="U22" i="43"/>
  <c r="L22" i="43"/>
  <c r="O21" i="43"/>
  <c r="O20" i="43" s="1"/>
  <c r="L21" i="43"/>
  <c r="M21" i="43" s="1"/>
  <c r="M20" i="43" s="1"/>
  <c r="N20" i="43" s="1"/>
  <c r="T20" i="43"/>
  <c r="S20" i="43"/>
  <c r="R20" i="43"/>
  <c r="Q20" i="43"/>
  <c r="P20" i="43"/>
  <c r="K20" i="43"/>
  <c r="J20" i="43"/>
  <c r="I20" i="43"/>
  <c r="H20" i="43"/>
  <c r="E20" i="43"/>
  <c r="U19" i="43"/>
  <c r="R19" i="43"/>
  <c r="Q19" i="43"/>
  <c r="P19" i="43"/>
  <c r="P8" i="43" s="1"/>
  <c r="L19" i="43"/>
  <c r="U18" i="43"/>
  <c r="Q18" i="43"/>
  <c r="Q12" i="43" s="1"/>
  <c r="L18" i="43"/>
  <c r="M18" i="43" s="1"/>
  <c r="M14" i="43" s="1"/>
  <c r="U17" i="43"/>
  <c r="R17" i="43"/>
  <c r="R12" i="43" s="1"/>
  <c r="L17" i="43"/>
  <c r="U16" i="43"/>
  <c r="L16" i="43"/>
  <c r="U15" i="43"/>
  <c r="P15" i="43"/>
  <c r="P7" i="43" s="1"/>
  <c r="P11" i="43" s="1"/>
  <c r="L15" i="43"/>
  <c r="T14" i="43"/>
  <c r="S14" i="43"/>
  <c r="K14" i="43"/>
  <c r="J14" i="43"/>
  <c r="I14" i="43"/>
  <c r="H14" i="43"/>
  <c r="F14" i="43"/>
  <c r="E14" i="43"/>
  <c r="T12" i="43"/>
  <c r="S12" i="43"/>
  <c r="P12" i="43"/>
  <c r="O12" i="43"/>
  <c r="K12" i="43"/>
  <c r="J12" i="43"/>
  <c r="I12" i="43"/>
  <c r="H12" i="43"/>
  <c r="G12" i="43"/>
  <c r="F12" i="43"/>
  <c r="E12" i="43"/>
  <c r="T11" i="43"/>
  <c r="S11" i="43"/>
  <c r="K11" i="43"/>
  <c r="J11" i="43"/>
  <c r="I11" i="43"/>
  <c r="H11" i="43"/>
  <c r="G11" i="43"/>
  <c r="F11" i="43"/>
  <c r="E11" i="43"/>
  <c r="T9" i="43"/>
  <c r="R9" i="43"/>
  <c r="Q9" i="43"/>
  <c r="P9" i="43"/>
  <c r="O9" i="43"/>
  <c r="K9" i="43"/>
  <c r="J9" i="43"/>
  <c r="I9" i="43"/>
  <c r="H9" i="43"/>
  <c r="G9" i="43"/>
  <c r="F9" i="43"/>
  <c r="E9" i="43"/>
  <c r="T8" i="43"/>
  <c r="S8" i="43"/>
  <c r="O8" i="43"/>
  <c r="K8" i="43"/>
  <c r="J8" i="43"/>
  <c r="I8" i="43"/>
  <c r="H8" i="43"/>
  <c r="G8" i="43"/>
  <c r="F8" i="43"/>
  <c r="E8" i="43"/>
  <c r="T7" i="43"/>
  <c r="S7" i="43"/>
  <c r="K7" i="43"/>
  <c r="J7" i="43"/>
  <c r="I7" i="43"/>
  <c r="H7" i="43"/>
  <c r="G7" i="43"/>
  <c r="F7" i="43"/>
  <c r="E7" i="43"/>
  <c r="F33" i="40" l="1"/>
  <c r="B27" i="39"/>
  <c r="H42" i="40"/>
  <c r="H45" i="40"/>
  <c r="I24" i="40"/>
  <c r="I23" i="40" s="1"/>
  <c r="U21" i="43"/>
  <c r="U20" i="43" s="1"/>
  <c r="I5" i="43"/>
  <c r="U37" i="43"/>
  <c r="M35" i="40"/>
  <c r="N35" i="40" s="1"/>
  <c r="H35" i="40"/>
  <c r="M36" i="40"/>
  <c r="N36" i="40" s="1"/>
  <c r="H36" i="40"/>
  <c r="M20" i="40"/>
  <c r="N20" i="40" s="1"/>
  <c r="M38" i="40"/>
  <c r="N38" i="40" s="1"/>
  <c r="H38" i="40"/>
  <c r="H40" i="40"/>
  <c r="B24" i="39" s="1"/>
  <c r="M34" i="40"/>
  <c r="N34" i="40" s="1"/>
  <c r="H34" i="40"/>
  <c r="M37" i="40"/>
  <c r="N37" i="40" s="1"/>
  <c r="M39" i="40"/>
  <c r="N39" i="40" s="1"/>
  <c r="M25" i="40"/>
  <c r="N25" i="40" s="1"/>
  <c r="M46" i="40"/>
  <c r="N46" i="40" s="1"/>
  <c r="M47" i="40"/>
  <c r="N47" i="40" s="1"/>
  <c r="I45" i="40"/>
  <c r="X14" i="43"/>
  <c r="I48" i="40"/>
  <c r="G5" i="43"/>
  <c r="G13" i="43" s="1"/>
  <c r="Q8" i="43"/>
  <c r="T5" i="43"/>
  <c r="T13" i="43" s="1"/>
  <c r="L14" i="43"/>
  <c r="H5" i="43"/>
  <c r="H13" i="43" s="1"/>
  <c r="L12" i="43"/>
  <c r="M37" i="43"/>
  <c r="M5" i="43" s="1"/>
  <c r="L45" i="43"/>
  <c r="I13" i="43"/>
  <c r="E5" i="43"/>
  <c r="E13" i="43" s="1"/>
  <c r="U12" i="43"/>
  <c r="L20" i="43"/>
  <c r="U9" i="43"/>
  <c r="I30" i="40"/>
  <c r="I40" i="40"/>
  <c r="I33" i="40"/>
  <c r="I17" i="40"/>
  <c r="I12" i="40"/>
  <c r="I11" i="40"/>
  <c r="I15" i="40"/>
  <c r="I10" i="40"/>
  <c r="L8" i="43"/>
  <c r="L9" i="43"/>
  <c r="J5" i="43"/>
  <c r="J13" i="43" s="1"/>
  <c r="L30" i="43"/>
  <c r="L7" i="43"/>
  <c r="S9" i="43"/>
  <c r="N14" i="43"/>
  <c r="K5" i="43"/>
  <c r="K13" i="43" s="1"/>
  <c r="R8" i="43"/>
  <c r="L27" i="43"/>
  <c r="U30" i="43"/>
  <c r="L37" i="43"/>
  <c r="L42" i="43"/>
  <c r="U45" i="43"/>
  <c r="U27" i="43"/>
  <c r="U42" i="43"/>
  <c r="S45" i="43"/>
  <c r="S5" i="43" s="1"/>
  <c r="S13" i="43" s="1"/>
  <c r="U14" i="43"/>
  <c r="N45" i="43"/>
  <c r="I14" i="40"/>
  <c r="O5" i="43"/>
  <c r="F5" i="43"/>
  <c r="F13" i="43" s="1"/>
  <c r="O7" i="43"/>
  <c r="O11" i="43" s="1"/>
  <c r="L11" i="43"/>
  <c r="P14" i="43"/>
  <c r="P5" i="43" s="1"/>
  <c r="P13" i="43" s="1"/>
  <c r="Q15" i="43"/>
  <c r="U8" i="43"/>
  <c r="U7" i="43" l="1"/>
  <c r="U11" i="43"/>
  <c r="F45" i="40"/>
  <c r="B28" i="39"/>
  <c r="N37" i="43"/>
  <c r="L5" i="43"/>
  <c r="N33" i="40"/>
  <c r="F40" i="40"/>
  <c r="M33" i="40"/>
  <c r="N45" i="40"/>
  <c r="M45" i="40"/>
  <c r="N5" i="43"/>
  <c r="U5" i="43"/>
  <c r="L13" i="43"/>
  <c r="I8" i="40"/>
  <c r="I16" i="40" s="1"/>
  <c r="Q7" i="43"/>
  <c r="Q11" i="43" s="1"/>
  <c r="R15" i="43"/>
  <c r="Q14" i="43"/>
  <c r="Q5" i="43" s="1"/>
  <c r="O13" i="43"/>
  <c r="U13" i="43" l="1"/>
  <c r="Q13" i="43"/>
  <c r="R14" i="43"/>
  <c r="R5" i="43" s="1"/>
  <c r="R7" i="43"/>
  <c r="R11" i="43" s="1"/>
  <c r="R13" i="43" l="1"/>
  <c r="E53" i="40" l="1"/>
  <c r="E52" i="40"/>
  <c r="O52" i="40" s="1"/>
  <c r="P52" i="40" s="1"/>
  <c r="C274" i="41"/>
  <c r="C273" i="41"/>
  <c r="C272" i="41"/>
  <c r="C271" i="41"/>
  <c r="C270" i="41"/>
  <c r="C269" i="41"/>
  <c r="C268" i="41"/>
  <c r="E60" i="41"/>
  <c r="E20" i="40"/>
  <c r="E21" i="40"/>
  <c r="O21" i="40" s="1"/>
  <c r="P21" i="40" s="1"/>
  <c r="Q21" i="40" s="1"/>
  <c r="E22" i="40"/>
  <c r="E24" i="40"/>
  <c r="E25" i="40"/>
  <c r="O25" i="40" s="1"/>
  <c r="P25" i="40" s="1"/>
  <c r="E26" i="40"/>
  <c r="E27" i="40"/>
  <c r="E28" i="40"/>
  <c r="E29" i="40"/>
  <c r="O29" i="40" s="1"/>
  <c r="P29" i="40" s="1"/>
  <c r="E31" i="40"/>
  <c r="E32" i="40"/>
  <c r="E34" i="40"/>
  <c r="O34" i="40" s="1"/>
  <c r="P34" i="40" s="1"/>
  <c r="E35" i="40"/>
  <c r="O35" i="40" s="1"/>
  <c r="P35" i="40" s="1"/>
  <c r="E36" i="40"/>
  <c r="O36" i="40" s="1"/>
  <c r="P36" i="40" s="1"/>
  <c r="E37" i="40"/>
  <c r="O37" i="40" s="1"/>
  <c r="P37" i="40" s="1"/>
  <c r="E38" i="40"/>
  <c r="O38" i="40" s="1"/>
  <c r="P38" i="40" s="1"/>
  <c r="E39" i="40"/>
  <c r="O39" i="40" s="1"/>
  <c r="P39" i="40" s="1"/>
  <c r="E41" i="40"/>
  <c r="E42" i="40"/>
  <c r="E43" i="40"/>
  <c r="E44" i="40"/>
  <c r="E46" i="40"/>
  <c r="O46" i="40" s="1"/>
  <c r="P46" i="40" s="1"/>
  <c r="E47" i="40"/>
  <c r="O47" i="40" s="1"/>
  <c r="P47" i="40" s="1"/>
  <c r="E49" i="40"/>
  <c r="E50" i="40"/>
  <c r="E51" i="40"/>
  <c r="E56" i="40"/>
  <c r="E54" i="40"/>
  <c r="E55" i="40"/>
  <c r="E19" i="40"/>
  <c r="E18" i="40"/>
  <c r="O18" i="40" s="1"/>
  <c r="P18" i="40" s="1"/>
  <c r="O20" i="40" l="1"/>
  <c r="P20" i="40" s="1"/>
  <c r="Q17" i="40"/>
  <c r="P45" i="40"/>
  <c r="P33" i="40"/>
  <c r="O45" i="40"/>
  <c r="O33" i="40"/>
  <c r="O17" i="40"/>
  <c r="E12" i="40"/>
  <c r="E48" i="40"/>
  <c r="B15" i="39" s="1"/>
  <c r="E45" i="40"/>
  <c r="B3" i="39" s="1"/>
  <c r="E33" i="40"/>
  <c r="B7" i="39" s="1"/>
  <c r="E23" i="40"/>
  <c r="B9" i="39" s="1"/>
  <c r="E40" i="40"/>
  <c r="B11" i="39" s="1"/>
  <c r="E30" i="40"/>
  <c r="B5" i="39" s="1"/>
  <c r="E11" i="40"/>
  <c r="E15" i="40"/>
  <c r="E10" i="40"/>
  <c r="E14" i="40"/>
  <c r="E17" i="40"/>
  <c r="B13" i="39" s="1"/>
  <c r="B17" i="39" l="1"/>
  <c r="E8" i="40"/>
  <c r="E16" i="40" s="1"/>
  <c r="AA262" i="41" l="1"/>
  <c r="AA261" i="41" s="1"/>
  <c r="AA260" i="41" s="1"/>
  <c r="Z262" i="41"/>
  <c r="AB262" i="41" s="1"/>
  <c r="U262" i="41"/>
  <c r="V262" i="41" s="1"/>
  <c r="V261" i="41" s="1"/>
  <c r="V260" i="41" s="1"/>
  <c r="Q262" i="41"/>
  <c r="M262" i="41"/>
  <c r="M261" i="41" s="1"/>
  <c r="M260" i="41" s="1"/>
  <c r="I262" i="41"/>
  <c r="I261" i="41" s="1"/>
  <c r="I260" i="41" s="1"/>
  <c r="E262" i="41"/>
  <c r="L261" i="41"/>
  <c r="L260" i="41" s="1"/>
  <c r="K261" i="41"/>
  <c r="K260" i="41" s="1"/>
  <c r="J261" i="41"/>
  <c r="J260" i="41" s="1"/>
  <c r="H261" i="41"/>
  <c r="H260" i="41" s="1"/>
  <c r="G261" i="41"/>
  <c r="G260" i="41" s="1"/>
  <c r="AA259" i="41"/>
  <c r="AA258" i="41" s="1"/>
  <c r="AA257" i="41" s="1"/>
  <c r="Z259" i="41"/>
  <c r="U259" i="41"/>
  <c r="Q259" i="41"/>
  <c r="R259" i="41" s="1"/>
  <c r="M259" i="41"/>
  <c r="M258" i="41" s="1"/>
  <c r="M257" i="41" s="1"/>
  <c r="I259" i="41"/>
  <c r="I258" i="41" s="1"/>
  <c r="I257" i="41" s="1"/>
  <c r="E259" i="41"/>
  <c r="N259" i="41" s="1"/>
  <c r="L258" i="41"/>
  <c r="L257" i="41" s="1"/>
  <c r="K258" i="41"/>
  <c r="K257" i="41" s="1"/>
  <c r="J258" i="41"/>
  <c r="J257" i="41" s="1"/>
  <c r="H258" i="41"/>
  <c r="H257" i="41" s="1"/>
  <c r="G258" i="41"/>
  <c r="G257" i="41" s="1"/>
  <c r="AA256" i="41"/>
  <c r="AA255" i="41" s="1"/>
  <c r="U256" i="41"/>
  <c r="Q256" i="41"/>
  <c r="R256" i="41" s="1"/>
  <c r="M256" i="41"/>
  <c r="M255" i="41" s="1"/>
  <c r="I256" i="41"/>
  <c r="I255" i="41" s="1"/>
  <c r="E256" i="41"/>
  <c r="L255" i="41"/>
  <c r="K255" i="41"/>
  <c r="J255" i="41"/>
  <c r="H255" i="41"/>
  <c r="G255" i="41"/>
  <c r="AA254" i="41"/>
  <c r="Z254" i="41"/>
  <c r="AB254" i="41" s="1"/>
  <c r="U254" i="41"/>
  <c r="V254" i="41" s="1"/>
  <c r="Q254" i="41"/>
  <c r="M254" i="41"/>
  <c r="I254" i="41"/>
  <c r="E254" i="41"/>
  <c r="N254" i="41" s="1"/>
  <c r="O254" i="41" s="1"/>
  <c r="AA253" i="41"/>
  <c r="U253" i="41"/>
  <c r="V253" i="41" s="1"/>
  <c r="Q253" i="41"/>
  <c r="R253" i="41" s="1"/>
  <c r="M253" i="41"/>
  <c r="I253" i="41"/>
  <c r="E253" i="41"/>
  <c r="N253" i="41" s="1"/>
  <c r="L252" i="41"/>
  <c r="K252" i="41"/>
  <c r="J252" i="41"/>
  <c r="H252" i="41"/>
  <c r="G252" i="41"/>
  <c r="Z250" i="41"/>
  <c r="AB250" i="41" s="1"/>
  <c r="U250" i="41"/>
  <c r="V250" i="41" s="1"/>
  <c r="Q250" i="41"/>
  <c r="R250" i="41" s="1"/>
  <c r="M250" i="41"/>
  <c r="I250" i="41"/>
  <c r="E250" i="41"/>
  <c r="N250" i="41" s="1"/>
  <c r="Z249" i="41"/>
  <c r="AB249" i="41" s="1"/>
  <c r="U249" i="41"/>
  <c r="V249" i="41" s="1"/>
  <c r="Q249" i="41"/>
  <c r="R249" i="41" s="1"/>
  <c r="M249" i="41"/>
  <c r="I249" i="41"/>
  <c r="E249" i="41"/>
  <c r="N249" i="41" s="1"/>
  <c r="AA248" i="41"/>
  <c r="Z248" i="41"/>
  <c r="AB248" i="41" s="1"/>
  <c r="U248" i="41"/>
  <c r="V248" i="41" s="1"/>
  <c r="Q248" i="41"/>
  <c r="R248" i="41" s="1"/>
  <c r="M248" i="41"/>
  <c r="I248" i="41"/>
  <c r="E248" i="41"/>
  <c r="N248" i="41" s="1"/>
  <c r="AA247" i="41"/>
  <c r="Z247" i="41"/>
  <c r="AB247" i="41" s="1"/>
  <c r="U247" i="41"/>
  <c r="V247" i="41" s="1"/>
  <c r="Q247" i="41"/>
  <c r="R247" i="41" s="1"/>
  <c r="M247" i="41"/>
  <c r="I247" i="41"/>
  <c r="E247" i="41"/>
  <c r="N247" i="41" s="1"/>
  <c r="AA246" i="41"/>
  <c r="Z246" i="41"/>
  <c r="AB246" i="41" s="1"/>
  <c r="U246" i="41"/>
  <c r="Q246" i="41"/>
  <c r="R246" i="41" s="1"/>
  <c r="M246" i="41"/>
  <c r="I246" i="41"/>
  <c r="E246" i="41"/>
  <c r="L245" i="41"/>
  <c r="L244" i="41" s="1"/>
  <c r="K245" i="41"/>
  <c r="K244" i="41" s="1"/>
  <c r="J245" i="41"/>
  <c r="J244" i="41" s="1"/>
  <c r="H245" i="41"/>
  <c r="H244" i="41" s="1"/>
  <c r="G245" i="41"/>
  <c r="G244" i="41" s="1"/>
  <c r="AA243" i="41"/>
  <c r="U243" i="41"/>
  <c r="V243" i="41" s="1"/>
  <c r="Q243" i="41"/>
  <c r="R243" i="41" s="1"/>
  <c r="M243" i="41"/>
  <c r="I243" i="41"/>
  <c r="E243" i="41"/>
  <c r="N243" i="41" s="1"/>
  <c r="O243" i="41" s="1"/>
  <c r="AA242" i="41"/>
  <c r="Z242" i="41"/>
  <c r="AB242" i="41" s="1"/>
  <c r="U242" i="41"/>
  <c r="V242" i="41" s="1"/>
  <c r="Q242" i="41"/>
  <c r="R242" i="41" s="1"/>
  <c r="M242" i="41"/>
  <c r="I242" i="41"/>
  <c r="E242" i="41"/>
  <c r="N242" i="41" s="1"/>
  <c r="AA241" i="41"/>
  <c r="Z241" i="41"/>
  <c r="AB241" i="41" s="1"/>
  <c r="U241" i="41"/>
  <c r="V241" i="41" s="1"/>
  <c r="Q241" i="41"/>
  <c r="R241" i="41" s="1"/>
  <c r="M241" i="41"/>
  <c r="I241" i="41"/>
  <c r="E241" i="41"/>
  <c r="N241" i="41" s="1"/>
  <c r="O241" i="41" s="1"/>
  <c r="AA240" i="41"/>
  <c r="Z240" i="41"/>
  <c r="AB240" i="41" s="1"/>
  <c r="U240" i="41"/>
  <c r="Q240" i="41"/>
  <c r="R240" i="41" s="1"/>
  <c r="M240" i="41"/>
  <c r="I240" i="41"/>
  <c r="E240" i="41"/>
  <c r="N240" i="41" s="1"/>
  <c r="AA239" i="41"/>
  <c r="Z239" i="41"/>
  <c r="AB239" i="41" s="1"/>
  <c r="U239" i="41"/>
  <c r="V239" i="41" s="1"/>
  <c r="Q239" i="41"/>
  <c r="M239" i="41"/>
  <c r="I239" i="41"/>
  <c r="E239" i="41"/>
  <c r="L238" i="41"/>
  <c r="L236" i="41" s="1"/>
  <c r="K238" i="41"/>
  <c r="K236" i="41" s="1"/>
  <c r="J238" i="41"/>
  <c r="J236" i="41" s="1"/>
  <c r="H238" i="41"/>
  <c r="H236" i="41" s="1"/>
  <c r="G238" i="41"/>
  <c r="G236" i="41" s="1"/>
  <c r="AA237" i="41"/>
  <c r="U237" i="41"/>
  <c r="Q237" i="41"/>
  <c r="R237" i="41" s="1"/>
  <c r="M237" i="41"/>
  <c r="I237" i="41"/>
  <c r="E237" i="41"/>
  <c r="AA234" i="41"/>
  <c r="Z234" i="41"/>
  <c r="AB234" i="41" s="1"/>
  <c r="U234" i="41"/>
  <c r="V234" i="41" s="1"/>
  <c r="Q234" i="41"/>
  <c r="R234" i="41" s="1"/>
  <c r="M234" i="41"/>
  <c r="I234" i="41"/>
  <c r="E234" i="41"/>
  <c r="N234" i="41" s="1"/>
  <c r="AA233" i="41"/>
  <c r="U233" i="41"/>
  <c r="Q233" i="41"/>
  <c r="R233" i="41" s="1"/>
  <c r="M233" i="41"/>
  <c r="I233" i="41"/>
  <c r="E233" i="41"/>
  <c r="N233" i="41" s="1"/>
  <c r="L232" i="41"/>
  <c r="K232" i="41"/>
  <c r="J232" i="41"/>
  <c r="H232" i="41"/>
  <c r="G232" i="41"/>
  <c r="AA231" i="41"/>
  <c r="U231" i="41"/>
  <c r="V231" i="41" s="1"/>
  <c r="Q231" i="41"/>
  <c r="R231" i="41" s="1"/>
  <c r="M231" i="41"/>
  <c r="I231" i="41"/>
  <c r="E231" i="41"/>
  <c r="N231" i="41" s="1"/>
  <c r="O231" i="41" s="1"/>
  <c r="AA230" i="41"/>
  <c r="U230" i="41"/>
  <c r="V230" i="41" s="1"/>
  <c r="Q230" i="41"/>
  <c r="R230" i="41" s="1"/>
  <c r="M230" i="41"/>
  <c r="I230" i="41"/>
  <c r="E230" i="41"/>
  <c r="N230" i="41" s="1"/>
  <c r="O230" i="41" s="1"/>
  <c r="AA229" i="41"/>
  <c r="Z229" i="41"/>
  <c r="AB229" i="41" s="1"/>
  <c r="U229" i="41"/>
  <c r="V229" i="41" s="1"/>
  <c r="Q229" i="41"/>
  <c r="R229" i="41" s="1"/>
  <c r="M229" i="41"/>
  <c r="I229" i="41"/>
  <c r="E229" i="41"/>
  <c r="N229" i="41" s="1"/>
  <c r="O229" i="41" s="1"/>
  <c r="L228" i="41"/>
  <c r="K228" i="41"/>
  <c r="J228" i="41"/>
  <c r="H228" i="41"/>
  <c r="G228" i="41"/>
  <c r="Z227" i="41"/>
  <c r="AB227" i="41" s="1"/>
  <c r="U227" i="41"/>
  <c r="V227" i="41" s="1"/>
  <c r="Q227" i="41"/>
  <c r="R227" i="41" s="1"/>
  <c r="M227" i="41"/>
  <c r="I227" i="41"/>
  <c r="E227" i="41"/>
  <c r="N227" i="41" s="1"/>
  <c r="O227" i="41" s="1"/>
  <c r="Z226" i="41"/>
  <c r="AB226" i="41" s="1"/>
  <c r="U226" i="41"/>
  <c r="V226" i="41" s="1"/>
  <c r="Q226" i="41"/>
  <c r="R226" i="41" s="1"/>
  <c r="M226" i="41"/>
  <c r="I226" i="41"/>
  <c r="E226" i="41"/>
  <c r="AA225" i="41"/>
  <c r="Z225" i="41"/>
  <c r="U225" i="41"/>
  <c r="V225" i="41" s="1"/>
  <c r="Q225" i="41"/>
  <c r="R225" i="41" s="1"/>
  <c r="M225" i="41"/>
  <c r="I225" i="41"/>
  <c r="E225" i="41"/>
  <c r="N225" i="41" s="1"/>
  <c r="AA224" i="41"/>
  <c r="Z224" i="41"/>
  <c r="AB224" i="41" s="1"/>
  <c r="U224" i="41"/>
  <c r="V224" i="41" s="1"/>
  <c r="Q224" i="41"/>
  <c r="R224" i="41" s="1"/>
  <c r="M224" i="41"/>
  <c r="I224" i="41"/>
  <c r="E224" i="41"/>
  <c r="N224" i="41" s="1"/>
  <c r="L223" i="41"/>
  <c r="L222" i="41" s="1"/>
  <c r="K223" i="41"/>
  <c r="K222" i="41" s="1"/>
  <c r="J223" i="41"/>
  <c r="J222" i="41" s="1"/>
  <c r="H223" i="41"/>
  <c r="H222" i="41" s="1"/>
  <c r="G223" i="41"/>
  <c r="G222" i="41" s="1"/>
  <c r="AA221" i="41"/>
  <c r="Z221" i="41"/>
  <c r="U221" i="41"/>
  <c r="V221" i="41" s="1"/>
  <c r="Q221" i="41"/>
  <c r="R221" i="41" s="1"/>
  <c r="M221" i="41"/>
  <c r="I221" i="41"/>
  <c r="E221" i="41"/>
  <c r="N221" i="41" s="1"/>
  <c r="O221" i="41" s="1"/>
  <c r="AA220" i="41"/>
  <c r="Z220" i="41"/>
  <c r="AB220" i="41" s="1"/>
  <c r="U220" i="41"/>
  <c r="Q220" i="41"/>
  <c r="M220" i="41"/>
  <c r="I220" i="41"/>
  <c r="E220" i="41"/>
  <c r="L219" i="41"/>
  <c r="L215" i="41" s="1"/>
  <c r="K219" i="41"/>
  <c r="K215" i="41" s="1"/>
  <c r="J219" i="41"/>
  <c r="J215" i="41" s="1"/>
  <c r="H219" i="41"/>
  <c r="H215" i="41" s="1"/>
  <c r="G219" i="41"/>
  <c r="G215" i="41" s="1"/>
  <c r="AA218" i="41"/>
  <c r="U218" i="41"/>
  <c r="V218" i="41" s="1"/>
  <c r="Q218" i="41"/>
  <c r="R218" i="41" s="1"/>
  <c r="M218" i="41"/>
  <c r="I218" i="41"/>
  <c r="E218" i="41"/>
  <c r="N218" i="41" s="1"/>
  <c r="O218" i="41" s="1"/>
  <c r="AA217" i="41"/>
  <c r="Z217" i="41"/>
  <c r="AB217" i="41" s="1"/>
  <c r="U217" i="41"/>
  <c r="V217" i="41" s="1"/>
  <c r="Q217" i="41"/>
  <c r="R217" i="41" s="1"/>
  <c r="M217" i="41"/>
  <c r="I217" i="41"/>
  <c r="E217" i="41"/>
  <c r="N217" i="41" s="1"/>
  <c r="O217" i="41" s="1"/>
  <c r="AA216" i="41"/>
  <c r="U216" i="41"/>
  <c r="V216" i="41" s="1"/>
  <c r="Q216" i="41"/>
  <c r="M216" i="41"/>
  <c r="I216" i="41"/>
  <c r="E216" i="41"/>
  <c r="N216" i="41" s="1"/>
  <c r="O216" i="41" s="1"/>
  <c r="AA213" i="41"/>
  <c r="AA212" i="41" s="1"/>
  <c r="Z213" i="41"/>
  <c r="AB213" i="41" s="1"/>
  <c r="U213" i="41"/>
  <c r="R213" i="41"/>
  <c r="M213" i="41"/>
  <c r="M212" i="41" s="1"/>
  <c r="I213" i="41"/>
  <c r="I212" i="41" s="1"/>
  <c r="E213" i="41"/>
  <c r="N213" i="41" s="1"/>
  <c r="Q212" i="41"/>
  <c r="R212" i="41" s="1"/>
  <c r="L212" i="41"/>
  <c r="K212" i="41"/>
  <c r="J212" i="41"/>
  <c r="H212" i="41"/>
  <c r="G212" i="41"/>
  <c r="AA211" i="41"/>
  <c r="Z211" i="41"/>
  <c r="AB211" i="41" s="1"/>
  <c r="U211" i="41"/>
  <c r="V211" i="41" s="1"/>
  <c r="Q211" i="41"/>
  <c r="R211" i="41" s="1"/>
  <c r="M211" i="41"/>
  <c r="I211" i="41"/>
  <c r="E211" i="41"/>
  <c r="N211" i="41" s="1"/>
  <c r="O211" i="41" s="1"/>
  <c r="AA210" i="41"/>
  <c r="Z210" i="41"/>
  <c r="AB210" i="41" s="1"/>
  <c r="U210" i="41"/>
  <c r="V210" i="41" s="1"/>
  <c r="Q210" i="41"/>
  <c r="R210" i="41" s="1"/>
  <c r="M210" i="41"/>
  <c r="I210" i="41"/>
  <c r="E210" i="41"/>
  <c r="N210" i="41" s="1"/>
  <c r="O210" i="41" s="1"/>
  <c r="AA209" i="41"/>
  <c r="Z209" i="41"/>
  <c r="AB209" i="41" s="1"/>
  <c r="U209" i="41"/>
  <c r="V209" i="41" s="1"/>
  <c r="Q209" i="41"/>
  <c r="R209" i="41" s="1"/>
  <c r="M209" i="41"/>
  <c r="I209" i="41"/>
  <c r="E209" i="41"/>
  <c r="N209" i="41" s="1"/>
  <c r="O209" i="41" s="1"/>
  <c r="AA208" i="41"/>
  <c r="U208" i="41"/>
  <c r="V208" i="41" s="1"/>
  <c r="Q208" i="41"/>
  <c r="R208" i="41" s="1"/>
  <c r="M208" i="41"/>
  <c r="I208" i="41"/>
  <c r="E208" i="41"/>
  <c r="N208" i="41" s="1"/>
  <c r="O208" i="41" s="1"/>
  <c r="AA207" i="41"/>
  <c r="Z207" i="41"/>
  <c r="AB207" i="41" s="1"/>
  <c r="U207" i="41"/>
  <c r="Q207" i="41"/>
  <c r="R207" i="41" s="1"/>
  <c r="M207" i="41"/>
  <c r="I207" i="41"/>
  <c r="E207" i="41"/>
  <c r="N207" i="41" s="1"/>
  <c r="O207" i="41" s="1"/>
  <c r="AA206" i="41"/>
  <c r="V206" i="41"/>
  <c r="Q206" i="41"/>
  <c r="L206" i="41"/>
  <c r="M206" i="41" s="1"/>
  <c r="I206" i="41"/>
  <c r="E206" i="41"/>
  <c r="N206" i="41" s="1"/>
  <c r="K205" i="41"/>
  <c r="J205" i="41"/>
  <c r="H205" i="41"/>
  <c r="G205" i="41"/>
  <c r="Z203" i="41"/>
  <c r="U203" i="41"/>
  <c r="V203" i="41" s="1"/>
  <c r="Q203" i="41"/>
  <c r="R203" i="41" s="1"/>
  <c r="M203" i="41"/>
  <c r="I203" i="41"/>
  <c r="E203" i="41"/>
  <c r="Z202" i="41"/>
  <c r="AB202" i="41" s="1"/>
  <c r="U202" i="41"/>
  <c r="Q202" i="41"/>
  <c r="M202" i="41"/>
  <c r="I202" i="41"/>
  <c r="E202" i="41"/>
  <c r="N202" i="41" s="1"/>
  <c r="O202" i="41" s="1"/>
  <c r="AA201" i="41"/>
  <c r="L201" i="41"/>
  <c r="K201" i="41"/>
  <c r="J201" i="41"/>
  <c r="H201" i="41"/>
  <c r="G201" i="41"/>
  <c r="AA200" i="41"/>
  <c r="Z200" i="41"/>
  <c r="AB200" i="41" s="1"/>
  <c r="U200" i="41"/>
  <c r="V200" i="41" s="1"/>
  <c r="Q200" i="41"/>
  <c r="R200" i="41" s="1"/>
  <c r="M200" i="41"/>
  <c r="I200" i="41"/>
  <c r="E200" i="41"/>
  <c r="N200" i="41" s="1"/>
  <c r="O200" i="41" s="1"/>
  <c r="AA199" i="41"/>
  <c r="Z199" i="41"/>
  <c r="AB199" i="41" s="1"/>
  <c r="U199" i="41"/>
  <c r="V199" i="41" s="1"/>
  <c r="Q199" i="41"/>
  <c r="R199" i="41" s="1"/>
  <c r="M199" i="41"/>
  <c r="I199" i="41"/>
  <c r="E199" i="41"/>
  <c r="N199" i="41" s="1"/>
  <c r="O199" i="41" s="1"/>
  <c r="AA198" i="41"/>
  <c r="Z198" i="41"/>
  <c r="AB198" i="41" s="1"/>
  <c r="U198" i="41"/>
  <c r="Q198" i="41"/>
  <c r="R198" i="41" s="1"/>
  <c r="M198" i="41"/>
  <c r="I198" i="41"/>
  <c r="E198" i="41"/>
  <c r="N198" i="41" s="1"/>
  <c r="O198" i="41" s="1"/>
  <c r="AA197" i="41"/>
  <c r="U197" i="41"/>
  <c r="V197" i="41" s="1"/>
  <c r="Q197" i="41"/>
  <c r="M197" i="41"/>
  <c r="I197" i="41"/>
  <c r="E197" i="41"/>
  <c r="L196" i="41"/>
  <c r="K196" i="41"/>
  <c r="J196" i="41"/>
  <c r="H196" i="41"/>
  <c r="G196" i="41"/>
  <c r="AA194" i="41"/>
  <c r="Z194" i="41"/>
  <c r="AB194" i="41" s="1"/>
  <c r="U194" i="41"/>
  <c r="V194" i="41" s="1"/>
  <c r="Q194" i="41"/>
  <c r="R194" i="41" s="1"/>
  <c r="M194" i="41"/>
  <c r="I194" i="41"/>
  <c r="E194" i="41"/>
  <c r="N194" i="41" s="1"/>
  <c r="AA193" i="41"/>
  <c r="Z193" i="41"/>
  <c r="AB193" i="41" s="1"/>
  <c r="U193" i="41"/>
  <c r="V193" i="41" s="1"/>
  <c r="Q193" i="41"/>
  <c r="R193" i="41" s="1"/>
  <c r="M193" i="41"/>
  <c r="I193" i="41"/>
  <c r="E193" i="41"/>
  <c r="N193" i="41" s="1"/>
  <c r="O193" i="41" s="1"/>
  <c r="AA192" i="41"/>
  <c r="U192" i="41"/>
  <c r="Q192" i="41"/>
  <c r="R192" i="41" s="1"/>
  <c r="M192" i="41"/>
  <c r="I192" i="41"/>
  <c r="E192" i="41"/>
  <c r="N192" i="41" s="1"/>
  <c r="O192" i="41" s="1"/>
  <c r="AA191" i="41"/>
  <c r="Z191" i="41"/>
  <c r="AB191" i="41" s="1"/>
  <c r="U191" i="41"/>
  <c r="V191" i="41" s="1"/>
  <c r="Q191" i="41"/>
  <c r="M191" i="41"/>
  <c r="I191" i="41"/>
  <c r="E191" i="41"/>
  <c r="N191" i="41" s="1"/>
  <c r="L190" i="41"/>
  <c r="L187" i="41" s="1"/>
  <c r="K190" i="41"/>
  <c r="J190" i="41"/>
  <c r="J187" i="41" s="1"/>
  <c r="G190" i="41"/>
  <c r="G187" i="41" s="1"/>
  <c r="AA189" i="41"/>
  <c r="U189" i="41"/>
  <c r="Q189" i="41"/>
  <c r="R189" i="41" s="1"/>
  <c r="M189" i="41"/>
  <c r="I189" i="41"/>
  <c r="E189" i="41"/>
  <c r="N189" i="41" s="1"/>
  <c r="AA188" i="41"/>
  <c r="Z188" i="41"/>
  <c r="AB188" i="41" s="1"/>
  <c r="U188" i="41"/>
  <c r="Q188" i="41"/>
  <c r="M188" i="41"/>
  <c r="I188" i="41"/>
  <c r="E188" i="41"/>
  <c r="K187" i="41"/>
  <c r="H187" i="41"/>
  <c r="AA185" i="41"/>
  <c r="Z185" i="41"/>
  <c r="AB185" i="41" s="1"/>
  <c r="U185" i="41"/>
  <c r="Q185" i="41"/>
  <c r="R185" i="41" s="1"/>
  <c r="M185" i="41"/>
  <c r="I185" i="41"/>
  <c r="E185" i="41"/>
  <c r="N185" i="41" s="1"/>
  <c r="O185" i="41" s="1"/>
  <c r="AA184" i="41"/>
  <c r="Z184" i="41"/>
  <c r="U184" i="41"/>
  <c r="V184" i="41" s="1"/>
  <c r="Q184" i="41"/>
  <c r="M184" i="41"/>
  <c r="I184" i="41"/>
  <c r="E184" i="41"/>
  <c r="L183" i="41"/>
  <c r="K183" i="41"/>
  <c r="J183" i="41"/>
  <c r="H183" i="41"/>
  <c r="G183" i="41"/>
  <c r="AB182" i="41"/>
  <c r="AA182" i="41"/>
  <c r="U182" i="41"/>
  <c r="V182" i="41" s="1"/>
  <c r="Q182" i="41"/>
  <c r="R182" i="41" s="1"/>
  <c r="M182" i="41"/>
  <c r="I182" i="41"/>
  <c r="E182" i="41"/>
  <c r="N182" i="41" s="1"/>
  <c r="O182" i="41" s="1"/>
  <c r="AA181" i="41"/>
  <c r="Z181" i="41"/>
  <c r="AB181" i="41" s="1"/>
  <c r="U181" i="41"/>
  <c r="Q181" i="41"/>
  <c r="R181" i="41" s="1"/>
  <c r="M181" i="41"/>
  <c r="I181" i="41"/>
  <c r="E181" i="41"/>
  <c r="N181" i="41" s="1"/>
  <c r="O181" i="41" s="1"/>
  <c r="AA180" i="41"/>
  <c r="Z180" i="41"/>
  <c r="U180" i="41"/>
  <c r="V180" i="41" s="1"/>
  <c r="Q180" i="41"/>
  <c r="R180" i="41" s="1"/>
  <c r="M180" i="41"/>
  <c r="I180" i="41"/>
  <c r="E180" i="41"/>
  <c r="L179" i="41"/>
  <c r="K179" i="41"/>
  <c r="J179" i="41"/>
  <c r="H179" i="41"/>
  <c r="G179" i="41"/>
  <c r="AA177" i="41"/>
  <c r="Z177" i="41"/>
  <c r="AB177" i="41" s="1"/>
  <c r="U177" i="41"/>
  <c r="V177" i="41" s="1"/>
  <c r="Q177" i="41"/>
  <c r="R177" i="41" s="1"/>
  <c r="M177" i="41"/>
  <c r="I177" i="41"/>
  <c r="E177" i="41"/>
  <c r="N177" i="41" s="1"/>
  <c r="O177" i="41" s="1"/>
  <c r="AA176" i="41"/>
  <c r="U176" i="41"/>
  <c r="Q176" i="41"/>
  <c r="R176" i="41" s="1"/>
  <c r="M176" i="41"/>
  <c r="I176" i="41"/>
  <c r="E176" i="41"/>
  <c r="N176" i="41" s="1"/>
  <c r="AA175" i="41"/>
  <c r="Z175" i="41"/>
  <c r="AB175" i="41" s="1"/>
  <c r="U175" i="41"/>
  <c r="V175" i="41" s="1"/>
  <c r="Q175" i="41"/>
  <c r="R175" i="41" s="1"/>
  <c r="M175" i="41"/>
  <c r="I175" i="41"/>
  <c r="E175" i="41"/>
  <c r="N175" i="41" s="1"/>
  <c r="AA174" i="41"/>
  <c r="U174" i="41"/>
  <c r="Q174" i="41"/>
  <c r="R174" i="41" s="1"/>
  <c r="M174" i="41"/>
  <c r="I174" i="41"/>
  <c r="E174" i="41"/>
  <c r="N174" i="41" s="1"/>
  <c r="Z173" i="41"/>
  <c r="AB173" i="41" s="1"/>
  <c r="U173" i="41"/>
  <c r="V173" i="41" s="1"/>
  <c r="Q173" i="41"/>
  <c r="R173" i="41" s="1"/>
  <c r="M173" i="41"/>
  <c r="I173" i="41"/>
  <c r="E173" i="41"/>
  <c r="N173" i="41" s="1"/>
  <c r="O173" i="41" s="1"/>
  <c r="AA172" i="41"/>
  <c r="Z172" i="41"/>
  <c r="AB172" i="41" s="1"/>
  <c r="U172" i="41"/>
  <c r="V172" i="41" s="1"/>
  <c r="Q172" i="41"/>
  <c r="R172" i="41" s="1"/>
  <c r="M172" i="41"/>
  <c r="I172" i="41"/>
  <c r="E172" i="41"/>
  <c r="N172" i="41" s="1"/>
  <c r="O172" i="41" s="1"/>
  <c r="AA171" i="41"/>
  <c r="Z171" i="41"/>
  <c r="AB171" i="41" s="1"/>
  <c r="U171" i="41"/>
  <c r="V171" i="41" s="1"/>
  <c r="Q171" i="41"/>
  <c r="R171" i="41" s="1"/>
  <c r="M171" i="41"/>
  <c r="I171" i="41"/>
  <c r="E171" i="41"/>
  <c r="N171" i="41" s="1"/>
  <c r="O171" i="41" s="1"/>
  <c r="AA170" i="41"/>
  <c r="Z170" i="41"/>
  <c r="AB170" i="41" s="1"/>
  <c r="U170" i="41"/>
  <c r="V170" i="41" s="1"/>
  <c r="Q170" i="41"/>
  <c r="M170" i="41"/>
  <c r="I170" i="41"/>
  <c r="E170" i="41"/>
  <c r="N170" i="41" s="1"/>
  <c r="O170" i="41" s="1"/>
  <c r="L169" i="41"/>
  <c r="L168" i="41" s="1"/>
  <c r="K169" i="41"/>
  <c r="K168" i="41" s="1"/>
  <c r="J169" i="41"/>
  <c r="J168" i="41" s="1"/>
  <c r="G169" i="41"/>
  <c r="G168" i="41" s="1"/>
  <c r="H168" i="41"/>
  <c r="AA167" i="41"/>
  <c r="Z167" i="41"/>
  <c r="AB167" i="41" s="1"/>
  <c r="U167" i="41"/>
  <c r="V167" i="41" s="1"/>
  <c r="Q167" i="41"/>
  <c r="R167" i="41" s="1"/>
  <c r="M167" i="41"/>
  <c r="I167" i="41"/>
  <c r="E167" i="41"/>
  <c r="AA166" i="41"/>
  <c r="Z166" i="41"/>
  <c r="AB166" i="41" s="1"/>
  <c r="U166" i="41"/>
  <c r="Q166" i="41"/>
  <c r="R166" i="41" s="1"/>
  <c r="M166" i="41"/>
  <c r="I166" i="41"/>
  <c r="E166" i="41"/>
  <c r="N166" i="41" s="1"/>
  <c r="L165" i="41"/>
  <c r="L162" i="41" s="1"/>
  <c r="K165" i="41"/>
  <c r="K162" i="41" s="1"/>
  <c r="J165" i="41"/>
  <c r="J162" i="41" s="1"/>
  <c r="H165" i="41"/>
  <c r="H162" i="41" s="1"/>
  <c r="G165" i="41"/>
  <c r="G162" i="41" s="1"/>
  <c r="AA164" i="41"/>
  <c r="Z164" i="41"/>
  <c r="AB164" i="41" s="1"/>
  <c r="U164" i="41"/>
  <c r="Q164" i="41"/>
  <c r="R164" i="41" s="1"/>
  <c r="M164" i="41"/>
  <c r="I164" i="41"/>
  <c r="E164" i="41"/>
  <c r="AA163" i="41"/>
  <c r="Z163" i="41"/>
  <c r="AB163" i="41" s="1"/>
  <c r="U163" i="41"/>
  <c r="V163" i="41" s="1"/>
  <c r="Q163" i="41"/>
  <c r="R163" i="41" s="1"/>
  <c r="M163" i="41"/>
  <c r="I163" i="41"/>
  <c r="E163" i="41"/>
  <c r="N163" i="41" s="1"/>
  <c r="Z161" i="41"/>
  <c r="U161" i="41"/>
  <c r="V161" i="41" s="1"/>
  <c r="Q161" i="41"/>
  <c r="R161" i="41" s="1"/>
  <c r="M161" i="41"/>
  <c r="I161" i="41"/>
  <c r="E161" i="41"/>
  <c r="AA160" i="41"/>
  <c r="AA159" i="41" s="1"/>
  <c r="Z160" i="41"/>
  <c r="AB160" i="41" s="1"/>
  <c r="U160" i="41"/>
  <c r="Q160" i="41"/>
  <c r="R160" i="41" s="1"/>
  <c r="M160" i="41"/>
  <c r="I160" i="41"/>
  <c r="E160" i="41"/>
  <c r="N160" i="41" s="1"/>
  <c r="O160" i="41" s="1"/>
  <c r="L159" i="41"/>
  <c r="K159" i="41"/>
  <c r="J159" i="41"/>
  <c r="H159" i="41"/>
  <c r="G159" i="41"/>
  <c r="AA158" i="41"/>
  <c r="Z158" i="41"/>
  <c r="AB158" i="41" s="1"/>
  <c r="U158" i="41"/>
  <c r="V158" i="41" s="1"/>
  <c r="Q158" i="41"/>
  <c r="R158" i="41" s="1"/>
  <c r="M158" i="41"/>
  <c r="I158" i="41"/>
  <c r="E158" i="41"/>
  <c r="N158" i="41" s="1"/>
  <c r="AA157" i="41"/>
  <c r="U157" i="41"/>
  <c r="Q157" i="41"/>
  <c r="R157" i="41" s="1"/>
  <c r="M157" i="41"/>
  <c r="J157" i="41"/>
  <c r="J156" i="41" s="1"/>
  <c r="I157" i="41"/>
  <c r="E157" i="41"/>
  <c r="L156" i="41"/>
  <c r="K156" i="41"/>
  <c r="H156" i="41"/>
  <c r="G156" i="41"/>
  <c r="AA151" i="41"/>
  <c r="AA150" i="41" s="1"/>
  <c r="AA149" i="41" s="1"/>
  <c r="Z151" i="41"/>
  <c r="U151" i="41"/>
  <c r="Q151" i="41"/>
  <c r="R151" i="41" s="1"/>
  <c r="M151" i="41"/>
  <c r="M150" i="41" s="1"/>
  <c r="M149" i="41" s="1"/>
  <c r="I151" i="41"/>
  <c r="I150" i="41" s="1"/>
  <c r="I149" i="41" s="1"/>
  <c r="E151" i="41"/>
  <c r="L150" i="41"/>
  <c r="L149" i="41" s="1"/>
  <c r="K150" i="41"/>
  <c r="K149" i="41" s="1"/>
  <c r="J150" i="41"/>
  <c r="J149" i="41" s="1"/>
  <c r="H150" i="41"/>
  <c r="H149" i="41" s="1"/>
  <c r="G150" i="41"/>
  <c r="G149" i="41" s="1"/>
  <c r="AA148" i="41"/>
  <c r="Z148" i="41"/>
  <c r="AB148" i="41" s="1"/>
  <c r="U148" i="41"/>
  <c r="V148" i="41" s="1"/>
  <c r="Q148" i="41"/>
  <c r="R148" i="41" s="1"/>
  <c r="N148" i="41"/>
  <c r="O148" i="41" s="1"/>
  <c r="M148" i="41"/>
  <c r="I148" i="41"/>
  <c r="AA147" i="41"/>
  <c r="U147" i="41"/>
  <c r="V147" i="41" s="1"/>
  <c r="Q147" i="41"/>
  <c r="R147" i="41" s="1"/>
  <c r="N147" i="41"/>
  <c r="O147" i="41" s="1"/>
  <c r="M147" i="41"/>
  <c r="I147" i="41"/>
  <c r="AA146" i="41"/>
  <c r="Z146" i="41"/>
  <c r="AB146" i="41" s="1"/>
  <c r="U146" i="41"/>
  <c r="V146" i="41" s="1"/>
  <c r="Q146" i="41"/>
  <c r="R146" i="41" s="1"/>
  <c r="M146" i="41"/>
  <c r="I146" i="41"/>
  <c r="E146" i="41"/>
  <c r="N146" i="41" s="1"/>
  <c r="AA145" i="41"/>
  <c r="Z145" i="41"/>
  <c r="AB145" i="41" s="1"/>
  <c r="U145" i="41"/>
  <c r="V145" i="41" s="1"/>
  <c r="Q145" i="41"/>
  <c r="M145" i="41"/>
  <c r="I145" i="41"/>
  <c r="E145" i="41"/>
  <c r="N145" i="41" s="1"/>
  <c r="L144" i="41"/>
  <c r="K144" i="41"/>
  <c r="J144" i="41"/>
  <c r="H144" i="41"/>
  <c r="G144" i="41"/>
  <c r="AA143" i="41"/>
  <c r="Z143" i="41"/>
  <c r="AB143" i="41" s="1"/>
  <c r="U143" i="41"/>
  <c r="V143" i="41" s="1"/>
  <c r="Q143" i="41"/>
  <c r="R143" i="41" s="1"/>
  <c r="M143" i="41"/>
  <c r="I143" i="41"/>
  <c r="E143" i="41"/>
  <c r="N143" i="41" s="1"/>
  <c r="AA142" i="41"/>
  <c r="Z142" i="41"/>
  <c r="AB142" i="41" s="1"/>
  <c r="U142" i="41"/>
  <c r="V142" i="41" s="1"/>
  <c r="Q142" i="41"/>
  <c r="R142" i="41" s="1"/>
  <c r="M142" i="41"/>
  <c r="I142" i="41"/>
  <c r="E142" i="41"/>
  <c r="N142" i="41" s="1"/>
  <c r="AA141" i="41"/>
  <c r="Z141" i="41"/>
  <c r="U141" i="41"/>
  <c r="Q141" i="41"/>
  <c r="R141" i="41" s="1"/>
  <c r="M141" i="41"/>
  <c r="I141" i="41"/>
  <c r="E141" i="41"/>
  <c r="N141" i="41" s="1"/>
  <c r="L140" i="41"/>
  <c r="L139" i="41" s="1"/>
  <c r="K140" i="41"/>
  <c r="J140" i="41"/>
  <c r="J139" i="41" s="1"/>
  <c r="H140" i="41"/>
  <c r="H139" i="41" s="1"/>
  <c r="G140" i="41"/>
  <c r="G139" i="41" s="1"/>
  <c r="K139" i="41"/>
  <c r="AA137" i="41"/>
  <c r="Z137" i="41"/>
  <c r="AB137" i="41" s="1"/>
  <c r="U137" i="41"/>
  <c r="V137" i="41" s="1"/>
  <c r="Q137" i="41"/>
  <c r="R137" i="41" s="1"/>
  <c r="N137" i="41"/>
  <c r="O137" i="41" s="1"/>
  <c r="M137" i="41"/>
  <c r="I137" i="41"/>
  <c r="AA136" i="41"/>
  <c r="Z136" i="41"/>
  <c r="U136" i="41"/>
  <c r="V136" i="41" s="1"/>
  <c r="Q136" i="41"/>
  <c r="N136" i="41"/>
  <c r="M136" i="41"/>
  <c r="I136" i="41"/>
  <c r="L135" i="41"/>
  <c r="K135" i="41"/>
  <c r="J135" i="41"/>
  <c r="H135" i="41"/>
  <c r="G135" i="41"/>
  <c r="E135" i="41"/>
  <c r="AA134" i="41"/>
  <c r="Z134" i="41"/>
  <c r="AB134" i="41" s="1"/>
  <c r="U134" i="41"/>
  <c r="V134" i="41" s="1"/>
  <c r="Q134" i="41"/>
  <c r="R134" i="41" s="1"/>
  <c r="N134" i="41"/>
  <c r="O134" i="41" s="1"/>
  <c r="M134" i="41"/>
  <c r="I134" i="41"/>
  <c r="Z133" i="41"/>
  <c r="AB133" i="41" s="1"/>
  <c r="U133" i="41"/>
  <c r="V133" i="41" s="1"/>
  <c r="Q133" i="41"/>
  <c r="R133" i="41" s="1"/>
  <c r="M133" i="41"/>
  <c r="I133" i="41"/>
  <c r="E133" i="41"/>
  <c r="N133" i="41" s="1"/>
  <c r="O133" i="41" s="1"/>
  <c r="Z132" i="41"/>
  <c r="U132" i="41"/>
  <c r="Q132" i="41"/>
  <c r="R132" i="41" s="1"/>
  <c r="M132" i="41"/>
  <c r="I132" i="41"/>
  <c r="E132" i="41"/>
  <c r="N132" i="41" s="1"/>
  <c r="L131" i="41"/>
  <c r="K131" i="41"/>
  <c r="J131" i="41"/>
  <c r="H131" i="41"/>
  <c r="G131" i="41"/>
  <c r="AA130" i="41"/>
  <c r="Z130" i="41"/>
  <c r="AB130" i="41" s="1"/>
  <c r="U130" i="41"/>
  <c r="V130" i="41" s="1"/>
  <c r="Q130" i="41"/>
  <c r="R130" i="41" s="1"/>
  <c r="N130" i="41"/>
  <c r="O130" i="41" s="1"/>
  <c r="M130" i="41"/>
  <c r="I130" i="41"/>
  <c r="AA127" i="41"/>
  <c r="U127" i="41"/>
  <c r="V127" i="41" s="1"/>
  <c r="Q127" i="41"/>
  <c r="R127" i="41" s="1"/>
  <c r="N127" i="41"/>
  <c r="O127" i="41" s="1"/>
  <c r="M127" i="41"/>
  <c r="I127" i="41"/>
  <c r="Z126" i="41"/>
  <c r="U126" i="41"/>
  <c r="Q126" i="41"/>
  <c r="M126" i="41"/>
  <c r="M125" i="41" s="1"/>
  <c r="I126" i="41"/>
  <c r="I125" i="41" s="1"/>
  <c r="E126" i="41"/>
  <c r="N126" i="41" s="1"/>
  <c r="L125" i="41"/>
  <c r="K125" i="41"/>
  <c r="J125" i="41"/>
  <c r="H125" i="41"/>
  <c r="G125" i="41"/>
  <c r="AA124" i="41"/>
  <c r="Z124" i="41"/>
  <c r="AB124" i="41" s="1"/>
  <c r="U124" i="41"/>
  <c r="V124" i="41" s="1"/>
  <c r="Q124" i="41"/>
  <c r="R124" i="41" s="1"/>
  <c r="M124" i="41"/>
  <c r="I124" i="41"/>
  <c r="E124" i="41"/>
  <c r="N124" i="41" s="1"/>
  <c r="AA123" i="41"/>
  <c r="Z123" i="41"/>
  <c r="AB123" i="41" s="1"/>
  <c r="U123" i="41"/>
  <c r="V123" i="41" s="1"/>
  <c r="Q123" i="41"/>
  <c r="M123" i="41"/>
  <c r="I123" i="41"/>
  <c r="E123" i="41"/>
  <c r="N123" i="41" s="1"/>
  <c r="O123" i="41" s="1"/>
  <c r="AA122" i="41"/>
  <c r="Z122" i="41"/>
  <c r="AB122" i="41" s="1"/>
  <c r="U122" i="41"/>
  <c r="V122" i="41" s="1"/>
  <c r="Q122" i="41"/>
  <c r="R122" i="41" s="1"/>
  <c r="M122" i="41"/>
  <c r="I122" i="41"/>
  <c r="E122" i="41"/>
  <c r="AA121" i="41"/>
  <c r="Z121" i="41"/>
  <c r="AB121" i="41" s="1"/>
  <c r="U121" i="41"/>
  <c r="V121" i="41" s="1"/>
  <c r="Q121" i="41"/>
  <c r="R121" i="41" s="1"/>
  <c r="M121" i="41"/>
  <c r="I121" i="41"/>
  <c r="E121" i="41"/>
  <c r="N121" i="41" s="1"/>
  <c r="O121" i="41" s="1"/>
  <c r="L120" i="41"/>
  <c r="K120" i="41"/>
  <c r="J120" i="41"/>
  <c r="H120" i="41"/>
  <c r="G120" i="41"/>
  <c r="Z119" i="41"/>
  <c r="AB119" i="41" s="1"/>
  <c r="U119" i="41"/>
  <c r="V119" i="41" s="1"/>
  <c r="Q119" i="41"/>
  <c r="R119" i="41" s="1"/>
  <c r="M119" i="41"/>
  <c r="I119" i="41"/>
  <c r="E119" i="41"/>
  <c r="N119" i="41" s="1"/>
  <c r="O119" i="41" s="1"/>
  <c r="AA118" i="41"/>
  <c r="Z118" i="41"/>
  <c r="AB118" i="41" s="1"/>
  <c r="U118" i="41"/>
  <c r="V118" i="41" s="1"/>
  <c r="Q118" i="41"/>
  <c r="R118" i="41" s="1"/>
  <c r="M118" i="41"/>
  <c r="I118" i="41"/>
  <c r="E118" i="41"/>
  <c r="N118" i="41" s="1"/>
  <c r="AA117" i="41"/>
  <c r="Z117" i="41"/>
  <c r="U117" i="41"/>
  <c r="Q117" i="41"/>
  <c r="R117" i="41" s="1"/>
  <c r="N117" i="41"/>
  <c r="O117" i="41" s="1"/>
  <c r="M117" i="41"/>
  <c r="I117" i="41"/>
  <c r="L116" i="41"/>
  <c r="K116" i="41"/>
  <c r="J116" i="41"/>
  <c r="H116" i="41"/>
  <c r="G116" i="41"/>
  <c r="AA114" i="41"/>
  <c r="Z114" i="41"/>
  <c r="AB114" i="41" s="1"/>
  <c r="U114" i="41"/>
  <c r="V114" i="41" s="1"/>
  <c r="Q114" i="41"/>
  <c r="R114" i="41" s="1"/>
  <c r="M114" i="41"/>
  <c r="I114" i="41"/>
  <c r="E114" i="41"/>
  <c r="N114" i="41" s="1"/>
  <c r="AA113" i="41"/>
  <c r="Z113" i="41"/>
  <c r="U113" i="41"/>
  <c r="Q113" i="41"/>
  <c r="N113" i="41"/>
  <c r="M113" i="41"/>
  <c r="I113" i="41"/>
  <c r="L112" i="41"/>
  <c r="L109" i="41" s="1"/>
  <c r="K112" i="41"/>
  <c r="K109" i="41" s="1"/>
  <c r="J112" i="41"/>
  <c r="J109" i="41" s="1"/>
  <c r="H112" i="41"/>
  <c r="H109" i="41" s="1"/>
  <c r="G112" i="41"/>
  <c r="G109" i="41" s="1"/>
  <c r="AA111" i="41"/>
  <c r="Z111" i="41"/>
  <c r="AB111" i="41" s="1"/>
  <c r="U111" i="41"/>
  <c r="V111" i="41" s="1"/>
  <c r="Q111" i="41"/>
  <c r="R111" i="41" s="1"/>
  <c r="M111" i="41"/>
  <c r="I111" i="41"/>
  <c r="E111" i="41"/>
  <c r="N111" i="41" s="1"/>
  <c r="AA110" i="41"/>
  <c r="U110" i="41"/>
  <c r="V110" i="41" s="1"/>
  <c r="Q110" i="41"/>
  <c r="N110" i="41"/>
  <c r="M110" i="41"/>
  <c r="I110" i="41"/>
  <c r="AA106" i="41"/>
  <c r="AA105" i="41" s="1"/>
  <c r="AA104" i="41" s="1"/>
  <c r="Z106" i="41"/>
  <c r="U106" i="41"/>
  <c r="Q106" i="41"/>
  <c r="R106" i="41" s="1"/>
  <c r="M106" i="41"/>
  <c r="M105" i="41" s="1"/>
  <c r="M104" i="41" s="1"/>
  <c r="I106" i="41"/>
  <c r="I105" i="41" s="1"/>
  <c r="I104" i="41" s="1"/>
  <c r="E106" i="41"/>
  <c r="L105" i="41"/>
  <c r="L104" i="41" s="1"/>
  <c r="K105" i="41"/>
  <c r="K104" i="41" s="1"/>
  <c r="J105" i="41"/>
  <c r="J104" i="41" s="1"/>
  <c r="H105" i="41"/>
  <c r="H104" i="41" s="1"/>
  <c r="G105" i="41"/>
  <c r="G104" i="41" s="1"/>
  <c r="AA103" i="41"/>
  <c r="Z103" i="41"/>
  <c r="AB103" i="41" s="1"/>
  <c r="U103" i="41"/>
  <c r="V103" i="41" s="1"/>
  <c r="Q103" i="41"/>
  <c r="M103" i="41"/>
  <c r="I103" i="41"/>
  <c r="E103" i="41"/>
  <c r="N103" i="41" s="1"/>
  <c r="AA102" i="41"/>
  <c r="Z102" i="41"/>
  <c r="AB102" i="41" s="1"/>
  <c r="U102" i="41"/>
  <c r="V102" i="41" s="1"/>
  <c r="Q102" i="41"/>
  <c r="R102" i="41" s="1"/>
  <c r="M102" i="41"/>
  <c r="I102" i="41"/>
  <c r="E102" i="41"/>
  <c r="L101" i="41"/>
  <c r="K101" i="41"/>
  <c r="J101" i="41"/>
  <c r="H101" i="41"/>
  <c r="G101" i="41"/>
  <c r="AA100" i="41"/>
  <c r="Z100" i="41"/>
  <c r="AB100" i="41" s="1"/>
  <c r="U100" i="41"/>
  <c r="V100" i="41" s="1"/>
  <c r="Q100" i="41"/>
  <c r="R100" i="41" s="1"/>
  <c r="M100" i="41"/>
  <c r="I100" i="41"/>
  <c r="E100" i="41"/>
  <c r="N100" i="41" s="1"/>
  <c r="O100" i="41" s="1"/>
  <c r="AA99" i="41"/>
  <c r="Z99" i="41"/>
  <c r="AB99" i="41" s="1"/>
  <c r="U99" i="41"/>
  <c r="V99" i="41" s="1"/>
  <c r="Q99" i="41"/>
  <c r="R99" i="41" s="1"/>
  <c r="M99" i="41"/>
  <c r="I99" i="41"/>
  <c r="E99" i="41"/>
  <c r="N99" i="41" s="1"/>
  <c r="O99" i="41" s="1"/>
  <c r="AA98" i="41"/>
  <c r="Z98" i="41"/>
  <c r="U98" i="41"/>
  <c r="Q98" i="41"/>
  <c r="R98" i="41" s="1"/>
  <c r="M98" i="41"/>
  <c r="I98" i="41"/>
  <c r="E98" i="41"/>
  <c r="N98" i="41" s="1"/>
  <c r="O98" i="41" s="1"/>
  <c r="L97" i="41"/>
  <c r="L95" i="41" s="1"/>
  <c r="K97" i="41"/>
  <c r="K95" i="41" s="1"/>
  <c r="J97" i="41"/>
  <c r="J95" i="41" s="1"/>
  <c r="H97" i="41"/>
  <c r="H95" i="41" s="1"/>
  <c r="G97" i="41"/>
  <c r="G95" i="41" s="1"/>
  <c r="AA96" i="41"/>
  <c r="Z96" i="41"/>
  <c r="AB96" i="41" s="1"/>
  <c r="U96" i="41"/>
  <c r="V96" i="41" s="1"/>
  <c r="Q96" i="41"/>
  <c r="R96" i="41" s="1"/>
  <c r="M96" i="41"/>
  <c r="I96" i="41"/>
  <c r="E96" i="41"/>
  <c r="N96" i="41" s="1"/>
  <c r="O96" i="41" s="1"/>
  <c r="AA94" i="41"/>
  <c r="Z94" i="41"/>
  <c r="AB94" i="41" s="1"/>
  <c r="U94" i="41"/>
  <c r="V94" i="41" s="1"/>
  <c r="Q94" i="41"/>
  <c r="R94" i="41" s="1"/>
  <c r="M94" i="41"/>
  <c r="I94" i="41"/>
  <c r="E94" i="41"/>
  <c r="N94" i="41" s="1"/>
  <c r="AA93" i="41"/>
  <c r="Z93" i="41"/>
  <c r="AB93" i="41" s="1"/>
  <c r="U93" i="41"/>
  <c r="V93" i="41" s="1"/>
  <c r="Q93" i="41"/>
  <c r="R93" i="41" s="1"/>
  <c r="M93" i="41"/>
  <c r="I93" i="41"/>
  <c r="E93" i="41"/>
  <c r="L92" i="41"/>
  <c r="K92" i="41"/>
  <c r="J92" i="41"/>
  <c r="H92" i="41"/>
  <c r="G92" i="41"/>
  <c r="AA91" i="41"/>
  <c r="Z91" i="41"/>
  <c r="AB91" i="41" s="1"/>
  <c r="U91" i="41"/>
  <c r="V91" i="41" s="1"/>
  <c r="Q91" i="41"/>
  <c r="R91" i="41" s="1"/>
  <c r="M91" i="41"/>
  <c r="I91" i="41"/>
  <c r="E91" i="41"/>
  <c r="N91" i="41" s="1"/>
  <c r="Z90" i="41"/>
  <c r="AB90" i="41" s="1"/>
  <c r="U90" i="41"/>
  <c r="V90" i="41" s="1"/>
  <c r="Q90" i="41"/>
  <c r="R90" i="41" s="1"/>
  <c r="M90" i="41"/>
  <c r="I90" i="41"/>
  <c r="E90" i="41"/>
  <c r="N90" i="41" s="1"/>
  <c r="O90" i="41" s="1"/>
  <c r="AA89" i="41"/>
  <c r="AA88" i="41" s="1"/>
  <c r="Z89" i="41"/>
  <c r="AB89" i="41" s="1"/>
  <c r="U89" i="41"/>
  <c r="Q89" i="41"/>
  <c r="M89" i="41"/>
  <c r="I89" i="41"/>
  <c r="E89" i="41"/>
  <c r="L88" i="41"/>
  <c r="K88" i="41"/>
  <c r="J88" i="41"/>
  <c r="H88" i="41"/>
  <c r="G88" i="41"/>
  <c r="AA85" i="41"/>
  <c r="Z85" i="41"/>
  <c r="AB85" i="41" s="1"/>
  <c r="U85" i="41"/>
  <c r="V85" i="41" s="1"/>
  <c r="Q85" i="41"/>
  <c r="R85" i="41" s="1"/>
  <c r="M85" i="41"/>
  <c r="I85" i="41"/>
  <c r="E85" i="41"/>
  <c r="N85" i="41" s="1"/>
  <c r="AA84" i="41"/>
  <c r="Z84" i="41"/>
  <c r="AB84" i="41" s="1"/>
  <c r="U84" i="41"/>
  <c r="V84" i="41" s="1"/>
  <c r="Q84" i="41"/>
  <c r="R84" i="41" s="1"/>
  <c r="M84" i="41"/>
  <c r="I84" i="41"/>
  <c r="E84" i="41"/>
  <c r="N84" i="41" s="1"/>
  <c r="AA83" i="41"/>
  <c r="Z83" i="41"/>
  <c r="U83" i="41"/>
  <c r="Q83" i="41"/>
  <c r="R83" i="41" s="1"/>
  <c r="M83" i="41"/>
  <c r="I83" i="41"/>
  <c r="E83" i="41"/>
  <c r="N83" i="41" s="1"/>
  <c r="L82" i="41"/>
  <c r="K82" i="41"/>
  <c r="J82" i="41"/>
  <c r="H82" i="41"/>
  <c r="G82" i="41"/>
  <c r="AA81" i="41"/>
  <c r="U81" i="41"/>
  <c r="V81" i="41" s="1"/>
  <c r="Q81" i="41"/>
  <c r="R81" i="41" s="1"/>
  <c r="M81" i="41"/>
  <c r="I81" i="41"/>
  <c r="E81" i="41"/>
  <c r="N81" i="41" s="1"/>
  <c r="O81" i="41" s="1"/>
  <c r="AA80" i="41"/>
  <c r="U80" i="41"/>
  <c r="V80" i="41" s="1"/>
  <c r="Q80" i="41"/>
  <c r="R80" i="41" s="1"/>
  <c r="M80" i="41"/>
  <c r="I80" i="41"/>
  <c r="E80" i="41"/>
  <c r="L79" i="41"/>
  <c r="K79" i="41"/>
  <c r="J79" i="41"/>
  <c r="H79" i="41"/>
  <c r="G79" i="41"/>
  <c r="AB76" i="41"/>
  <c r="AA76" i="41"/>
  <c r="AA73" i="41" s="1"/>
  <c r="U76" i="41"/>
  <c r="V76" i="41" s="1"/>
  <c r="Q76" i="41"/>
  <c r="R76" i="41" s="1"/>
  <c r="M76" i="41"/>
  <c r="I76" i="41"/>
  <c r="E76" i="41"/>
  <c r="N76" i="41" s="1"/>
  <c r="O76" i="41" s="1"/>
  <c r="Z75" i="41"/>
  <c r="U75" i="41"/>
  <c r="V75" i="41" s="1"/>
  <c r="Q75" i="41"/>
  <c r="R75" i="41" s="1"/>
  <c r="M75" i="41"/>
  <c r="I75" i="41"/>
  <c r="E75" i="41"/>
  <c r="N75" i="41" s="1"/>
  <c r="Z74" i="41"/>
  <c r="AB74" i="41" s="1"/>
  <c r="U74" i="41"/>
  <c r="V74" i="41" s="1"/>
  <c r="Q74" i="41"/>
  <c r="M74" i="41"/>
  <c r="I74" i="41"/>
  <c r="E74" i="41"/>
  <c r="L73" i="41"/>
  <c r="K73" i="41"/>
  <c r="J73" i="41"/>
  <c r="H73" i="41"/>
  <c r="G73" i="41"/>
  <c r="AA72" i="41"/>
  <c r="Z72" i="41"/>
  <c r="AB72" i="41" s="1"/>
  <c r="U72" i="41"/>
  <c r="V72" i="41" s="1"/>
  <c r="Q72" i="41"/>
  <c r="R72" i="41" s="1"/>
  <c r="M72" i="41"/>
  <c r="I72" i="41"/>
  <c r="E72" i="41"/>
  <c r="N72" i="41" s="1"/>
  <c r="O72" i="41" s="1"/>
  <c r="Z71" i="41"/>
  <c r="AB71" i="41" s="1"/>
  <c r="U71" i="41"/>
  <c r="V71" i="41" s="1"/>
  <c r="Q71" i="41"/>
  <c r="R71" i="41" s="1"/>
  <c r="M71" i="41"/>
  <c r="I71" i="41"/>
  <c r="E71" i="41"/>
  <c r="N71" i="41" s="1"/>
  <c r="O71" i="41" s="1"/>
  <c r="AA70" i="41"/>
  <c r="Z70" i="41"/>
  <c r="AB70" i="41" s="1"/>
  <c r="U70" i="41"/>
  <c r="V70" i="41" s="1"/>
  <c r="Q70" i="41"/>
  <c r="R70" i="41" s="1"/>
  <c r="M70" i="41"/>
  <c r="I70" i="41"/>
  <c r="E70" i="41"/>
  <c r="N70" i="41" s="1"/>
  <c r="O70" i="41" s="1"/>
  <c r="Z69" i="41"/>
  <c r="AB69" i="41" s="1"/>
  <c r="U69" i="41"/>
  <c r="V69" i="41" s="1"/>
  <c r="Q69" i="41"/>
  <c r="R69" i="41" s="1"/>
  <c r="M69" i="41"/>
  <c r="I69" i="41"/>
  <c r="E69" i="41"/>
  <c r="N69" i="41" s="1"/>
  <c r="O69" i="41" s="1"/>
  <c r="AA68" i="41"/>
  <c r="U68" i="41"/>
  <c r="V68" i="41" s="1"/>
  <c r="Q68" i="41"/>
  <c r="R68" i="41" s="1"/>
  <c r="M68" i="41"/>
  <c r="E68" i="41"/>
  <c r="N68" i="41" s="1"/>
  <c r="AA67" i="41"/>
  <c r="Z67" i="41"/>
  <c r="AB67" i="41" s="1"/>
  <c r="U67" i="41"/>
  <c r="V67" i="41" s="1"/>
  <c r="Q67" i="41"/>
  <c r="R67" i="41" s="1"/>
  <c r="M67" i="41"/>
  <c r="I67" i="41"/>
  <c r="E67" i="41"/>
  <c r="N67" i="41" s="1"/>
  <c r="AA66" i="41"/>
  <c r="Z66" i="41"/>
  <c r="AB66" i="41" s="1"/>
  <c r="U66" i="41"/>
  <c r="V66" i="41" s="1"/>
  <c r="Q66" i="41"/>
  <c r="R66" i="41" s="1"/>
  <c r="M66" i="41"/>
  <c r="I66" i="41"/>
  <c r="E66" i="41"/>
  <c r="N66" i="41" s="1"/>
  <c r="AA65" i="41"/>
  <c r="Z65" i="41"/>
  <c r="AB65" i="41" s="1"/>
  <c r="U65" i="41"/>
  <c r="V65" i="41" s="1"/>
  <c r="Q65" i="41"/>
  <c r="M65" i="41"/>
  <c r="I65" i="41"/>
  <c r="E65" i="41"/>
  <c r="L64" i="41"/>
  <c r="K64" i="41"/>
  <c r="J64" i="41"/>
  <c r="H64" i="41"/>
  <c r="G64" i="41"/>
  <c r="AA63" i="41"/>
  <c r="Z63" i="41"/>
  <c r="AB63" i="41" s="1"/>
  <c r="U63" i="41"/>
  <c r="V63" i="41" s="1"/>
  <c r="Q63" i="41"/>
  <c r="R63" i="41" s="1"/>
  <c r="M63" i="41"/>
  <c r="I63" i="41"/>
  <c r="E63" i="41"/>
  <c r="N63" i="41" s="1"/>
  <c r="AA62" i="41"/>
  <c r="U62" i="41"/>
  <c r="V62" i="41" s="1"/>
  <c r="Q62" i="41"/>
  <c r="R62" i="41" s="1"/>
  <c r="M62" i="41"/>
  <c r="I62" i="41"/>
  <c r="E62" i="41"/>
  <c r="N62" i="41" s="1"/>
  <c r="AA61" i="41"/>
  <c r="Z61" i="41"/>
  <c r="AB61" i="41" s="1"/>
  <c r="U61" i="41"/>
  <c r="V61" i="41" s="1"/>
  <c r="Q61" i="41"/>
  <c r="R61" i="41" s="1"/>
  <c r="M61" i="41"/>
  <c r="I61" i="41"/>
  <c r="E61" i="41"/>
  <c r="N61" i="41" s="1"/>
  <c r="AA60" i="41"/>
  <c r="Z60" i="41"/>
  <c r="AB60" i="41" s="1"/>
  <c r="U60" i="41"/>
  <c r="V60" i="41" s="1"/>
  <c r="Q60" i="41"/>
  <c r="R60" i="41" s="1"/>
  <c r="M60" i="41"/>
  <c r="I60" i="41"/>
  <c r="N60" i="41"/>
  <c r="AA59" i="41"/>
  <c r="U59" i="41"/>
  <c r="V59" i="41" s="1"/>
  <c r="Q59" i="41"/>
  <c r="M59" i="41"/>
  <c r="E59" i="41"/>
  <c r="N59" i="41" s="1"/>
  <c r="AA58" i="41"/>
  <c r="U58" i="41"/>
  <c r="Q58" i="41"/>
  <c r="R58" i="41" s="1"/>
  <c r="M58" i="41"/>
  <c r="I58" i="41"/>
  <c r="E58" i="41"/>
  <c r="L57" i="41"/>
  <c r="K57" i="41"/>
  <c r="J57" i="41"/>
  <c r="H57" i="41"/>
  <c r="G57" i="41"/>
  <c r="AA54" i="41"/>
  <c r="Z54" i="41"/>
  <c r="AB54" i="41" s="1"/>
  <c r="U54" i="41"/>
  <c r="V54" i="41" s="1"/>
  <c r="Q54" i="41"/>
  <c r="R54" i="41" s="1"/>
  <c r="M54" i="41"/>
  <c r="I54" i="41"/>
  <c r="E54" i="41"/>
  <c r="N54" i="41" s="1"/>
  <c r="O54" i="41" s="1"/>
  <c r="AA53" i="41"/>
  <c r="Z53" i="41"/>
  <c r="AB53" i="41" s="1"/>
  <c r="U53" i="41"/>
  <c r="V53" i="41" s="1"/>
  <c r="Q53" i="41"/>
  <c r="R53" i="41" s="1"/>
  <c r="M53" i="41"/>
  <c r="I53" i="41"/>
  <c r="E53" i="41"/>
  <c r="N53" i="41" s="1"/>
  <c r="L52" i="41"/>
  <c r="K52" i="41"/>
  <c r="J52" i="41"/>
  <c r="H52" i="41"/>
  <c r="G52" i="41"/>
  <c r="AA51" i="41"/>
  <c r="AA49" i="41" s="1"/>
  <c r="Z51" i="41"/>
  <c r="AB51" i="41" s="1"/>
  <c r="U51" i="41"/>
  <c r="Q51" i="41"/>
  <c r="M51" i="41"/>
  <c r="I51" i="41"/>
  <c r="E51" i="41"/>
  <c r="N51" i="41" s="1"/>
  <c r="O51" i="41" s="1"/>
  <c r="Z50" i="41"/>
  <c r="U50" i="41"/>
  <c r="V50" i="41" s="1"/>
  <c r="Q50" i="41"/>
  <c r="R50" i="41" s="1"/>
  <c r="M50" i="41"/>
  <c r="I50" i="41"/>
  <c r="E50" i="41"/>
  <c r="N50" i="41" s="1"/>
  <c r="O50" i="41" s="1"/>
  <c r="L49" i="41"/>
  <c r="K49" i="41"/>
  <c r="J49" i="41"/>
  <c r="H49" i="41"/>
  <c r="G49" i="41"/>
  <c r="Z48" i="41"/>
  <c r="AB48" i="41" s="1"/>
  <c r="U48" i="41"/>
  <c r="V48" i="41" s="1"/>
  <c r="Q48" i="41"/>
  <c r="R48" i="41" s="1"/>
  <c r="M48" i="41"/>
  <c r="I48" i="41"/>
  <c r="E48" i="41"/>
  <c r="N48" i="41" s="1"/>
  <c r="O48" i="41" s="1"/>
  <c r="Z47" i="41"/>
  <c r="AB47" i="41" s="1"/>
  <c r="U47" i="41"/>
  <c r="V47" i="41" s="1"/>
  <c r="Q47" i="41"/>
  <c r="R47" i="41" s="1"/>
  <c r="M47" i="41"/>
  <c r="I47" i="41"/>
  <c r="E47" i="41"/>
  <c r="N47" i="41" s="1"/>
  <c r="AA46" i="41"/>
  <c r="L46" i="41"/>
  <c r="K46" i="41"/>
  <c r="J46" i="41"/>
  <c r="H46" i="41"/>
  <c r="G46" i="41"/>
  <c r="AA45" i="41"/>
  <c r="Z45" i="41"/>
  <c r="AB45" i="41" s="1"/>
  <c r="U45" i="41"/>
  <c r="V45" i="41" s="1"/>
  <c r="Q45" i="41"/>
  <c r="R45" i="41" s="1"/>
  <c r="M45" i="41"/>
  <c r="I45" i="41"/>
  <c r="E45" i="41"/>
  <c r="N45" i="41" s="1"/>
  <c r="O45" i="41" s="1"/>
  <c r="Z44" i="41"/>
  <c r="AB44" i="41" s="1"/>
  <c r="U44" i="41"/>
  <c r="V44" i="41" s="1"/>
  <c r="Q44" i="41"/>
  <c r="R44" i="41" s="1"/>
  <c r="M44" i="41"/>
  <c r="I44" i="41"/>
  <c r="E44" i="41"/>
  <c r="N44" i="41" s="1"/>
  <c r="AA43" i="41"/>
  <c r="U43" i="41"/>
  <c r="Q43" i="41"/>
  <c r="R43" i="41" s="1"/>
  <c r="M43" i="41"/>
  <c r="I43" i="41"/>
  <c r="E43" i="41"/>
  <c r="N43" i="41" s="1"/>
  <c r="Z42" i="41"/>
  <c r="AB42" i="41" s="1"/>
  <c r="U42" i="41"/>
  <c r="V42" i="41" s="1"/>
  <c r="Q42" i="41"/>
  <c r="R42" i="41" s="1"/>
  <c r="M42" i="41"/>
  <c r="I42" i="41"/>
  <c r="E42" i="41"/>
  <c r="N42" i="41" s="1"/>
  <c r="L41" i="41"/>
  <c r="K41" i="41"/>
  <c r="J41" i="41"/>
  <c r="H41" i="41"/>
  <c r="G41" i="41"/>
  <c r="AA39" i="41"/>
  <c r="Z39" i="41"/>
  <c r="AB39" i="41" s="1"/>
  <c r="U39" i="41"/>
  <c r="V39" i="41" s="1"/>
  <c r="Q39" i="41"/>
  <c r="R39" i="41" s="1"/>
  <c r="M39" i="41"/>
  <c r="I39" i="41"/>
  <c r="E39" i="41"/>
  <c r="N39" i="41" s="1"/>
  <c r="O39" i="41" s="1"/>
  <c r="AA38" i="41"/>
  <c r="Z38" i="41"/>
  <c r="AB38" i="41" s="1"/>
  <c r="U38" i="41"/>
  <c r="V38" i="41" s="1"/>
  <c r="Q38" i="41"/>
  <c r="R38" i="41" s="1"/>
  <c r="M38" i="41"/>
  <c r="I38" i="41"/>
  <c r="E38" i="41"/>
  <c r="N38" i="41" s="1"/>
  <c r="O38" i="41" s="1"/>
  <c r="AA37" i="41"/>
  <c r="Z37" i="41"/>
  <c r="AB37" i="41" s="1"/>
  <c r="U37" i="41"/>
  <c r="V37" i="41" s="1"/>
  <c r="Q37" i="41"/>
  <c r="R37" i="41" s="1"/>
  <c r="M37" i="41"/>
  <c r="I37" i="41"/>
  <c r="E37" i="41"/>
  <c r="N37" i="41" s="1"/>
  <c r="O37" i="41" s="1"/>
  <c r="L36" i="41"/>
  <c r="K36" i="41"/>
  <c r="J36" i="41"/>
  <c r="H36" i="41"/>
  <c r="G36" i="41"/>
  <c r="AA35" i="41"/>
  <c r="U35" i="41"/>
  <c r="Q35" i="41"/>
  <c r="R35" i="41" s="1"/>
  <c r="M35" i="41"/>
  <c r="I35" i="41"/>
  <c r="E35" i="41"/>
  <c r="N35" i="41" s="1"/>
  <c r="O35" i="41" s="1"/>
  <c r="AB34" i="41"/>
  <c r="AA34" i="41"/>
  <c r="U34" i="41"/>
  <c r="V34" i="41" s="1"/>
  <c r="Q34" i="41"/>
  <c r="R34" i="41" s="1"/>
  <c r="M34" i="41"/>
  <c r="I34" i="41"/>
  <c r="E34" i="41"/>
  <c r="N34" i="41" s="1"/>
  <c r="O34" i="41" s="1"/>
  <c r="AA33" i="41"/>
  <c r="Z33" i="41"/>
  <c r="AB33" i="41" s="1"/>
  <c r="U33" i="41"/>
  <c r="V33" i="41" s="1"/>
  <c r="Q33" i="41"/>
  <c r="R33" i="41" s="1"/>
  <c r="M33" i="41"/>
  <c r="I33" i="41"/>
  <c r="E33" i="41"/>
  <c r="N33" i="41" s="1"/>
  <c r="O33" i="41" s="1"/>
  <c r="AA32" i="41"/>
  <c r="Z32" i="41"/>
  <c r="U32" i="41"/>
  <c r="V32" i="41" s="1"/>
  <c r="Q32" i="41"/>
  <c r="R32" i="41" s="1"/>
  <c r="M32" i="41"/>
  <c r="I32" i="41"/>
  <c r="E32" i="41"/>
  <c r="N32" i="41" s="1"/>
  <c r="L31" i="41"/>
  <c r="K31" i="41"/>
  <c r="J31" i="41"/>
  <c r="H31" i="41"/>
  <c r="G31" i="41"/>
  <c r="Z28" i="41"/>
  <c r="AB28" i="41" s="1"/>
  <c r="U28" i="41"/>
  <c r="Q28" i="41"/>
  <c r="R28" i="41" s="1"/>
  <c r="M28" i="41"/>
  <c r="I28" i="41"/>
  <c r="E28" i="41"/>
  <c r="N28" i="41" s="1"/>
  <c r="O28" i="41" s="1"/>
  <c r="AA27" i="41"/>
  <c r="AA26" i="41" s="1"/>
  <c r="Z27" i="41"/>
  <c r="AB27" i="41" s="1"/>
  <c r="U27" i="41"/>
  <c r="V27" i="41" s="1"/>
  <c r="Q27" i="41"/>
  <c r="R27" i="41" s="1"/>
  <c r="M27" i="41"/>
  <c r="I27" i="41"/>
  <c r="E27" i="41"/>
  <c r="N27" i="41" s="1"/>
  <c r="O27" i="41" s="1"/>
  <c r="L26" i="41"/>
  <c r="K26" i="41"/>
  <c r="J26" i="41"/>
  <c r="H26" i="41"/>
  <c r="G26" i="41"/>
  <c r="AA25" i="41"/>
  <c r="Z25" i="41"/>
  <c r="AB25" i="41" s="1"/>
  <c r="U25" i="41"/>
  <c r="V25" i="41" s="1"/>
  <c r="Q25" i="41"/>
  <c r="R25" i="41" s="1"/>
  <c r="M25" i="41"/>
  <c r="I25" i="41"/>
  <c r="E25" i="41"/>
  <c r="N25" i="41" s="1"/>
  <c r="O25" i="41" s="1"/>
  <c r="AA24" i="41"/>
  <c r="Z24" i="41"/>
  <c r="AB24" i="41" s="1"/>
  <c r="U24" i="41"/>
  <c r="V24" i="41" s="1"/>
  <c r="Q24" i="41"/>
  <c r="M24" i="41"/>
  <c r="I24" i="41"/>
  <c r="E24" i="41"/>
  <c r="N24" i="41" s="1"/>
  <c r="L23" i="41"/>
  <c r="K23" i="41"/>
  <c r="J23" i="41"/>
  <c r="H23" i="41"/>
  <c r="G23" i="41"/>
  <c r="Z21" i="41"/>
  <c r="AB21" i="41" s="1"/>
  <c r="U21" i="41"/>
  <c r="V21" i="41" s="1"/>
  <c r="Q21" i="41"/>
  <c r="R21" i="41" s="1"/>
  <c r="M21" i="41"/>
  <c r="I21" i="41"/>
  <c r="E21" i="41"/>
  <c r="N21" i="41" s="1"/>
  <c r="AA20" i="41"/>
  <c r="AA18" i="41" s="1"/>
  <c r="U20" i="41"/>
  <c r="V20" i="41" s="1"/>
  <c r="Q20" i="41"/>
  <c r="M20" i="41"/>
  <c r="I20" i="41"/>
  <c r="E20" i="41"/>
  <c r="N20" i="41" s="1"/>
  <c r="Z19" i="41"/>
  <c r="AB19" i="41" s="1"/>
  <c r="U19" i="41"/>
  <c r="V19" i="41" s="1"/>
  <c r="Q19" i="41"/>
  <c r="R19" i="41" s="1"/>
  <c r="M19" i="41"/>
  <c r="I19" i="41"/>
  <c r="N19" i="41"/>
  <c r="L18" i="41"/>
  <c r="K18" i="41"/>
  <c r="J18" i="41"/>
  <c r="H18" i="41"/>
  <c r="G18" i="41"/>
  <c r="L205" i="41" l="1"/>
  <c r="V157" i="41"/>
  <c r="V156" i="41" s="1"/>
  <c r="AA232" i="41"/>
  <c r="M156" i="41"/>
  <c r="I196" i="41"/>
  <c r="S209" i="41"/>
  <c r="X209" i="41" s="1"/>
  <c r="S237" i="41"/>
  <c r="M245" i="41"/>
  <c r="M244" i="41" s="1"/>
  <c r="AA245" i="41"/>
  <c r="L251" i="41"/>
  <c r="Q255" i="41"/>
  <c r="R255" i="41" s="1"/>
  <c r="G138" i="41"/>
  <c r="L138" i="41"/>
  <c r="M196" i="41"/>
  <c r="G30" i="41"/>
  <c r="L30" i="41"/>
  <c r="S157" i="41"/>
  <c r="S71" i="41"/>
  <c r="X71" i="41" s="1"/>
  <c r="I144" i="41"/>
  <c r="K40" i="41"/>
  <c r="Q23" i="41"/>
  <c r="R23" i="41" s="1"/>
  <c r="H138" i="41"/>
  <c r="K235" i="41"/>
  <c r="AA252" i="41"/>
  <c r="AA251" i="41" s="1"/>
  <c r="M179" i="41"/>
  <c r="I228" i="41"/>
  <c r="M228" i="41"/>
  <c r="K251" i="41"/>
  <c r="V23" i="41"/>
  <c r="S72" i="41"/>
  <c r="W72" i="41" s="1"/>
  <c r="Y72" i="41" s="1"/>
  <c r="Z97" i="41"/>
  <c r="AB97" i="41" s="1"/>
  <c r="S100" i="41"/>
  <c r="W100" i="41" s="1"/>
  <c r="Y100" i="41" s="1"/>
  <c r="H78" i="41"/>
  <c r="H77" i="41" s="1"/>
  <c r="M79" i="41"/>
  <c r="S163" i="41"/>
  <c r="X163" i="41" s="1"/>
  <c r="J30" i="41"/>
  <c r="I31" i="41"/>
  <c r="S35" i="41"/>
  <c r="AA92" i="41"/>
  <c r="AA87" i="41" s="1"/>
  <c r="H129" i="41"/>
  <c r="H128" i="41" s="1"/>
  <c r="AA228" i="41"/>
  <c r="S246" i="41"/>
  <c r="S70" i="41"/>
  <c r="X70" i="41" s="1"/>
  <c r="M97" i="41"/>
  <c r="Q156" i="41"/>
  <c r="R156" i="41" s="1"/>
  <c r="S158" i="41"/>
  <c r="S164" i="41"/>
  <c r="M219" i="41"/>
  <c r="M215" i="41" s="1"/>
  <c r="AA219" i="41"/>
  <c r="AA215" i="41" s="1"/>
  <c r="S221" i="41"/>
  <c r="X221" i="41" s="1"/>
  <c r="H251" i="41"/>
  <c r="S48" i="41"/>
  <c r="X48" i="41" s="1"/>
  <c r="AA52" i="41"/>
  <c r="S75" i="41"/>
  <c r="X75" i="41" s="1"/>
  <c r="S98" i="41"/>
  <c r="G204" i="41"/>
  <c r="G235" i="41"/>
  <c r="I252" i="41"/>
  <c r="I251" i="41" s="1"/>
  <c r="M26" i="41"/>
  <c r="Q49" i="41"/>
  <c r="R49" i="41" s="1"/>
  <c r="M64" i="41"/>
  <c r="I165" i="41"/>
  <c r="I162" i="41" s="1"/>
  <c r="S227" i="41"/>
  <c r="X227" i="41" s="1"/>
  <c r="I238" i="41"/>
  <c r="I236" i="41" s="1"/>
  <c r="I46" i="41"/>
  <c r="M101" i="41"/>
  <c r="AA101" i="41"/>
  <c r="I140" i="41"/>
  <c r="I139" i="41" s="1"/>
  <c r="AA156" i="41"/>
  <c r="S161" i="41"/>
  <c r="Q165" i="41"/>
  <c r="Q162" i="41" s="1"/>
  <c r="AA190" i="41"/>
  <c r="AA187" i="41" s="1"/>
  <c r="J204" i="41"/>
  <c r="V64" i="41"/>
  <c r="S106" i="41"/>
  <c r="S105" i="41" s="1"/>
  <c r="S104" i="41" s="1"/>
  <c r="S25" i="41"/>
  <c r="X25" i="41" s="1"/>
  <c r="AB98" i="41"/>
  <c r="S28" i="41"/>
  <c r="S37" i="41"/>
  <c r="W37" i="41" s="1"/>
  <c r="Y37" i="41" s="1"/>
  <c r="M46" i="41"/>
  <c r="I52" i="41"/>
  <c r="S60" i="41"/>
  <c r="X60" i="41" s="1"/>
  <c r="I79" i="41"/>
  <c r="M82" i="41"/>
  <c r="AA82" i="41"/>
  <c r="S84" i="41"/>
  <c r="X84" i="41" s="1"/>
  <c r="S91" i="41"/>
  <c r="X91" i="41" s="1"/>
  <c r="S96" i="41"/>
  <c r="W96" i="41" s="1"/>
  <c r="Y96" i="41" s="1"/>
  <c r="I97" i="41"/>
  <c r="I95" i="41" s="1"/>
  <c r="M120" i="41"/>
  <c r="S134" i="41"/>
  <c r="X134" i="41" s="1"/>
  <c r="M140" i="41"/>
  <c r="M139" i="41" s="1"/>
  <c r="AA140" i="41"/>
  <c r="AA139" i="41" s="1"/>
  <c r="S160" i="41"/>
  <c r="S173" i="41"/>
  <c r="W173" i="41" s="1"/>
  <c r="Y173" i="41" s="1"/>
  <c r="I169" i="41"/>
  <c r="I168" i="41" s="1"/>
  <c r="S175" i="41"/>
  <c r="X175" i="41" s="1"/>
  <c r="H178" i="41"/>
  <c r="H155" i="41" s="1"/>
  <c r="I183" i="41"/>
  <c r="AA183" i="41"/>
  <c r="AA196" i="41"/>
  <c r="AA195" i="41" s="1"/>
  <c r="V228" i="41"/>
  <c r="M252" i="41"/>
  <c r="M251" i="41" s="1"/>
  <c r="M23" i="41"/>
  <c r="S33" i="41"/>
  <c r="X33" i="41" s="1"/>
  <c r="S90" i="41"/>
  <c r="X90" i="41" s="1"/>
  <c r="U112" i="41"/>
  <c r="U109" i="41" s="1"/>
  <c r="V135" i="41"/>
  <c r="S171" i="41"/>
  <c r="X171" i="41" s="1"/>
  <c r="S189" i="41"/>
  <c r="I190" i="41"/>
  <c r="I187" i="41" s="1"/>
  <c r="I223" i="41"/>
  <c r="I222" i="41" s="1"/>
  <c r="Z261" i="41"/>
  <c r="AB261" i="41" s="1"/>
  <c r="N106" i="41"/>
  <c r="O106" i="41" s="1"/>
  <c r="O105" i="41" s="1"/>
  <c r="E105" i="41"/>
  <c r="E104" i="41" s="1"/>
  <c r="AB141" i="41"/>
  <c r="Z140" i="41"/>
  <c r="Z139" i="41" s="1"/>
  <c r="AB139" i="41" s="1"/>
  <c r="S19" i="41"/>
  <c r="X19" i="41" s="1"/>
  <c r="Z23" i="41"/>
  <c r="AB23" i="41" s="1"/>
  <c r="I36" i="41"/>
  <c r="M36" i="41"/>
  <c r="E41" i="41"/>
  <c r="I64" i="41"/>
  <c r="AB106" i="41"/>
  <c r="Z105" i="41"/>
  <c r="Z104" i="41" s="1"/>
  <c r="AB104" i="41" s="1"/>
  <c r="AB184" i="41"/>
  <c r="Z183" i="41"/>
  <c r="AB183" i="41" s="1"/>
  <c r="V202" i="41"/>
  <c r="V201" i="41" s="1"/>
  <c r="U201" i="41"/>
  <c r="M18" i="41"/>
  <c r="AA120" i="41"/>
  <c r="S67" i="41"/>
  <c r="X67" i="41" s="1"/>
  <c r="AB151" i="41"/>
  <c r="Z150" i="41"/>
  <c r="Z149" i="41" s="1"/>
  <c r="AB149" i="41" s="1"/>
  <c r="AB50" i="41"/>
  <c r="Z49" i="41"/>
  <c r="AB49" i="41" s="1"/>
  <c r="I18" i="41"/>
  <c r="I23" i="41"/>
  <c r="S32" i="41"/>
  <c r="X32" i="41" s="1"/>
  <c r="S53" i="41"/>
  <c r="X53" i="41" s="1"/>
  <c r="U57" i="41"/>
  <c r="S58" i="41"/>
  <c r="M57" i="41"/>
  <c r="AB83" i="41"/>
  <c r="Z82" i="41"/>
  <c r="AB82" i="41" s="1"/>
  <c r="G87" i="41"/>
  <c r="G86" i="41" s="1"/>
  <c r="L87" i="41"/>
  <c r="L86" i="41" s="1"/>
  <c r="M116" i="41"/>
  <c r="S121" i="41"/>
  <c r="G129" i="41"/>
  <c r="G128" i="41" s="1"/>
  <c r="L129" i="41"/>
  <c r="L128" i="41" s="1"/>
  <c r="AA135" i="41"/>
  <c r="AA129" i="41" s="1"/>
  <c r="AA128" i="41" s="1"/>
  <c r="J214" i="41"/>
  <c r="AA238" i="41"/>
  <c r="AA236" i="41" s="1"/>
  <c r="I156" i="41"/>
  <c r="L195" i="41"/>
  <c r="L186" i="41" s="1"/>
  <c r="L214" i="41"/>
  <c r="K214" i="41"/>
  <c r="J235" i="41"/>
  <c r="S34" i="41"/>
  <c r="W34" i="41" s="1"/>
  <c r="Y34" i="41" s="1"/>
  <c r="K30" i="41"/>
  <c r="S38" i="41"/>
  <c r="W38" i="41" s="1"/>
  <c r="Y38" i="41" s="1"/>
  <c r="V52" i="41"/>
  <c r="J56" i="41"/>
  <c r="J55" i="41" s="1"/>
  <c r="S62" i="41"/>
  <c r="X62" i="41" s="1"/>
  <c r="AA64" i="41"/>
  <c r="S66" i="41"/>
  <c r="X66" i="41" s="1"/>
  <c r="S69" i="41"/>
  <c r="X69" i="41" s="1"/>
  <c r="S76" i="41"/>
  <c r="X76" i="41" s="1"/>
  <c r="AA79" i="41"/>
  <c r="M88" i="41"/>
  <c r="U92" i="41"/>
  <c r="S93" i="41"/>
  <c r="V101" i="41"/>
  <c r="S111" i="41"/>
  <c r="X111" i="41" s="1"/>
  <c r="E112" i="41"/>
  <c r="E109" i="41" s="1"/>
  <c r="G115" i="41"/>
  <c r="G108" i="41" s="1"/>
  <c r="AA116" i="41"/>
  <c r="S118" i="41"/>
  <c r="X118" i="41" s="1"/>
  <c r="I131" i="41"/>
  <c r="S133" i="41"/>
  <c r="W133" i="41" s="1"/>
  <c r="Y133" i="41" s="1"/>
  <c r="S141" i="41"/>
  <c r="M144" i="41"/>
  <c r="S146" i="41"/>
  <c r="X146" i="41" s="1"/>
  <c r="M165" i="41"/>
  <c r="M162" i="41" s="1"/>
  <c r="K178" i="41"/>
  <c r="K155" i="41" s="1"/>
  <c r="S182" i="41"/>
  <c r="W182" i="41" s="1"/>
  <c r="Y182" i="41" s="1"/>
  <c r="M183" i="41"/>
  <c r="M178" i="41" s="1"/>
  <c r="S185" i="41"/>
  <c r="S193" i="41"/>
  <c r="X193" i="41" s="1"/>
  <c r="S194" i="41"/>
  <c r="X194" i="41" s="1"/>
  <c r="S203" i="41"/>
  <c r="E205" i="41"/>
  <c r="K204" i="41"/>
  <c r="K154" i="41" s="1"/>
  <c r="K11" i="41" s="1"/>
  <c r="S207" i="41"/>
  <c r="S217" i="41"/>
  <c r="X217" i="41" s="1"/>
  <c r="I219" i="41"/>
  <c r="I215" i="41" s="1"/>
  <c r="AA223" i="41"/>
  <c r="AA222" i="41" s="1"/>
  <c r="I232" i="41"/>
  <c r="AA244" i="41"/>
  <c r="S249" i="41"/>
  <c r="X249" i="41" s="1"/>
  <c r="S54" i="41"/>
  <c r="X54" i="41" s="1"/>
  <c r="G78" i="41"/>
  <c r="G77" i="41" s="1"/>
  <c r="K78" i="41"/>
  <c r="K77" i="41" s="1"/>
  <c r="J78" i="41"/>
  <c r="J77" i="41" s="1"/>
  <c r="M131" i="41"/>
  <c r="S151" i="41"/>
  <c r="I159" i="41"/>
  <c r="G195" i="41"/>
  <c r="G186" i="41" s="1"/>
  <c r="J195" i="41"/>
  <c r="J186" i="41" s="1"/>
  <c r="L204" i="41"/>
  <c r="M205" i="41"/>
  <c r="AA205" i="41"/>
  <c r="AA204" i="41" s="1"/>
  <c r="M232" i="41"/>
  <c r="S242" i="41"/>
  <c r="X242" i="41" s="1"/>
  <c r="G251" i="41"/>
  <c r="N102" i="41"/>
  <c r="O102" i="41" s="1"/>
  <c r="E101" i="41"/>
  <c r="H40" i="41"/>
  <c r="S42" i="41"/>
  <c r="X42" i="41" s="1"/>
  <c r="S21" i="41"/>
  <c r="X21" i="41" s="1"/>
  <c r="G22" i="41"/>
  <c r="G17" i="41" s="1"/>
  <c r="K22" i="41"/>
  <c r="K17" i="41" s="1"/>
  <c r="R24" i="41"/>
  <c r="S24" i="41" s="1"/>
  <c r="S27" i="41"/>
  <c r="W27" i="41" s="1"/>
  <c r="Y27" i="41" s="1"/>
  <c r="U26" i="41"/>
  <c r="M31" i="41"/>
  <c r="V36" i="41"/>
  <c r="AA36" i="41"/>
  <c r="S39" i="41"/>
  <c r="X39" i="41" s="1"/>
  <c r="I41" i="41"/>
  <c r="M41" i="41"/>
  <c r="I49" i="41"/>
  <c r="M49" i="41"/>
  <c r="S61" i="41"/>
  <c r="X61" i="41" s="1"/>
  <c r="H56" i="41"/>
  <c r="H55" i="41" s="1"/>
  <c r="L56" i="41"/>
  <c r="L55" i="41" s="1"/>
  <c r="Q73" i="41"/>
  <c r="R73" i="41" s="1"/>
  <c r="S80" i="41"/>
  <c r="S83" i="41"/>
  <c r="S85" i="41"/>
  <c r="X85" i="41" s="1"/>
  <c r="I88" i="41"/>
  <c r="Q92" i="41"/>
  <c r="R92" i="41" s="1"/>
  <c r="M92" i="41"/>
  <c r="S94" i="41"/>
  <c r="X94" i="41" s="1"/>
  <c r="R123" i="41"/>
  <c r="S123" i="41" s="1"/>
  <c r="W123" i="41" s="1"/>
  <c r="Y123" i="41" s="1"/>
  <c r="Q120" i="41"/>
  <c r="R120" i="41" s="1"/>
  <c r="Q159" i="41"/>
  <c r="R159" i="41" s="1"/>
  <c r="S159" i="41"/>
  <c r="N161" i="41"/>
  <c r="O161" i="41" s="1"/>
  <c r="O159" i="41" s="1"/>
  <c r="E159" i="41"/>
  <c r="R206" i="41"/>
  <c r="Z206" i="41" s="1"/>
  <c r="AB206" i="41" s="1"/>
  <c r="Q205" i="41"/>
  <c r="Q204" i="41" s="1"/>
  <c r="S256" i="41"/>
  <c r="S255" i="41" s="1"/>
  <c r="R262" i="41"/>
  <c r="S262" i="41" s="1"/>
  <c r="S261" i="41" s="1"/>
  <c r="S260" i="41" s="1"/>
  <c r="Q261" i="41"/>
  <c r="R261" i="41" s="1"/>
  <c r="V151" i="41"/>
  <c r="V150" i="41" s="1"/>
  <c r="V149" i="41" s="1"/>
  <c r="U150" i="41"/>
  <c r="U149" i="41" s="1"/>
  <c r="Q190" i="41"/>
  <c r="R190" i="41" s="1"/>
  <c r="R191" i="41"/>
  <c r="S191" i="41" s="1"/>
  <c r="X191" i="41" s="1"/>
  <c r="L22" i="41"/>
  <c r="L17" i="41" s="1"/>
  <c r="H30" i="41"/>
  <c r="S45" i="41"/>
  <c r="X45" i="41" s="1"/>
  <c r="G40" i="41"/>
  <c r="M52" i="41"/>
  <c r="S63" i="41"/>
  <c r="X63" i="41" s="1"/>
  <c r="Z64" i="41"/>
  <c r="AB64" i="41" s="1"/>
  <c r="Q64" i="41"/>
  <c r="R64" i="41" s="1"/>
  <c r="I73" i="41"/>
  <c r="M73" i="41"/>
  <c r="S81" i="41"/>
  <c r="X81" i="41" s="1"/>
  <c r="I82" i="41"/>
  <c r="Z88" i="41"/>
  <c r="AB88" i="41" s="1"/>
  <c r="V92" i="41"/>
  <c r="S181" i="41"/>
  <c r="V246" i="41"/>
  <c r="V245" i="41" s="1"/>
  <c r="V244" i="41" s="1"/>
  <c r="U245" i="41"/>
  <c r="U244" i="41" s="1"/>
  <c r="I26" i="41"/>
  <c r="N151" i="41"/>
  <c r="N150" i="41" s="1"/>
  <c r="N149" i="41" s="1"/>
  <c r="E150" i="41"/>
  <c r="E149" i="41" s="1"/>
  <c r="Z159" i="41"/>
  <c r="AB159" i="41" s="1"/>
  <c r="AB161" i="41"/>
  <c r="H22" i="41"/>
  <c r="H17" i="41" s="1"/>
  <c r="AA41" i="41"/>
  <c r="S50" i="41"/>
  <c r="AA57" i="41"/>
  <c r="S68" i="41"/>
  <c r="X68" i="41" s="1"/>
  <c r="J87" i="41"/>
  <c r="J86" i="41" s="1"/>
  <c r="V144" i="41"/>
  <c r="U165" i="41"/>
  <c r="U162" i="41" s="1"/>
  <c r="V166" i="41"/>
  <c r="V165" i="41" s="1"/>
  <c r="N203" i="41"/>
  <c r="O203" i="41" s="1"/>
  <c r="O201" i="41" s="1"/>
  <c r="E201" i="41"/>
  <c r="AB225" i="41"/>
  <c r="Z223" i="41"/>
  <c r="L235" i="41"/>
  <c r="AB259" i="41"/>
  <c r="Z258" i="41"/>
  <c r="AB258" i="41" s="1"/>
  <c r="I101" i="41"/>
  <c r="S114" i="41"/>
  <c r="X114" i="41" s="1"/>
  <c r="K115" i="41"/>
  <c r="K108" i="41" s="1"/>
  <c r="S119" i="41"/>
  <c r="W119" i="41" s="1"/>
  <c r="Y119" i="41" s="1"/>
  <c r="K129" i="41"/>
  <c r="K128" i="41" s="1"/>
  <c r="I135" i="41"/>
  <c r="M135" i="41"/>
  <c r="N140" i="41"/>
  <c r="N139" i="41" s="1"/>
  <c r="S142" i="41"/>
  <c r="X142" i="41" s="1"/>
  <c r="S143" i="41"/>
  <c r="X143" i="41" s="1"/>
  <c r="S148" i="41"/>
  <c r="W148" i="41" s="1"/>
  <c r="Y148" i="41" s="1"/>
  <c r="M159" i="41"/>
  <c r="J178" i="41"/>
  <c r="J155" i="41" s="1"/>
  <c r="Q179" i="41"/>
  <c r="R179" i="41" s="1"/>
  <c r="S180" i="41"/>
  <c r="I205" i="41"/>
  <c r="I204" i="41" s="1"/>
  <c r="S210" i="41"/>
  <c r="X210" i="41" s="1"/>
  <c r="S211" i="41"/>
  <c r="X211" i="41" s="1"/>
  <c r="Z238" i="41"/>
  <c r="AB238" i="41" s="1"/>
  <c r="S240" i="41"/>
  <c r="H235" i="41"/>
  <c r="I245" i="41"/>
  <c r="I244" i="41" s="1"/>
  <c r="S248" i="41"/>
  <c r="X248" i="41" s="1"/>
  <c r="M95" i="41"/>
  <c r="L115" i="41"/>
  <c r="L108" i="41" s="1"/>
  <c r="S177" i="41"/>
  <c r="W177" i="41" s="1"/>
  <c r="Y177" i="41" s="1"/>
  <c r="S199" i="41"/>
  <c r="W199" i="41" s="1"/>
  <c r="Y199" i="41" s="1"/>
  <c r="M201" i="41"/>
  <c r="H204" i="41"/>
  <c r="S213" i="41"/>
  <c r="S212" i="41" s="1"/>
  <c r="S225" i="41"/>
  <c r="X225" i="41" s="1"/>
  <c r="S226" i="41"/>
  <c r="S229" i="41"/>
  <c r="X229" i="41" s="1"/>
  <c r="S234" i="41"/>
  <c r="X234" i="41" s="1"/>
  <c r="S247" i="41"/>
  <c r="X247" i="41" s="1"/>
  <c r="J251" i="41"/>
  <c r="S253" i="41"/>
  <c r="X253" i="41" s="1"/>
  <c r="V252" i="41"/>
  <c r="U261" i="41"/>
  <c r="U260" i="41" s="1"/>
  <c r="Q97" i="41"/>
  <c r="Q95" i="41" s="1"/>
  <c r="R95" i="41" s="1"/>
  <c r="S102" i="41"/>
  <c r="M112" i="41"/>
  <c r="M109" i="41" s="1"/>
  <c r="V113" i="41"/>
  <c r="V112" i="41" s="1"/>
  <c r="V109" i="41" s="1"/>
  <c r="I116" i="41"/>
  <c r="S117" i="41"/>
  <c r="S122" i="41"/>
  <c r="S124" i="41"/>
  <c r="X124" i="41" s="1"/>
  <c r="N135" i="41"/>
  <c r="S166" i="41"/>
  <c r="AA165" i="41"/>
  <c r="AA162" i="41" s="1"/>
  <c r="S167" i="41"/>
  <c r="S174" i="41"/>
  <c r="G178" i="41"/>
  <c r="G155" i="41" s="1"/>
  <c r="L178" i="41"/>
  <c r="L155" i="41" s="1"/>
  <c r="G214" i="41"/>
  <c r="M223" i="41"/>
  <c r="M222" i="41" s="1"/>
  <c r="S241" i="41"/>
  <c r="W241" i="41" s="1"/>
  <c r="Y241" i="41" s="1"/>
  <c r="O32" i="41"/>
  <c r="N31" i="41"/>
  <c r="O53" i="41"/>
  <c r="N52" i="41"/>
  <c r="V98" i="41"/>
  <c r="V97" i="41" s="1"/>
  <c r="V95" i="41" s="1"/>
  <c r="U97" i="41"/>
  <c r="U95" i="41" s="1"/>
  <c r="V106" i="41"/>
  <c r="V105" i="41" s="1"/>
  <c r="V104" i="41" s="1"/>
  <c r="U105" i="41"/>
  <c r="U104" i="41" s="1"/>
  <c r="O132" i="41"/>
  <c r="O131" i="41" s="1"/>
  <c r="N131" i="41"/>
  <c r="U140" i="41"/>
  <c r="U139" i="41" s="1"/>
  <c r="V141" i="41"/>
  <c r="V140" i="41" s="1"/>
  <c r="V139" i="41" s="1"/>
  <c r="R184" i="41"/>
  <c r="S184" i="41" s="1"/>
  <c r="Q183" i="41"/>
  <c r="AB203" i="41"/>
  <c r="Z201" i="41"/>
  <c r="AB201" i="41" s="1"/>
  <c r="AA23" i="41"/>
  <c r="AA22" i="41" s="1"/>
  <c r="AA17" i="41" s="1"/>
  <c r="E26" i="41"/>
  <c r="V28" i="41"/>
  <c r="V26" i="41" s="1"/>
  <c r="E31" i="41"/>
  <c r="AA31" i="41"/>
  <c r="Z36" i="41"/>
  <c r="AB36" i="41" s="1"/>
  <c r="L40" i="41"/>
  <c r="U46" i="41"/>
  <c r="N49" i="41"/>
  <c r="R51" i="41"/>
  <c r="S51" i="41" s="1"/>
  <c r="E52" i="41"/>
  <c r="Q52" i="41"/>
  <c r="R52" i="41" s="1"/>
  <c r="Z52" i="41"/>
  <c r="AB52" i="41" s="1"/>
  <c r="R65" i="41"/>
  <c r="S65" i="41" s="1"/>
  <c r="V73" i="41"/>
  <c r="L78" i="41"/>
  <c r="L77" i="41" s="1"/>
  <c r="V79" i="41"/>
  <c r="Q82" i="41"/>
  <c r="R82" i="41" s="1"/>
  <c r="R89" i="41"/>
  <c r="S89" i="41" s="1"/>
  <c r="Q88" i="41"/>
  <c r="R88" i="41" s="1"/>
  <c r="E97" i="41"/>
  <c r="E95" i="41" s="1"/>
  <c r="N97" i="41"/>
  <c r="N95" i="41" s="1"/>
  <c r="AA144" i="41"/>
  <c r="AB180" i="41"/>
  <c r="Z179" i="41"/>
  <c r="AB179" i="41" s="1"/>
  <c r="V181" i="41"/>
  <c r="V179" i="41" s="1"/>
  <c r="U179" i="41"/>
  <c r="E228" i="41"/>
  <c r="Z43" i="41"/>
  <c r="AB43" i="41" s="1"/>
  <c r="Q41" i="41"/>
  <c r="R41" i="41" s="1"/>
  <c r="Z80" i="41"/>
  <c r="AB80" i="41" s="1"/>
  <c r="E82" i="41"/>
  <c r="J138" i="41"/>
  <c r="V207" i="41"/>
  <c r="V205" i="41" s="1"/>
  <c r="U205" i="41"/>
  <c r="U212" i="41"/>
  <c r="V213" i="41"/>
  <c r="V212" i="41" s="1"/>
  <c r="N239" i="41"/>
  <c r="O239" i="41" s="1"/>
  <c r="E238" i="41"/>
  <c r="E236" i="41" s="1"/>
  <c r="V240" i="41"/>
  <c r="V238" i="41" s="1"/>
  <c r="U238" i="41"/>
  <c r="U236" i="41" s="1"/>
  <c r="E23" i="41"/>
  <c r="J22" i="41"/>
  <c r="J17" i="41" s="1"/>
  <c r="E36" i="41"/>
  <c r="U36" i="41"/>
  <c r="J40" i="41"/>
  <c r="E49" i="41"/>
  <c r="U52" i="41"/>
  <c r="R74" i="41"/>
  <c r="S74" i="41" s="1"/>
  <c r="U79" i="41"/>
  <c r="Z92" i="41"/>
  <c r="AB92" i="41" s="1"/>
  <c r="U101" i="41"/>
  <c r="H115" i="41"/>
  <c r="H108" i="41" s="1"/>
  <c r="O126" i="41"/>
  <c r="O125" i="41" s="1"/>
  <c r="N125" i="41"/>
  <c r="V126" i="41"/>
  <c r="V125" i="41" s="1"/>
  <c r="U125" i="41"/>
  <c r="Q144" i="41"/>
  <c r="R144" i="41" s="1"/>
  <c r="R145" i="41"/>
  <c r="S145" i="41" s="1"/>
  <c r="X145" i="41" s="1"/>
  <c r="O166" i="41"/>
  <c r="N167" i="41"/>
  <c r="O167" i="41" s="1"/>
  <c r="E165" i="41"/>
  <c r="E162" i="41" s="1"/>
  <c r="R188" i="41"/>
  <c r="S188" i="41" s="1"/>
  <c r="Z233" i="41"/>
  <c r="AB233" i="41" s="1"/>
  <c r="U232" i="41"/>
  <c r="H87" i="41"/>
  <c r="H86" i="41" s="1"/>
  <c r="Q105" i="41"/>
  <c r="N116" i="41"/>
  <c r="Z116" i="41"/>
  <c r="AB116" i="41" s="1"/>
  <c r="E140" i="41"/>
  <c r="E139" i="41" s="1"/>
  <c r="Q140" i="41"/>
  <c r="Q139" i="41" s="1"/>
  <c r="K138" i="41"/>
  <c r="E156" i="41"/>
  <c r="Z165" i="41"/>
  <c r="Z162" i="41" s="1"/>
  <c r="AB162" i="41" s="1"/>
  <c r="R220" i="41"/>
  <c r="S220" i="41" s="1"/>
  <c r="Q219" i="41"/>
  <c r="R219" i="41" s="1"/>
  <c r="N237" i="41"/>
  <c r="AA97" i="41"/>
  <c r="AA95" i="41" s="1"/>
  <c r="AA112" i="41"/>
  <c r="AA109" i="41" s="1"/>
  <c r="J115" i="41"/>
  <c r="J108" i="41" s="1"/>
  <c r="V120" i="41"/>
  <c r="E125" i="41"/>
  <c r="E169" i="41"/>
  <c r="E168" i="41" s="1"/>
  <c r="R197" i="41"/>
  <c r="Z197" i="41" s="1"/>
  <c r="Q196" i="41"/>
  <c r="R196" i="41" s="1"/>
  <c r="J129" i="41"/>
  <c r="J128" i="41" s="1"/>
  <c r="V185" i="41"/>
  <c r="U183" i="41"/>
  <c r="K195" i="41"/>
  <c r="K186" i="41" s="1"/>
  <c r="N205" i="41"/>
  <c r="U228" i="41"/>
  <c r="Q238" i="41"/>
  <c r="R239" i="41"/>
  <c r="S239" i="41" s="1"/>
  <c r="V259" i="41"/>
  <c r="V258" i="41" s="1"/>
  <c r="V257" i="41" s="1"/>
  <c r="U258" i="41"/>
  <c r="U257" i="41" s="1"/>
  <c r="Z157" i="41"/>
  <c r="Z156" i="41" s="1"/>
  <c r="U190" i="41"/>
  <c r="U187" i="41" s="1"/>
  <c r="Q223" i="41"/>
  <c r="N228" i="41"/>
  <c r="Q232" i="41"/>
  <c r="R232" i="41" s="1"/>
  <c r="Q245" i="41"/>
  <c r="Z253" i="41"/>
  <c r="Q258" i="41"/>
  <c r="Z208" i="41"/>
  <c r="AB208" i="41" s="1"/>
  <c r="AA169" i="41"/>
  <c r="AA168" i="41" s="1"/>
  <c r="H195" i="41"/>
  <c r="H186" i="41" s="1"/>
  <c r="S208" i="41"/>
  <c r="W208" i="41" s="1"/>
  <c r="Y208" i="41" s="1"/>
  <c r="U252" i="41"/>
  <c r="O21" i="41"/>
  <c r="O24" i="41"/>
  <c r="N23" i="41"/>
  <c r="O19" i="41"/>
  <c r="N18" i="41"/>
  <c r="V18" i="41"/>
  <c r="N58" i="41"/>
  <c r="E57" i="41"/>
  <c r="V83" i="41"/>
  <c r="V82" i="41" s="1"/>
  <c r="U82" i="41"/>
  <c r="E18" i="41"/>
  <c r="O20" i="41"/>
  <c r="Q31" i="41"/>
  <c r="O36" i="41"/>
  <c r="S47" i="41"/>
  <c r="R20" i="41"/>
  <c r="S20" i="41" s="1"/>
  <c r="Q18" i="41"/>
  <c r="Q26" i="41"/>
  <c r="AB32" i="41"/>
  <c r="N36" i="41"/>
  <c r="O43" i="41"/>
  <c r="N41" i="41"/>
  <c r="S43" i="41"/>
  <c r="O44" i="41"/>
  <c r="S44" i="41"/>
  <c r="X44" i="41" s="1"/>
  <c r="V46" i="41"/>
  <c r="O49" i="41"/>
  <c r="V51" i="41"/>
  <c r="V49" i="41" s="1"/>
  <c r="U49" i="41"/>
  <c r="R59" i="41"/>
  <c r="S59" i="41" s="1"/>
  <c r="X59" i="41" s="1"/>
  <c r="Q57" i="41"/>
  <c r="O66" i="41"/>
  <c r="Z68" i="41"/>
  <c r="AB68" i="41" s="1"/>
  <c r="AB75" i="41"/>
  <c r="Z73" i="41"/>
  <c r="AB73" i="41" s="1"/>
  <c r="Q79" i="41"/>
  <c r="N80" i="41"/>
  <c r="E79" i="41"/>
  <c r="O97" i="41"/>
  <c r="O95" i="41" s="1"/>
  <c r="R103" i="41"/>
  <c r="S103" i="41" s="1"/>
  <c r="X103" i="41" s="1"/>
  <c r="Q101" i="41"/>
  <c r="R101" i="41" s="1"/>
  <c r="O124" i="41"/>
  <c r="AB132" i="41"/>
  <c r="Z131" i="41"/>
  <c r="O146" i="41"/>
  <c r="O94" i="41"/>
  <c r="Z35" i="41"/>
  <c r="AB35" i="41" s="1"/>
  <c r="V35" i="41"/>
  <c r="V31" i="41" s="1"/>
  <c r="U31" i="41"/>
  <c r="K56" i="41"/>
  <c r="K55" i="41" s="1"/>
  <c r="O59" i="41"/>
  <c r="I57" i="41"/>
  <c r="Z62" i="41"/>
  <c r="AB62" i="41" s="1"/>
  <c r="N122" i="41"/>
  <c r="N120" i="41" s="1"/>
  <c r="E120" i="41"/>
  <c r="O26" i="41"/>
  <c r="O68" i="41"/>
  <c r="O84" i="41"/>
  <c r="R110" i="41"/>
  <c r="Z127" i="41"/>
  <c r="AB127" i="41" s="1"/>
  <c r="S127" i="41"/>
  <c r="X127" i="41" s="1"/>
  <c r="U23" i="41"/>
  <c r="U18" i="41"/>
  <c r="N26" i="41"/>
  <c r="Z26" i="41"/>
  <c r="O47" i="41"/>
  <c r="N46" i="41"/>
  <c r="G56" i="41"/>
  <c r="G55" i="41" s="1"/>
  <c r="Z58" i="41"/>
  <c r="V58" i="41"/>
  <c r="V57" i="41" s="1"/>
  <c r="U64" i="41"/>
  <c r="N65" i="41"/>
  <c r="E64" i="41"/>
  <c r="O75" i="41"/>
  <c r="O83" i="41"/>
  <c r="N82" i="41"/>
  <c r="U88" i="41"/>
  <c r="V89" i="41"/>
  <c r="V88" i="41" s="1"/>
  <c r="Q36" i="41"/>
  <c r="R36" i="41" s="1"/>
  <c r="U41" i="41"/>
  <c r="O42" i="41"/>
  <c r="V43" i="41"/>
  <c r="V41" i="41" s="1"/>
  <c r="Q46" i="41"/>
  <c r="R46" i="41" s="1"/>
  <c r="Z46" i="41"/>
  <c r="AB46" i="41" s="1"/>
  <c r="O60" i="41"/>
  <c r="O61" i="41"/>
  <c r="O62" i="41"/>
  <c r="O63" i="41"/>
  <c r="O67" i="41"/>
  <c r="U73" i="41"/>
  <c r="O85" i="41"/>
  <c r="N89" i="41"/>
  <c r="E88" i="41"/>
  <c r="I92" i="41"/>
  <c r="I112" i="41"/>
  <c r="I109" i="41" s="1"/>
  <c r="E116" i="41"/>
  <c r="V132" i="41"/>
  <c r="V131" i="41" s="1"/>
  <c r="U131" i="41"/>
  <c r="U135" i="41"/>
  <c r="O136" i="41"/>
  <c r="O141" i="41"/>
  <c r="O143" i="41"/>
  <c r="Z147" i="41"/>
  <c r="S147" i="41"/>
  <c r="X147" i="41" s="1"/>
  <c r="Z176" i="41"/>
  <c r="AB176" i="41" s="1"/>
  <c r="V176" i="41"/>
  <c r="E46" i="41"/>
  <c r="N74" i="41"/>
  <c r="E73" i="41"/>
  <c r="K87" i="41"/>
  <c r="K86" i="41" s="1"/>
  <c r="S99" i="41"/>
  <c r="W99" i="41" s="1"/>
  <c r="Y99" i="41" s="1"/>
  <c r="Z101" i="41"/>
  <c r="AB101" i="41" s="1"/>
  <c r="AB113" i="41"/>
  <c r="Z112" i="41"/>
  <c r="AB112" i="41" s="1"/>
  <c r="O118" i="41"/>
  <c r="O116" i="41" s="1"/>
  <c r="R126" i="41"/>
  <c r="S126" i="41" s="1"/>
  <c r="Q125" i="41"/>
  <c r="R125" i="41" s="1"/>
  <c r="S130" i="41"/>
  <c r="W134" i="41"/>
  <c r="Y134" i="41" s="1"/>
  <c r="S137" i="41"/>
  <c r="W137" i="41" s="1"/>
  <c r="Y137" i="41" s="1"/>
  <c r="O142" i="41"/>
  <c r="V220" i="41"/>
  <c r="V219" i="41" s="1"/>
  <c r="V215" i="41" s="1"/>
  <c r="U219" i="41"/>
  <c r="U215" i="41" s="1"/>
  <c r="AB221" i="41"/>
  <c r="Z219" i="41"/>
  <c r="AB219" i="41" s="1"/>
  <c r="Z81" i="41"/>
  <c r="AB81" i="41" s="1"/>
  <c r="N93" i="41"/>
  <c r="E92" i="41"/>
  <c r="R113" i="41"/>
  <c r="S113" i="41" s="1"/>
  <c r="Q112" i="41"/>
  <c r="R112" i="41" s="1"/>
  <c r="V117" i="41"/>
  <c r="V116" i="41" s="1"/>
  <c r="U116" i="41"/>
  <c r="S132" i="41"/>
  <c r="Z135" i="41"/>
  <c r="AB135" i="41" s="1"/>
  <c r="AB136" i="41"/>
  <c r="V164" i="41"/>
  <c r="O91" i="41"/>
  <c r="O103" i="41"/>
  <c r="O110" i="41"/>
  <c r="O111" i="41"/>
  <c r="N112" i="41"/>
  <c r="N109" i="41" s="1"/>
  <c r="O113" i="41"/>
  <c r="O114" i="41"/>
  <c r="AB117" i="41"/>
  <c r="U120" i="41"/>
  <c r="Z120" i="41"/>
  <c r="AB120" i="41" s="1"/>
  <c r="I120" i="41"/>
  <c r="E131" i="41"/>
  <c r="E129" i="41" s="1"/>
  <c r="E128" i="41" s="1"/>
  <c r="Q131" i="41"/>
  <c r="U144" i="41"/>
  <c r="O145" i="41"/>
  <c r="N144" i="41"/>
  <c r="S172" i="41"/>
  <c r="O175" i="41"/>
  <c r="M190" i="41"/>
  <c r="M187" i="41" s="1"/>
  <c r="O158" i="41"/>
  <c r="V160" i="41"/>
  <c r="V159" i="41" s="1"/>
  <c r="U159" i="41"/>
  <c r="O163" i="41"/>
  <c r="O174" i="41"/>
  <c r="O169" i="41" s="1"/>
  <c r="N169" i="41"/>
  <c r="N168" i="41" s="1"/>
  <c r="V198" i="41"/>
  <c r="V196" i="41" s="1"/>
  <c r="U196" i="41"/>
  <c r="I201" i="41"/>
  <c r="I195" i="41" s="1"/>
  <c r="Q116" i="41"/>
  <c r="AB126" i="41"/>
  <c r="Z125" i="41"/>
  <c r="AB125" i="41" s="1"/>
  <c r="R136" i="41"/>
  <c r="S136" i="41" s="1"/>
  <c r="Q135" i="41"/>
  <c r="R135" i="41" s="1"/>
  <c r="N164" i="41"/>
  <c r="AA179" i="41"/>
  <c r="E144" i="41"/>
  <c r="U156" i="41"/>
  <c r="M169" i="41"/>
  <c r="M168" i="41" s="1"/>
  <c r="O176" i="41"/>
  <c r="I179" i="41"/>
  <c r="V188" i="41"/>
  <c r="N190" i="41"/>
  <c r="S200" i="41"/>
  <c r="W200" i="41" s="1"/>
  <c r="Y200" i="41" s="1"/>
  <c r="Z256" i="41"/>
  <c r="V256" i="41"/>
  <c r="V255" i="41" s="1"/>
  <c r="U255" i="41"/>
  <c r="S192" i="41"/>
  <c r="E223" i="41"/>
  <c r="E222" i="41" s="1"/>
  <c r="N226" i="41"/>
  <c r="Q150" i="41"/>
  <c r="N157" i="41"/>
  <c r="R170" i="41"/>
  <c r="S170" i="41" s="1"/>
  <c r="Q169" i="41"/>
  <c r="S176" i="41"/>
  <c r="N188" i="41"/>
  <c r="S198" i="41"/>
  <c r="R202" i="41"/>
  <c r="S202" i="41" s="1"/>
  <c r="Q201" i="41"/>
  <c r="R201" i="41" s="1"/>
  <c r="M204" i="41"/>
  <c r="Z230" i="41"/>
  <c r="S230" i="41"/>
  <c r="X230" i="41" s="1"/>
  <c r="Z174" i="41"/>
  <c r="V174" i="41"/>
  <c r="V169" i="41" s="1"/>
  <c r="U169" i="41"/>
  <c r="U168" i="41" s="1"/>
  <c r="O189" i="41"/>
  <c r="Z189" i="41"/>
  <c r="V189" i="41"/>
  <c r="O191" i="41"/>
  <c r="O194" i="41"/>
  <c r="O206" i="41"/>
  <c r="O225" i="41"/>
  <c r="N180" i="41"/>
  <c r="E179" i="41"/>
  <c r="N184" i="41"/>
  <c r="E183" i="41"/>
  <c r="E190" i="41"/>
  <c r="E187" i="41" s="1"/>
  <c r="S206" i="41"/>
  <c r="X206" i="41" s="1"/>
  <c r="S218" i="41"/>
  <c r="Z218" i="41"/>
  <c r="AB218" i="41" s="1"/>
  <c r="Q228" i="41"/>
  <c r="R228" i="41" s="1"/>
  <c r="Z231" i="41"/>
  <c r="AB231" i="41" s="1"/>
  <c r="S231" i="41"/>
  <c r="X231" i="41" s="1"/>
  <c r="Z192" i="41"/>
  <c r="V192" i="41"/>
  <c r="V190" i="41" s="1"/>
  <c r="N197" i="41"/>
  <c r="E196" i="41"/>
  <c r="O213" i="41"/>
  <c r="N212" i="41"/>
  <c r="R216" i="41"/>
  <c r="O224" i="41"/>
  <c r="S224" i="41"/>
  <c r="Z212" i="41"/>
  <c r="AB212" i="41" s="1"/>
  <c r="U223" i="41"/>
  <c r="U222" i="41" s="1"/>
  <c r="O228" i="41"/>
  <c r="O233" i="41"/>
  <c r="N232" i="41"/>
  <c r="S233" i="41"/>
  <c r="O234" i="41"/>
  <c r="O247" i="41"/>
  <c r="O248" i="41"/>
  <c r="O249" i="41"/>
  <c r="E212" i="41"/>
  <c r="H214" i="41"/>
  <c r="O242" i="41"/>
  <c r="N220" i="41"/>
  <c r="E219" i="41"/>
  <c r="E215" i="41" s="1"/>
  <c r="V223" i="41"/>
  <c r="V222" i="41" s="1"/>
  <c r="O240" i="41"/>
  <c r="Z243" i="41"/>
  <c r="AB243" i="41" s="1"/>
  <c r="S243" i="41"/>
  <c r="W243" i="41" s="1"/>
  <c r="Y243" i="41" s="1"/>
  <c r="O253" i="41"/>
  <c r="N252" i="41"/>
  <c r="R254" i="41"/>
  <c r="S254" i="41" s="1"/>
  <c r="X254" i="41" s="1"/>
  <c r="Q252" i="41"/>
  <c r="N262" i="41"/>
  <c r="E261" i="41"/>
  <c r="E260" i="41" s="1"/>
  <c r="V233" i="41"/>
  <c r="V232" i="41" s="1"/>
  <c r="N246" i="41"/>
  <c r="E245" i="41"/>
  <c r="E244" i="41" s="1"/>
  <c r="O250" i="41"/>
  <c r="S250" i="41"/>
  <c r="E232" i="41"/>
  <c r="Z237" i="41"/>
  <c r="V237" i="41"/>
  <c r="M238" i="41"/>
  <c r="M236" i="41" s="1"/>
  <c r="Z245" i="41"/>
  <c r="N256" i="41"/>
  <c r="E255" i="41"/>
  <c r="O259" i="41"/>
  <c r="N258" i="41"/>
  <c r="N257" i="41" s="1"/>
  <c r="S259" i="41"/>
  <c r="S258" i="41" s="1"/>
  <c r="S257" i="41" s="1"/>
  <c r="E258" i="41"/>
  <c r="E257" i="41" s="1"/>
  <c r="E252" i="41"/>
  <c r="X100" i="41" l="1"/>
  <c r="S46" i="41"/>
  <c r="Z260" i="41"/>
  <c r="AB260" i="41" s="1"/>
  <c r="U87" i="41"/>
  <c r="U86" i="41" s="1"/>
  <c r="O151" i="41"/>
  <c r="O150" i="41" s="1"/>
  <c r="O149" i="41" s="1"/>
  <c r="W171" i="41"/>
  <c r="Y171" i="41" s="1"/>
  <c r="J154" i="41"/>
  <c r="J11" i="41" s="1"/>
  <c r="I30" i="41"/>
  <c r="U56" i="41"/>
  <c r="W33" i="41"/>
  <c r="Y33" i="41" s="1"/>
  <c r="Z232" i="41"/>
  <c r="AB232" i="41" s="1"/>
  <c r="W211" i="41"/>
  <c r="Y211" i="41" s="1"/>
  <c r="N138" i="41"/>
  <c r="V30" i="41"/>
  <c r="N30" i="41"/>
  <c r="V22" i="41"/>
  <c r="V17" i="41" s="1"/>
  <c r="S179" i="41"/>
  <c r="AA214" i="41"/>
  <c r="N204" i="41"/>
  <c r="X173" i="41"/>
  <c r="M195" i="41"/>
  <c r="M186" i="41" s="1"/>
  <c r="W227" i="41"/>
  <c r="Y227" i="41" s="1"/>
  <c r="R165" i="41"/>
  <c r="M235" i="41"/>
  <c r="M154" i="41" s="1"/>
  <c r="M11" i="41" s="1"/>
  <c r="W209" i="41"/>
  <c r="Y209" i="41" s="1"/>
  <c r="W71" i="41"/>
  <c r="Y71" i="41" s="1"/>
  <c r="S219" i="41"/>
  <c r="AB150" i="41"/>
  <c r="W193" i="41"/>
  <c r="Y193" i="41" s="1"/>
  <c r="I56" i="41"/>
  <c r="I55" i="41" s="1"/>
  <c r="Z95" i="41"/>
  <c r="AB95" i="41" s="1"/>
  <c r="I178" i="41"/>
  <c r="I155" i="41" s="1"/>
  <c r="X38" i="41"/>
  <c r="W32" i="41"/>
  <c r="Y32" i="41" s="1"/>
  <c r="W70" i="41"/>
  <c r="Y70" i="41" s="1"/>
  <c r="E195" i="41"/>
  <c r="E186" i="41" s="1"/>
  <c r="M22" i="41"/>
  <c r="M17" i="41" s="1"/>
  <c r="X240" i="41"/>
  <c r="W54" i="41"/>
  <c r="Y54" i="41" s="1"/>
  <c r="X37" i="41"/>
  <c r="G29" i="41"/>
  <c r="G16" i="41" s="1"/>
  <c r="G13" i="41" s="1"/>
  <c r="G9" i="41" s="1"/>
  <c r="G107" i="41"/>
  <c r="G14" i="41" s="1"/>
  <c r="K29" i="41"/>
  <c r="K16" i="41" s="1"/>
  <c r="K13" i="41" s="1"/>
  <c r="K9" i="41" s="1"/>
  <c r="S156" i="41"/>
  <c r="M129" i="41"/>
  <c r="M128" i="41" s="1"/>
  <c r="AA56" i="41"/>
  <c r="AA55" i="41" s="1"/>
  <c r="L107" i="41"/>
  <c r="L14" i="41" s="1"/>
  <c r="I138" i="41"/>
  <c r="I235" i="41"/>
  <c r="I154" i="41" s="1"/>
  <c r="I11" i="41" s="1"/>
  <c r="E138" i="41"/>
  <c r="X158" i="41"/>
  <c r="X96" i="41"/>
  <c r="X72" i="41"/>
  <c r="W90" i="41"/>
  <c r="Y90" i="41" s="1"/>
  <c r="M115" i="41"/>
  <c r="M108" i="41" s="1"/>
  <c r="N105" i="41"/>
  <c r="N104" i="41" s="1"/>
  <c r="V56" i="41"/>
  <c r="V55" i="41" s="1"/>
  <c r="W48" i="41"/>
  <c r="Y48" i="41" s="1"/>
  <c r="W76" i="41"/>
  <c r="Y76" i="41" s="1"/>
  <c r="H107" i="41"/>
  <c r="H14" i="41" s="1"/>
  <c r="J29" i="41"/>
  <c r="J16" i="41" s="1"/>
  <c r="J13" i="41" s="1"/>
  <c r="J9" i="41" s="1"/>
  <c r="L29" i="41"/>
  <c r="L16" i="41" s="1"/>
  <c r="L13" i="41" s="1"/>
  <c r="L9" i="41" s="1"/>
  <c r="S165" i="41"/>
  <c r="S162" i="41" s="1"/>
  <c r="M78" i="41"/>
  <c r="M77" i="41" s="1"/>
  <c r="E204" i="41"/>
  <c r="X182" i="41"/>
  <c r="W221" i="41"/>
  <c r="Y221" i="41" s="1"/>
  <c r="X189" i="41"/>
  <c r="R140" i="41"/>
  <c r="Z59" i="41"/>
  <c r="AB59" i="41" s="1"/>
  <c r="S26" i="41"/>
  <c r="V138" i="41"/>
  <c r="W161" i="41"/>
  <c r="Y161" i="41" s="1"/>
  <c r="X199" i="41"/>
  <c r="W210" i="41"/>
  <c r="Y210" i="41" s="1"/>
  <c r="W166" i="41"/>
  <c r="S73" i="41"/>
  <c r="V204" i="41"/>
  <c r="J107" i="41"/>
  <c r="J14" i="41" s="1"/>
  <c r="S88" i="41"/>
  <c r="AA78" i="41"/>
  <c r="AA77" i="41" s="1"/>
  <c r="AA40" i="41"/>
  <c r="AB165" i="41"/>
  <c r="S197" i="41"/>
  <c r="S196" i="41" s="1"/>
  <c r="AB157" i="41"/>
  <c r="S52" i="41"/>
  <c r="X151" i="41"/>
  <c r="X150" i="41" s="1"/>
  <c r="X149" i="41" s="1"/>
  <c r="I115" i="41"/>
  <c r="I108" i="41" s="1"/>
  <c r="S150" i="41"/>
  <c r="S149" i="41" s="1"/>
  <c r="V129" i="41"/>
  <c r="V128" i="41" s="1"/>
  <c r="E78" i="41"/>
  <c r="E77" i="41" s="1"/>
  <c r="S64" i="41"/>
  <c r="R97" i="41"/>
  <c r="AA138" i="41"/>
  <c r="M87" i="41"/>
  <c r="M86" i="41" s="1"/>
  <c r="M56" i="41"/>
  <c r="M55" i="41" s="1"/>
  <c r="M138" i="41"/>
  <c r="AA186" i="41"/>
  <c r="G154" i="41"/>
  <c r="G11" i="41" s="1"/>
  <c r="R205" i="41"/>
  <c r="Z41" i="41"/>
  <c r="AB41" i="41" s="1"/>
  <c r="U78" i="41"/>
  <c r="U77" i="41" s="1"/>
  <c r="W28" i="41"/>
  <c r="Y28" i="41" s="1"/>
  <c r="S36" i="41"/>
  <c r="M30" i="41"/>
  <c r="S92" i="41"/>
  <c r="I186" i="41"/>
  <c r="X47" i="41"/>
  <c r="X46" i="41" s="1"/>
  <c r="X133" i="41"/>
  <c r="W217" i="41"/>
  <c r="Y217" i="41" s="1"/>
  <c r="X208" i="41"/>
  <c r="W203" i="41"/>
  <c r="Y203" i="41" s="1"/>
  <c r="AA178" i="41"/>
  <c r="AA155" i="41" s="1"/>
  <c r="U195" i="41"/>
  <c r="U186" i="41" s="1"/>
  <c r="S131" i="41"/>
  <c r="X119" i="41"/>
  <c r="U22" i="41"/>
  <c r="U17" i="41" s="1"/>
  <c r="W81" i="41"/>
  <c r="Y81" i="41" s="1"/>
  <c r="O31" i="41"/>
  <c r="O30" i="41" s="1"/>
  <c r="S18" i="41"/>
  <c r="W39" i="41"/>
  <c r="Y39" i="41" s="1"/>
  <c r="S31" i="41"/>
  <c r="N201" i="41"/>
  <c r="X185" i="41"/>
  <c r="N159" i="41"/>
  <c r="X237" i="41"/>
  <c r="H153" i="41"/>
  <c r="U204" i="41"/>
  <c r="S23" i="41"/>
  <c r="X213" i="41"/>
  <c r="X212" i="41" s="1"/>
  <c r="X161" i="41"/>
  <c r="X123" i="41"/>
  <c r="I87" i="41"/>
  <c r="I86" i="41" s="1"/>
  <c r="W45" i="41"/>
  <c r="Y45" i="41" s="1"/>
  <c r="S245" i="41"/>
  <c r="S244" i="41" s="1"/>
  <c r="I129" i="41"/>
  <c r="I128" i="41" s="1"/>
  <c r="S120" i="41"/>
  <c r="V236" i="41"/>
  <c r="V235" i="41" s="1"/>
  <c r="V195" i="41"/>
  <c r="X166" i="41"/>
  <c r="X27" i="41"/>
  <c r="W25" i="41"/>
  <c r="Y25" i="41" s="1"/>
  <c r="X28" i="41"/>
  <c r="Q260" i="41"/>
  <c r="R260" i="41" s="1"/>
  <c r="X34" i="41"/>
  <c r="AB105" i="41"/>
  <c r="S183" i="41"/>
  <c r="L154" i="41"/>
  <c r="L11" i="41" s="1"/>
  <c r="I22" i="41"/>
  <c r="I17" i="41" s="1"/>
  <c r="I78" i="41"/>
  <c r="I77" i="41" s="1"/>
  <c r="H29" i="41"/>
  <c r="H16" i="41" s="1"/>
  <c r="H13" i="41" s="1"/>
  <c r="H9" i="41" s="1"/>
  <c r="AA115" i="41"/>
  <c r="AA108" i="41" s="1"/>
  <c r="S232" i="41"/>
  <c r="X176" i="41"/>
  <c r="X148" i="41"/>
  <c r="X144" i="41" s="1"/>
  <c r="V115" i="41"/>
  <c r="V108" i="41" s="1"/>
  <c r="X141" i="41"/>
  <c r="X140" i="41" s="1"/>
  <c r="X139" i="41" s="1"/>
  <c r="W69" i="41"/>
  <c r="Y69" i="41" s="1"/>
  <c r="U251" i="41"/>
  <c r="AB140" i="41"/>
  <c r="S116" i="41"/>
  <c r="S101" i="41"/>
  <c r="H154" i="41"/>
  <c r="H11" i="41" s="1"/>
  <c r="V162" i="41"/>
  <c r="U55" i="41"/>
  <c r="X203" i="41"/>
  <c r="M214" i="41"/>
  <c r="W117" i="41"/>
  <c r="Y117" i="41" s="1"/>
  <c r="I214" i="41"/>
  <c r="S49" i="41"/>
  <c r="X102" i="41"/>
  <c r="X101" i="41" s="1"/>
  <c r="AA235" i="41"/>
  <c r="AA154" i="41" s="1"/>
  <c r="AA11" i="41" s="1"/>
  <c r="V168" i="41"/>
  <c r="X198" i="41"/>
  <c r="W192" i="41"/>
  <c r="Y192" i="41" s="1"/>
  <c r="V251" i="41"/>
  <c r="X137" i="41"/>
  <c r="X121" i="41"/>
  <c r="W121" i="41"/>
  <c r="Y121" i="41" s="1"/>
  <c r="G153" i="41"/>
  <c r="L153" i="41"/>
  <c r="Z178" i="41"/>
  <c r="AB178" i="41" s="1"/>
  <c r="S82" i="41"/>
  <c r="M40" i="41"/>
  <c r="W239" i="41"/>
  <c r="Y239" i="41" s="1"/>
  <c r="S238" i="41"/>
  <c r="S236" i="41" s="1"/>
  <c r="X250" i="41"/>
  <c r="N238" i="41"/>
  <c r="N236" i="41" s="1"/>
  <c r="W230" i="41"/>
  <c r="Y230" i="41" s="1"/>
  <c r="M155" i="41"/>
  <c r="X99" i="41"/>
  <c r="W147" i="41"/>
  <c r="Y147" i="41" s="1"/>
  <c r="W106" i="41"/>
  <c r="V87" i="41"/>
  <c r="V86" i="41" s="1"/>
  <c r="X83" i="41"/>
  <c r="X82" i="41" s="1"/>
  <c r="W53" i="41"/>
  <c r="Y53" i="41" s="1"/>
  <c r="S57" i="41"/>
  <c r="W167" i="41"/>
  <c r="Y167" i="41" s="1"/>
  <c r="U235" i="41"/>
  <c r="V78" i="41"/>
  <c r="V77" i="41" s="1"/>
  <c r="E30" i="41"/>
  <c r="N129" i="41"/>
  <c r="N128" i="41" s="1"/>
  <c r="N101" i="41"/>
  <c r="S79" i="41"/>
  <c r="I40" i="41"/>
  <c r="O238" i="41"/>
  <c r="O237" i="41"/>
  <c r="W237" i="41" s="1"/>
  <c r="Y237" i="41" s="1"/>
  <c r="W229" i="41"/>
  <c r="Y229" i="41" s="1"/>
  <c r="X207" i="41"/>
  <c r="O165" i="41"/>
  <c r="X98" i="41"/>
  <c r="U138" i="41"/>
  <c r="S112" i="41"/>
  <c r="S97" i="41"/>
  <c r="S95" i="41" s="1"/>
  <c r="W126" i="41"/>
  <c r="W125" i="41" s="1"/>
  <c r="Y125" i="41" s="1"/>
  <c r="W127" i="41"/>
  <c r="Y127" i="41" s="1"/>
  <c r="O52" i="41"/>
  <c r="W98" i="41"/>
  <c r="Y98" i="41" s="1"/>
  <c r="X50" i="41"/>
  <c r="X24" i="41"/>
  <c r="X23" i="41" s="1"/>
  <c r="Z257" i="41"/>
  <c r="AB257" i="41" s="1"/>
  <c r="X177" i="41"/>
  <c r="Q187" i="41"/>
  <c r="R187" i="41" s="1"/>
  <c r="N165" i="41"/>
  <c r="N162" i="41" s="1"/>
  <c r="AA30" i="41"/>
  <c r="AB223" i="41"/>
  <c r="Z222" i="41"/>
  <c r="AB222" i="41" s="1"/>
  <c r="S140" i="41"/>
  <c r="S139" i="41" s="1"/>
  <c r="X241" i="41"/>
  <c r="W207" i="41"/>
  <c r="Y207" i="41" s="1"/>
  <c r="W50" i="41"/>
  <c r="Y50" i="41" s="1"/>
  <c r="J153" i="41"/>
  <c r="Z87" i="41"/>
  <c r="AB87" i="41" s="1"/>
  <c r="V183" i="41"/>
  <c r="V178" i="41" s="1"/>
  <c r="E251" i="41"/>
  <c r="X259" i="41"/>
  <c r="X258" i="41" s="1"/>
  <c r="X257" i="41" s="1"/>
  <c r="X239" i="41"/>
  <c r="Q215" i="41"/>
  <c r="R215" i="41" s="1"/>
  <c r="X200" i="41"/>
  <c r="S205" i="41"/>
  <c r="S204" i="41" s="1"/>
  <c r="W181" i="41"/>
  <c r="Y181" i="41" s="1"/>
  <c r="W185" i="41"/>
  <c r="Y185" i="41" s="1"/>
  <c r="W198" i="41"/>
  <c r="Y198" i="41" s="1"/>
  <c r="S144" i="41"/>
  <c r="X106" i="41"/>
  <c r="X105" i="41" s="1"/>
  <c r="X104" i="41" s="1"/>
  <c r="E40" i="41"/>
  <c r="U40" i="41"/>
  <c r="X35" i="41"/>
  <c r="AB253" i="41"/>
  <c r="Z252" i="41"/>
  <c r="AB252" i="41" s="1"/>
  <c r="K153" i="41"/>
  <c r="K152" i="41" s="1"/>
  <c r="K15" i="41" s="1"/>
  <c r="X167" i="41"/>
  <c r="R105" i="41"/>
  <c r="Q104" i="41"/>
  <c r="R104" i="41" s="1"/>
  <c r="E22" i="41"/>
  <c r="E17" i="41" s="1"/>
  <c r="W254" i="41"/>
  <c r="Y254" i="41" s="1"/>
  <c r="U115" i="41"/>
  <c r="U108" i="41" s="1"/>
  <c r="U214" i="41"/>
  <c r="E87" i="41"/>
  <c r="E86" i="41" s="1"/>
  <c r="Q87" i="41"/>
  <c r="Q86" i="41" s="1"/>
  <c r="R86" i="41" s="1"/>
  <c r="U30" i="41"/>
  <c r="S41" i="41"/>
  <c r="R245" i="41"/>
  <c r="Q244" i="41"/>
  <c r="R244" i="41" s="1"/>
  <c r="Q222" i="41"/>
  <c r="R222" i="41" s="1"/>
  <c r="R223" i="41"/>
  <c r="Z205" i="41"/>
  <c r="AA86" i="41"/>
  <c r="K107" i="41"/>
  <c r="K14" i="41" s="1"/>
  <c r="E235" i="41"/>
  <c r="X181" i="41"/>
  <c r="N115" i="41"/>
  <c r="N108" i="41" s="1"/>
  <c r="E115" i="41"/>
  <c r="E108" i="41" s="1"/>
  <c r="W51" i="41"/>
  <c r="Y51" i="41" s="1"/>
  <c r="Q257" i="41"/>
  <c r="R257" i="41" s="1"/>
  <c r="R258" i="41"/>
  <c r="Q236" i="41"/>
  <c r="R238" i="41"/>
  <c r="U178" i="41"/>
  <c r="U155" i="41" s="1"/>
  <c r="R183" i="41"/>
  <c r="Q178" i="41"/>
  <c r="R178" i="41" s="1"/>
  <c r="O168" i="41"/>
  <c r="X246" i="41"/>
  <c r="X245" i="41" s="1"/>
  <c r="N245" i="41"/>
  <c r="N244" i="41" s="1"/>
  <c r="O246" i="41"/>
  <c r="O232" i="41"/>
  <c r="W233" i="41"/>
  <c r="W224" i="41"/>
  <c r="N196" i="41"/>
  <c r="O197" i="41"/>
  <c r="S201" i="41"/>
  <c r="X202" i="41"/>
  <c r="X226" i="41"/>
  <c r="O226" i="41"/>
  <c r="O223" i="41" s="1"/>
  <c r="W143" i="41"/>
  <c r="Y143" i="41" s="1"/>
  <c r="W136" i="41"/>
  <c r="W135" i="41" s="1"/>
  <c r="O135" i="41"/>
  <c r="O129" i="41" s="1"/>
  <c r="X89" i="41"/>
  <c r="X88" i="41" s="1"/>
  <c r="N88" i="41"/>
  <c r="O89" i="41"/>
  <c r="V40" i="41"/>
  <c r="O46" i="41"/>
  <c r="W47" i="41"/>
  <c r="Z115" i="41"/>
  <c r="AB115" i="41" s="1"/>
  <c r="W59" i="41"/>
  <c r="Y59" i="41" s="1"/>
  <c r="W94" i="41"/>
  <c r="Y94" i="41" s="1"/>
  <c r="X80" i="41"/>
  <c r="X79" i="41" s="1"/>
  <c r="N79" i="41"/>
  <c r="N78" i="41" s="1"/>
  <c r="N77" i="41" s="1"/>
  <c r="O80" i="41"/>
  <c r="X43" i="41"/>
  <c r="X41" i="41" s="1"/>
  <c r="W20" i="41"/>
  <c r="Y20" i="41" s="1"/>
  <c r="O258" i="41"/>
  <c r="W259" i="41"/>
  <c r="W258" i="41" s="1"/>
  <c r="W257" i="41" s="1"/>
  <c r="AB245" i="41"/>
  <c r="Z244" i="41"/>
  <c r="AB244" i="41" s="1"/>
  <c r="W250" i="41"/>
  <c r="Y250" i="41" s="1"/>
  <c r="E214" i="41"/>
  <c r="W234" i="41"/>
  <c r="Y234" i="41" s="1"/>
  <c r="X233" i="41"/>
  <c r="X232" i="41" s="1"/>
  <c r="S228" i="41"/>
  <c r="W213" i="41"/>
  <c r="W212" i="41" s="1"/>
  <c r="O212" i="41"/>
  <c r="X184" i="41"/>
  <c r="N183" i="41"/>
  <c r="O184" i="41"/>
  <c r="X180" i="41"/>
  <c r="N179" i="41"/>
  <c r="O180" i="41"/>
  <c r="W225" i="41"/>
  <c r="Y225" i="41" s="1"/>
  <c r="R204" i="41"/>
  <c r="W194" i="41"/>
  <c r="Y194" i="41" s="1"/>
  <c r="AB189" i="41"/>
  <c r="Q195" i="41"/>
  <c r="V187" i="41"/>
  <c r="S135" i="41"/>
  <c r="X160" i="41"/>
  <c r="W111" i="41"/>
  <c r="Y111" i="41" s="1"/>
  <c r="W102" i="41"/>
  <c r="O101" i="41"/>
  <c r="X113" i="41"/>
  <c r="X112" i="41" s="1"/>
  <c r="X136" i="41"/>
  <c r="W130" i="41"/>
  <c r="X117" i="41"/>
  <c r="W85" i="41"/>
  <c r="Y85" i="41" s="1"/>
  <c r="W67" i="41"/>
  <c r="Y67" i="41" s="1"/>
  <c r="W60" i="41"/>
  <c r="Y60" i="41" s="1"/>
  <c r="W42" i="41"/>
  <c r="O41" i="41"/>
  <c r="X65" i="41"/>
  <c r="X64" i="41" s="1"/>
  <c r="N64" i="41"/>
  <c r="O65" i="41"/>
  <c r="AB58" i="41"/>
  <c r="Z22" i="41"/>
  <c r="AB22" i="41" s="1"/>
  <c r="AB26" i="41"/>
  <c r="Z20" i="41"/>
  <c r="Q109" i="41"/>
  <c r="Q40" i="41"/>
  <c r="R40" i="41" s="1"/>
  <c r="X51" i="41"/>
  <c r="W124" i="41"/>
  <c r="Y124" i="41" s="1"/>
  <c r="R79" i="41"/>
  <c r="Q78" i="41"/>
  <c r="R57" i="41"/>
  <c r="Q56" i="41"/>
  <c r="X52" i="41"/>
  <c r="N40" i="41"/>
  <c r="R18" i="41"/>
  <c r="W35" i="41"/>
  <c r="Y35" i="41" s="1"/>
  <c r="W24" i="41"/>
  <c r="O23" i="41"/>
  <c r="X20" i="41"/>
  <c r="X18" i="41" s="1"/>
  <c r="W170" i="41"/>
  <c r="S169" i="41"/>
  <c r="S168" i="41" s="1"/>
  <c r="X170" i="41"/>
  <c r="W163" i="41"/>
  <c r="Y163" i="41" s="1"/>
  <c r="W145" i="41"/>
  <c r="Y145" i="41" s="1"/>
  <c r="O144" i="41"/>
  <c r="R131" i="41"/>
  <c r="Q129" i="41"/>
  <c r="W103" i="41"/>
  <c r="Y103" i="41" s="1"/>
  <c r="W61" i="41"/>
  <c r="Y61" i="41" s="1"/>
  <c r="X243" i="41"/>
  <c r="Z236" i="41"/>
  <c r="AB237" i="41"/>
  <c r="S252" i="41"/>
  <c r="S251" i="41" s="1"/>
  <c r="X262" i="41"/>
  <c r="X261" i="41" s="1"/>
  <c r="X260" i="41" s="1"/>
  <c r="N261" i="41"/>
  <c r="N260" i="41" s="1"/>
  <c r="O262" i="41"/>
  <c r="X252" i="41"/>
  <c r="X220" i="41"/>
  <c r="X219" i="41" s="1"/>
  <c r="N219" i="41"/>
  <c r="N215" i="41" s="1"/>
  <c r="O220" i="41"/>
  <c r="W242" i="41"/>
  <c r="Y242" i="41" s="1"/>
  <c r="W249" i="41"/>
  <c r="Y249" i="41" s="1"/>
  <c r="W247" i="41"/>
  <c r="Y247" i="41" s="1"/>
  <c r="W231" i="41"/>
  <c r="Y231" i="41" s="1"/>
  <c r="S223" i="41"/>
  <c r="S222" i="41" s="1"/>
  <c r="X224" i="41"/>
  <c r="S216" i="41"/>
  <c r="Z216" i="41"/>
  <c r="Z190" i="41"/>
  <c r="AB190" i="41" s="1"/>
  <c r="AB192" i="41"/>
  <c r="W189" i="41"/>
  <c r="Y189" i="41" s="1"/>
  <c r="N156" i="41"/>
  <c r="X157" i="41"/>
  <c r="O157" i="41"/>
  <c r="AB256" i="41"/>
  <c r="Z255" i="41"/>
  <c r="W176" i="41"/>
  <c r="Y176" i="41" s="1"/>
  <c r="W160" i="41"/>
  <c r="X132" i="41"/>
  <c r="W174" i="41"/>
  <c r="Y174" i="41" s="1"/>
  <c r="W158" i="41"/>
  <c r="Y158" i="41" s="1"/>
  <c r="R139" i="41"/>
  <c r="Q138" i="41"/>
  <c r="R138" i="41" s="1"/>
  <c r="X130" i="41"/>
  <c r="W175" i="41"/>
  <c r="Y175" i="41" s="1"/>
  <c r="W114" i="41"/>
  <c r="Y114" i="41" s="1"/>
  <c r="W91" i="41"/>
  <c r="Y91" i="41" s="1"/>
  <c r="O104" i="41"/>
  <c r="X93" i="41"/>
  <c r="X92" i="41" s="1"/>
  <c r="N92" i="41"/>
  <c r="O93" i="41"/>
  <c r="W142" i="41"/>
  <c r="Y142" i="41" s="1"/>
  <c r="X74" i="41"/>
  <c r="X73" i="41" s="1"/>
  <c r="N73" i="41"/>
  <c r="O74" i="41"/>
  <c r="Z144" i="41"/>
  <c r="AB147" i="41"/>
  <c r="W141" i="41"/>
  <c r="O140" i="41"/>
  <c r="W63" i="41"/>
  <c r="Y63" i="41" s="1"/>
  <c r="W83" i="41"/>
  <c r="O82" i="41"/>
  <c r="S110" i="41"/>
  <c r="W110" i="41" s="1"/>
  <c r="Z110" i="41"/>
  <c r="W68" i="41"/>
  <c r="Y68" i="41" s="1"/>
  <c r="W146" i="41"/>
  <c r="Y146" i="41" s="1"/>
  <c r="W66" i="41"/>
  <c r="Y66" i="41" s="1"/>
  <c r="W44" i="41"/>
  <c r="Y44" i="41" s="1"/>
  <c r="W43" i="41"/>
  <c r="Y43" i="41" s="1"/>
  <c r="R31" i="41"/>
  <c r="Q30" i="41"/>
  <c r="E56" i="41"/>
  <c r="E55" i="41" s="1"/>
  <c r="Z31" i="41"/>
  <c r="W240" i="41"/>
  <c r="W248" i="41"/>
  <c r="Y248" i="41" s="1"/>
  <c r="X218" i="41"/>
  <c r="W218" i="41"/>
  <c r="Y218" i="41" s="1"/>
  <c r="E178" i="41"/>
  <c r="E155" i="41" s="1"/>
  <c r="Z228" i="41"/>
  <c r="AB228" i="41" s="1"/>
  <c r="AB230" i="41"/>
  <c r="X188" i="41"/>
  <c r="N187" i="41"/>
  <c r="O188" i="41"/>
  <c r="X164" i="41"/>
  <c r="O164" i="41"/>
  <c r="AB156" i="41"/>
  <c r="W118" i="41"/>
  <c r="Y118" i="41" s="1"/>
  <c r="X256" i="41"/>
  <c r="X255" i="41" s="1"/>
  <c r="N255" i="41"/>
  <c r="N251" i="41" s="1"/>
  <c r="O256" i="41"/>
  <c r="Q251" i="41"/>
  <c r="R251" i="41" s="1"/>
  <c r="R252" i="41"/>
  <c r="O252" i="41"/>
  <c r="W253" i="41"/>
  <c r="N223" i="41"/>
  <c r="N222" i="41" s="1"/>
  <c r="O205" i="41"/>
  <c r="W206" i="41"/>
  <c r="Y206" i="41" s="1"/>
  <c r="O190" i="41"/>
  <c r="W191" i="41"/>
  <c r="Z169" i="41"/>
  <c r="AB174" i="41"/>
  <c r="X228" i="41"/>
  <c r="Q168" i="41"/>
  <c r="R168" i="41" s="1"/>
  <c r="R169" i="41"/>
  <c r="Q149" i="41"/>
  <c r="R149" i="41" s="1"/>
  <c r="R150" i="41"/>
  <c r="W202" i="41"/>
  <c r="X192" i="41"/>
  <c r="X190" i="41" s="1"/>
  <c r="S190" i="41"/>
  <c r="S187" i="41" s="1"/>
  <c r="V214" i="41"/>
  <c r="AB197" i="41"/>
  <c r="Z196" i="41"/>
  <c r="Q115" i="41"/>
  <c r="R115" i="41" s="1"/>
  <c r="R116" i="41"/>
  <c r="X174" i="41"/>
  <c r="W172" i="41"/>
  <c r="Y172" i="41" s="1"/>
  <c r="X172" i="41"/>
  <c r="W113" i="41"/>
  <c r="O112" i="41"/>
  <c r="R162" i="41"/>
  <c r="W132" i="41"/>
  <c r="S125" i="41"/>
  <c r="X126" i="41"/>
  <c r="X125" i="41" s="1"/>
  <c r="U129" i="41"/>
  <c r="U128" i="41" s="1"/>
  <c r="W62" i="41"/>
  <c r="Y62" i="41" s="1"/>
  <c r="W75" i="41"/>
  <c r="Y75" i="41" s="1"/>
  <c r="W84" i="41"/>
  <c r="Y84" i="41" s="1"/>
  <c r="X122" i="41"/>
  <c r="O122" i="41"/>
  <c r="Z79" i="41"/>
  <c r="AB131" i="41"/>
  <c r="Z129" i="41"/>
  <c r="R26" i="41"/>
  <c r="Q22" i="41"/>
  <c r="R22" i="41" s="1"/>
  <c r="X58" i="41"/>
  <c r="X57" i="41" s="1"/>
  <c r="N57" i="41"/>
  <c r="O58" i="41"/>
  <c r="W19" i="41"/>
  <c r="O18" i="41"/>
  <c r="N22" i="41"/>
  <c r="N17" i="41" s="1"/>
  <c r="W21" i="41"/>
  <c r="Y21" i="41" s="1"/>
  <c r="H238" i="6"/>
  <c r="N29" i="41" l="1"/>
  <c r="W151" i="41"/>
  <c r="Y151" i="41" s="1"/>
  <c r="V29" i="41"/>
  <c r="V16" i="41" s="1"/>
  <c r="V13" i="41" s="1"/>
  <c r="V9" i="41" s="1"/>
  <c r="S178" i="41"/>
  <c r="S155" i="41" s="1"/>
  <c r="I29" i="41"/>
  <c r="I16" i="41" s="1"/>
  <c r="I13" i="41" s="1"/>
  <c r="I9" i="41" s="1"/>
  <c r="X36" i="41"/>
  <c r="J152" i="41"/>
  <c r="J15" i="41" s="1"/>
  <c r="R87" i="41"/>
  <c r="X156" i="41"/>
  <c r="X197" i="41"/>
  <c r="X196" i="41" s="1"/>
  <c r="S78" i="41"/>
  <c r="S77" i="41" s="1"/>
  <c r="W165" i="41"/>
  <c r="Y165" i="41" s="1"/>
  <c r="X223" i="41"/>
  <c r="X222" i="41" s="1"/>
  <c r="V186" i="41"/>
  <c r="N107" i="41"/>
  <c r="N14" i="41" s="1"/>
  <c r="X165" i="41"/>
  <c r="X162" i="41" s="1"/>
  <c r="Y166" i="41"/>
  <c r="AA107" i="41"/>
  <c r="AA14" i="41" s="1"/>
  <c r="X31" i="41"/>
  <c r="X30" i="41" s="1"/>
  <c r="H10" i="41"/>
  <c r="H7" i="41" s="1"/>
  <c r="Z40" i="41"/>
  <c r="AB40" i="41" s="1"/>
  <c r="X138" i="41"/>
  <c r="W46" i="41"/>
  <c r="Y46" i="41" s="1"/>
  <c r="W140" i="41"/>
  <c r="Y140" i="41" s="1"/>
  <c r="W26" i="41"/>
  <c r="Y26" i="41" s="1"/>
  <c r="M107" i="41"/>
  <c r="M14" i="41" s="1"/>
  <c r="W36" i="41"/>
  <c r="Y36" i="41" s="1"/>
  <c r="Z57" i="41"/>
  <c r="Z56" i="41" s="1"/>
  <c r="E107" i="41"/>
  <c r="E14" i="41" s="1"/>
  <c r="I107" i="41"/>
  <c r="I14" i="41" s="1"/>
  <c r="X120" i="41"/>
  <c r="AA153" i="41"/>
  <c r="AA152" i="41" s="1"/>
  <c r="AA15" i="41" s="1"/>
  <c r="Y126" i="41"/>
  <c r="V155" i="41"/>
  <c r="S56" i="41"/>
  <c r="S55" i="41" s="1"/>
  <c r="V154" i="41"/>
  <c r="V11" i="41" s="1"/>
  <c r="J10" i="41"/>
  <c r="J7" i="41" s="1"/>
  <c r="I153" i="41"/>
  <c r="I10" i="41" s="1"/>
  <c r="Z86" i="41"/>
  <c r="AB86" i="41" s="1"/>
  <c r="X183" i="41"/>
  <c r="E154" i="41"/>
  <c r="E11" i="41" s="1"/>
  <c r="AA29" i="41"/>
  <c r="AA16" i="41" s="1"/>
  <c r="AA13" i="41" s="1"/>
  <c r="AA9" i="41" s="1"/>
  <c r="O236" i="41"/>
  <c r="S22" i="41"/>
  <c r="S17" i="41" s="1"/>
  <c r="S129" i="41"/>
  <c r="S128" i="41" s="1"/>
  <c r="N195" i="41"/>
  <c r="N186" i="41" s="1"/>
  <c r="G152" i="41"/>
  <c r="G15" i="41" s="1"/>
  <c r="X116" i="41"/>
  <c r="X159" i="41"/>
  <c r="X238" i="41"/>
  <c r="X236" i="41" s="1"/>
  <c r="U154" i="41"/>
  <c r="U11" i="41" s="1"/>
  <c r="X26" i="41"/>
  <c r="X22" i="41" s="1"/>
  <c r="X17" i="41" s="1"/>
  <c r="S30" i="41"/>
  <c r="S87" i="41"/>
  <c r="S86" i="41" s="1"/>
  <c r="N235" i="41"/>
  <c r="N154" i="41" s="1"/>
  <c r="N11" i="41" s="1"/>
  <c r="X131" i="41"/>
  <c r="W23" i="41"/>
  <c r="X49" i="41"/>
  <c r="X40" i="41" s="1"/>
  <c r="X135" i="41"/>
  <c r="K10" i="41"/>
  <c r="K7" i="41" s="1"/>
  <c r="U29" i="41"/>
  <c r="U16" i="41" s="1"/>
  <c r="U13" i="41" s="1"/>
  <c r="U9" i="41" s="1"/>
  <c r="G10" i="41"/>
  <c r="G7" i="41" s="1"/>
  <c r="M29" i="41"/>
  <c r="M16" i="41" s="1"/>
  <c r="M13" i="41" s="1"/>
  <c r="M9" i="41" s="1"/>
  <c r="L152" i="41"/>
  <c r="L15" i="41" s="1"/>
  <c r="S195" i="41"/>
  <c r="S186" i="41" s="1"/>
  <c r="L10" i="41"/>
  <c r="L7" i="41" s="1"/>
  <c r="V107" i="41"/>
  <c r="V14" i="41" s="1"/>
  <c r="W190" i="41"/>
  <c r="Y190" i="41" s="1"/>
  <c r="W97" i="41"/>
  <c r="Y97" i="41" s="1"/>
  <c r="X179" i="41"/>
  <c r="X201" i="41"/>
  <c r="U153" i="41"/>
  <c r="X205" i="41"/>
  <c r="X204" i="41" s="1"/>
  <c r="X97" i="41"/>
  <c r="X95" i="41" s="1"/>
  <c r="E29" i="41"/>
  <c r="E16" i="41" s="1"/>
  <c r="E13" i="41" s="1"/>
  <c r="E9" i="41" s="1"/>
  <c r="W252" i="41"/>
  <c r="Y252" i="41" s="1"/>
  <c r="W52" i="41"/>
  <c r="Y52" i="41" s="1"/>
  <c r="Z187" i="41"/>
  <c r="AB187" i="41" s="1"/>
  <c r="S235" i="41"/>
  <c r="S154" i="41" s="1"/>
  <c r="S11" i="41" s="1"/>
  <c r="S115" i="41"/>
  <c r="X87" i="41"/>
  <c r="S40" i="41"/>
  <c r="Y136" i="41"/>
  <c r="W238" i="41"/>
  <c r="Y238" i="41" s="1"/>
  <c r="H152" i="41"/>
  <c r="H15" i="41" s="1"/>
  <c r="W49" i="41"/>
  <c r="Y49" i="41" s="1"/>
  <c r="N56" i="41"/>
  <c r="N55" i="41" s="1"/>
  <c r="Y191" i="41"/>
  <c r="X244" i="41"/>
  <c r="S138" i="41"/>
  <c r="M153" i="41"/>
  <c r="U107" i="41"/>
  <c r="U14" i="41" s="1"/>
  <c r="W112" i="41"/>
  <c r="W109" i="41" s="1"/>
  <c r="W205" i="41"/>
  <c r="Y205" i="41" s="1"/>
  <c r="W101" i="41"/>
  <c r="Y101" i="41" s="1"/>
  <c r="Q214" i="41"/>
  <c r="R214" i="41" s="1"/>
  <c r="W105" i="41"/>
  <c r="Y106" i="41"/>
  <c r="E153" i="41"/>
  <c r="X56" i="41"/>
  <c r="X55" i="41" s="1"/>
  <c r="N178" i="41"/>
  <c r="N155" i="41" s="1"/>
  <c r="Y135" i="41"/>
  <c r="W232" i="41"/>
  <c r="Y232" i="41" s="1"/>
  <c r="R236" i="41"/>
  <c r="Q235" i="41"/>
  <c r="Z204" i="41"/>
  <c r="AB204" i="41" s="1"/>
  <c r="AB205" i="41"/>
  <c r="W31" i="41"/>
  <c r="W228" i="41"/>
  <c r="Y228" i="41" s="1"/>
  <c r="Y102" i="41"/>
  <c r="X78" i="41"/>
  <c r="X77" i="41" s="1"/>
  <c r="X187" i="41"/>
  <c r="Y110" i="41"/>
  <c r="O222" i="41"/>
  <c r="W18" i="41"/>
  <c r="Y18" i="41" s="1"/>
  <c r="O128" i="41"/>
  <c r="W201" i="41"/>
  <c r="Y201" i="41" s="1"/>
  <c r="Y202" i="41"/>
  <c r="W256" i="41"/>
  <c r="W255" i="41" s="1"/>
  <c r="O255" i="41"/>
  <c r="O251" i="41" s="1"/>
  <c r="W164" i="41"/>
  <c r="Y164" i="41" s="1"/>
  <c r="Z30" i="41"/>
  <c r="AB31" i="41"/>
  <c r="Q29" i="41"/>
  <c r="R29" i="41" s="1"/>
  <c r="R30" i="41"/>
  <c r="W82" i="41"/>
  <c r="Y82" i="41" s="1"/>
  <c r="W74" i="41"/>
  <c r="W73" i="41" s="1"/>
  <c r="O73" i="41"/>
  <c r="W159" i="41"/>
  <c r="Y159" i="41" s="1"/>
  <c r="Y160" i="41"/>
  <c r="AB216" i="41"/>
  <c r="Z215" i="41"/>
  <c r="Z18" i="41"/>
  <c r="AB20" i="41"/>
  <c r="W41" i="41"/>
  <c r="W80" i="41"/>
  <c r="W79" i="41" s="1"/>
  <c r="O79" i="41"/>
  <c r="W89" i="41"/>
  <c r="W88" i="41" s="1"/>
  <c r="O88" i="41"/>
  <c r="W246" i="41"/>
  <c r="W245" i="41" s="1"/>
  <c r="W244" i="41" s="1"/>
  <c r="O245" i="41"/>
  <c r="W58" i="41"/>
  <c r="W57" i="41" s="1"/>
  <c r="O57" i="41"/>
  <c r="Q155" i="41"/>
  <c r="AB196" i="41"/>
  <c r="Z195" i="41"/>
  <c r="AB195" i="41" s="1"/>
  <c r="Z168" i="41"/>
  <c r="AB169" i="41"/>
  <c r="Y253" i="41"/>
  <c r="Y240" i="41"/>
  <c r="W116" i="41"/>
  <c r="W157" i="41"/>
  <c r="W156" i="41" s="1"/>
  <c r="O156" i="41"/>
  <c r="X216" i="41"/>
  <c r="X215" i="41" s="1"/>
  <c r="W216" i="41"/>
  <c r="S215" i="41"/>
  <c r="S214" i="41" s="1"/>
  <c r="W220" i="41"/>
  <c r="W219" i="41" s="1"/>
  <c r="O219" i="41"/>
  <c r="X251" i="41"/>
  <c r="W144" i="41"/>
  <c r="Y144" i="41" s="1"/>
  <c r="O162" i="41"/>
  <c r="X169" i="41"/>
  <c r="X168" i="41" s="1"/>
  <c r="O22" i="41"/>
  <c r="Q17" i="41"/>
  <c r="Q77" i="41"/>
  <c r="R77" i="41" s="1"/>
  <c r="R78" i="41"/>
  <c r="Y130" i="41"/>
  <c r="Y258" i="41"/>
  <c r="O257" i="41"/>
  <c r="Y257" i="41" s="1"/>
  <c r="N87" i="41"/>
  <c r="N86" i="41" s="1"/>
  <c r="Y233" i="41"/>
  <c r="AB79" i="41"/>
  <c r="Z78" i="41"/>
  <c r="W131" i="41"/>
  <c r="Y131" i="41" s="1"/>
  <c r="Y132" i="41"/>
  <c r="O204" i="41"/>
  <c r="O187" i="41"/>
  <c r="W188" i="41"/>
  <c r="AB110" i="41"/>
  <c r="Z109" i="41"/>
  <c r="O139" i="41"/>
  <c r="AB144" i="41"/>
  <c r="Z138" i="41"/>
  <c r="AB138" i="41" s="1"/>
  <c r="N214" i="41"/>
  <c r="W262" i="41"/>
  <c r="W261" i="41" s="1"/>
  <c r="W260" i="41" s="1"/>
  <c r="O261" i="41"/>
  <c r="R129" i="41"/>
  <c r="Q128" i="41"/>
  <c r="R128" i="41" s="1"/>
  <c r="W65" i="41"/>
  <c r="W64" i="41" s="1"/>
  <c r="O64" i="41"/>
  <c r="O40" i="41"/>
  <c r="W184" i="41"/>
  <c r="W183" i="41" s="1"/>
  <c r="O183" i="41"/>
  <c r="Y213" i="41"/>
  <c r="Y259" i="41"/>
  <c r="Y47" i="41"/>
  <c r="W226" i="41"/>
  <c r="Y226" i="41" s="1"/>
  <c r="W197" i="41"/>
  <c r="W196" i="41" s="1"/>
  <c r="O196" i="41"/>
  <c r="Y19" i="41"/>
  <c r="AB129" i="41"/>
  <c r="Z128" i="41"/>
  <c r="AB128" i="41" s="1"/>
  <c r="W122" i="41"/>
  <c r="W120" i="41" s="1"/>
  <c r="O120" i="41"/>
  <c r="Y113" i="41"/>
  <c r="S109" i="41"/>
  <c r="X110" i="41"/>
  <c r="X109" i="41" s="1"/>
  <c r="Y83" i="41"/>
  <c r="Y141" i="41"/>
  <c r="W93" i="41"/>
  <c r="W92" i="41" s="1"/>
  <c r="O92" i="41"/>
  <c r="O109" i="41"/>
  <c r="AB255" i="41"/>
  <c r="Z251" i="41"/>
  <c r="AB251" i="41" s="1"/>
  <c r="AB236" i="41"/>
  <c r="Z235" i="41"/>
  <c r="W169" i="41"/>
  <c r="Y170" i="41"/>
  <c r="Y24" i="41"/>
  <c r="R56" i="41"/>
  <c r="Q55" i="41"/>
  <c r="R55" i="41" s="1"/>
  <c r="R109" i="41"/>
  <c r="Q108" i="41"/>
  <c r="Y42" i="41"/>
  <c r="R195" i="41"/>
  <c r="Q186" i="41"/>
  <c r="R186" i="41" s="1"/>
  <c r="W180" i="41"/>
  <c r="W179" i="41" s="1"/>
  <c r="O179" i="41"/>
  <c r="Y212" i="41"/>
  <c r="Y224" i="41"/>
  <c r="G18" i="6"/>
  <c r="H18" i="6"/>
  <c r="J18" i="6"/>
  <c r="K18" i="6"/>
  <c r="L18" i="6"/>
  <c r="I19" i="6"/>
  <c r="M19" i="6"/>
  <c r="N19" i="6"/>
  <c r="O19" i="6" s="1"/>
  <c r="Q19" i="6"/>
  <c r="R19" i="6" s="1"/>
  <c r="U19" i="6"/>
  <c r="Y19" i="6"/>
  <c r="N20" i="6"/>
  <c r="M20" i="6"/>
  <c r="Q20" i="6"/>
  <c r="T18" i="6"/>
  <c r="U20" i="6"/>
  <c r="E21" i="6"/>
  <c r="E18" i="6" s="1"/>
  <c r="I21" i="6"/>
  <c r="M21" i="6"/>
  <c r="Q21" i="6"/>
  <c r="R21" i="6" s="1"/>
  <c r="U21" i="6"/>
  <c r="Y21" i="6"/>
  <c r="G23" i="6"/>
  <c r="H23" i="6"/>
  <c r="J23" i="6"/>
  <c r="K23" i="6"/>
  <c r="L23" i="6"/>
  <c r="E24" i="6"/>
  <c r="I24" i="6"/>
  <c r="M24" i="6"/>
  <c r="Q24" i="6"/>
  <c r="R24" i="6" s="1"/>
  <c r="Y24" i="6"/>
  <c r="E25" i="6"/>
  <c r="N25" i="6" s="1"/>
  <c r="I25" i="6"/>
  <c r="M25" i="6"/>
  <c r="Q25" i="6"/>
  <c r="R25" i="6" s="1"/>
  <c r="Y25" i="6"/>
  <c r="G26" i="6"/>
  <c r="H26" i="6"/>
  <c r="J26" i="6"/>
  <c r="K26" i="6"/>
  <c r="L26" i="6"/>
  <c r="E27" i="6"/>
  <c r="I27" i="6"/>
  <c r="M27" i="6"/>
  <c r="Q27" i="6"/>
  <c r="R27" i="6" s="1"/>
  <c r="Y27" i="6"/>
  <c r="E28" i="6"/>
  <c r="N28" i="6" s="1"/>
  <c r="O28" i="6" s="1"/>
  <c r="I28" i="6"/>
  <c r="M28" i="6"/>
  <c r="Q28" i="6"/>
  <c r="R28" i="6" s="1"/>
  <c r="U28" i="6"/>
  <c r="Y28" i="6"/>
  <c r="G31" i="6"/>
  <c r="H31" i="6"/>
  <c r="J31" i="6"/>
  <c r="K31" i="6"/>
  <c r="L31" i="6"/>
  <c r="E32" i="6"/>
  <c r="N32" i="6" s="1"/>
  <c r="I32" i="6"/>
  <c r="M32" i="6"/>
  <c r="Q32" i="6"/>
  <c r="R32" i="6" s="1"/>
  <c r="U32" i="6"/>
  <c r="Y32" i="6"/>
  <c r="E33" i="6"/>
  <c r="N33" i="6" s="1"/>
  <c r="O33" i="6" s="1"/>
  <c r="I33" i="6"/>
  <c r="M33" i="6"/>
  <c r="Q33" i="6"/>
  <c r="U33" i="6"/>
  <c r="Y33" i="6"/>
  <c r="E34" i="6"/>
  <c r="N34" i="6" s="1"/>
  <c r="I34" i="6"/>
  <c r="M34" i="6"/>
  <c r="Q34" i="6"/>
  <c r="R34" i="6" s="1"/>
  <c r="U34" i="6"/>
  <c r="E35" i="6"/>
  <c r="N35" i="6" s="1"/>
  <c r="O35" i="6" s="1"/>
  <c r="I35" i="6"/>
  <c r="M35" i="6"/>
  <c r="Q35" i="6"/>
  <c r="R35" i="6" s="1"/>
  <c r="U35" i="6"/>
  <c r="G36" i="6"/>
  <c r="H36" i="6"/>
  <c r="J36" i="6"/>
  <c r="K36" i="6"/>
  <c r="L36" i="6"/>
  <c r="E37" i="6"/>
  <c r="N37" i="6" s="1"/>
  <c r="I37" i="6"/>
  <c r="M37" i="6"/>
  <c r="Q37" i="6"/>
  <c r="U37" i="6"/>
  <c r="Y37" i="6"/>
  <c r="E38" i="6"/>
  <c r="I38" i="6"/>
  <c r="M38" i="6"/>
  <c r="Q38" i="6"/>
  <c r="R38" i="6" s="1"/>
  <c r="U38" i="6"/>
  <c r="Y38" i="6"/>
  <c r="E39" i="6"/>
  <c r="N39" i="6" s="1"/>
  <c r="I39" i="6"/>
  <c r="M39" i="6"/>
  <c r="Q39" i="6"/>
  <c r="R39" i="6" s="1"/>
  <c r="U39" i="6"/>
  <c r="Y39" i="6"/>
  <c r="G41" i="6"/>
  <c r="H41" i="6"/>
  <c r="J41" i="6"/>
  <c r="K41" i="6"/>
  <c r="L41" i="6"/>
  <c r="E42" i="6"/>
  <c r="N42" i="6" s="1"/>
  <c r="I42" i="6"/>
  <c r="M42" i="6"/>
  <c r="Q42" i="6"/>
  <c r="R42" i="6" s="1"/>
  <c r="U42" i="6"/>
  <c r="Y42" i="6"/>
  <c r="E43" i="6"/>
  <c r="I43" i="6"/>
  <c r="M43" i="6"/>
  <c r="Q43" i="6"/>
  <c r="R43" i="6" s="1"/>
  <c r="E44" i="6"/>
  <c r="N44" i="6" s="1"/>
  <c r="I44" i="6"/>
  <c r="M44" i="6"/>
  <c r="Q44" i="6"/>
  <c r="R44" i="6" s="1"/>
  <c r="U44" i="6"/>
  <c r="Y44" i="6"/>
  <c r="E45" i="6"/>
  <c r="N45" i="6" s="1"/>
  <c r="I45" i="6"/>
  <c r="M45" i="6"/>
  <c r="Q45" i="6"/>
  <c r="R45" i="6" s="1"/>
  <c r="U45" i="6"/>
  <c r="Y45" i="6"/>
  <c r="G46" i="6"/>
  <c r="H46" i="6"/>
  <c r="J46" i="6"/>
  <c r="K46" i="6"/>
  <c r="L46" i="6"/>
  <c r="E47" i="6"/>
  <c r="N47" i="6" s="1"/>
  <c r="I47" i="6"/>
  <c r="M47" i="6"/>
  <c r="Q47" i="6"/>
  <c r="R47" i="6" s="1"/>
  <c r="U47" i="6"/>
  <c r="Y47" i="6"/>
  <c r="E48" i="6"/>
  <c r="N48" i="6" s="1"/>
  <c r="O48" i="6" s="1"/>
  <c r="I48" i="6"/>
  <c r="M48" i="6"/>
  <c r="Q48" i="6"/>
  <c r="R48" i="6" s="1"/>
  <c r="U48" i="6"/>
  <c r="Y48" i="6"/>
  <c r="G49" i="6"/>
  <c r="H49" i="6"/>
  <c r="J49" i="6"/>
  <c r="K49" i="6"/>
  <c r="L49" i="6"/>
  <c r="E50" i="6"/>
  <c r="I50" i="6"/>
  <c r="M50" i="6"/>
  <c r="Q50" i="6"/>
  <c r="R50" i="6" s="1"/>
  <c r="Y50" i="6"/>
  <c r="E51" i="6"/>
  <c r="N51" i="6" s="1"/>
  <c r="I51" i="6"/>
  <c r="M51" i="6"/>
  <c r="Q51" i="6"/>
  <c r="R51" i="6" s="1"/>
  <c r="U51" i="6"/>
  <c r="Y51" i="6"/>
  <c r="G52" i="6"/>
  <c r="H52" i="6"/>
  <c r="J52" i="6"/>
  <c r="K52" i="6"/>
  <c r="L52" i="6"/>
  <c r="E53" i="6"/>
  <c r="I53" i="6"/>
  <c r="M53" i="6"/>
  <c r="Q53" i="6"/>
  <c r="U53" i="6"/>
  <c r="Y53" i="6"/>
  <c r="E54" i="6"/>
  <c r="N54" i="6" s="1"/>
  <c r="O54" i="6" s="1"/>
  <c r="I54" i="6"/>
  <c r="M54" i="6"/>
  <c r="Q54" i="6"/>
  <c r="R54" i="6" s="1"/>
  <c r="U54" i="6"/>
  <c r="Y54" i="6"/>
  <c r="G57" i="6"/>
  <c r="H57" i="6"/>
  <c r="J57" i="6"/>
  <c r="K57" i="6"/>
  <c r="L57" i="6"/>
  <c r="E58" i="6"/>
  <c r="I58" i="6"/>
  <c r="M58" i="6"/>
  <c r="Q58" i="6"/>
  <c r="R58" i="6" s="1"/>
  <c r="E59" i="6"/>
  <c r="N59" i="6" s="1"/>
  <c r="O59" i="6" s="1"/>
  <c r="M59" i="6"/>
  <c r="Q59" i="6"/>
  <c r="U59" i="6"/>
  <c r="E60" i="6"/>
  <c r="N60" i="6" s="1"/>
  <c r="I60" i="6"/>
  <c r="M60" i="6"/>
  <c r="Q60" i="6"/>
  <c r="R60" i="6" s="1"/>
  <c r="U60" i="6"/>
  <c r="Y60" i="6"/>
  <c r="E61" i="6"/>
  <c r="N61" i="6" s="1"/>
  <c r="O61" i="6" s="1"/>
  <c r="I61" i="6"/>
  <c r="M61" i="6"/>
  <c r="Q61" i="6"/>
  <c r="R61" i="6" s="1"/>
  <c r="U61" i="6"/>
  <c r="Y61" i="6"/>
  <c r="E62" i="6"/>
  <c r="I62" i="6"/>
  <c r="M62" i="6"/>
  <c r="Q62" i="6"/>
  <c r="R62" i="6" s="1"/>
  <c r="U62" i="6"/>
  <c r="E63" i="6"/>
  <c r="N63" i="6" s="1"/>
  <c r="O63" i="6" s="1"/>
  <c r="I63" i="6"/>
  <c r="M63" i="6"/>
  <c r="Q63" i="6"/>
  <c r="R63" i="6" s="1"/>
  <c r="U63" i="6"/>
  <c r="Y63" i="6"/>
  <c r="G64" i="6"/>
  <c r="H64" i="6"/>
  <c r="H56" i="6" s="1"/>
  <c r="J64" i="6"/>
  <c r="K64" i="6"/>
  <c r="L64" i="6"/>
  <c r="E65" i="6"/>
  <c r="I65" i="6"/>
  <c r="M65" i="6"/>
  <c r="Q65" i="6"/>
  <c r="U65" i="6"/>
  <c r="Y65" i="6"/>
  <c r="E66" i="6"/>
  <c r="N66" i="6" s="1"/>
  <c r="I66" i="6"/>
  <c r="M66" i="6"/>
  <c r="Q66" i="6"/>
  <c r="R66" i="6" s="1"/>
  <c r="U66" i="6"/>
  <c r="Y66" i="6"/>
  <c r="E67" i="6"/>
  <c r="N67" i="6" s="1"/>
  <c r="I67" i="6"/>
  <c r="M67" i="6"/>
  <c r="Q67" i="6"/>
  <c r="R67" i="6" s="1"/>
  <c r="U67" i="6"/>
  <c r="Y67" i="6"/>
  <c r="E68" i="6"/>
  <c r="N68" i="6" s="1"/>
  <c r="O68" i="6" s="1"/>
  <c r="M68" i="6"/>
  <c r="Q68" i="6"/>
  <c r="R68" i="6" s="1"/>
  <c r="U68" i="6"/>
  <c r="E69" i="6"/>
  <c r="N69" i="6" s="1"/>
  <c r="O69" i="6" s="1"/>
  <c r="I69" i="6"/>
  <c r="M69" i="6"/>
  <c r="Q69" i="6"/>
  <c r="R69" i="6" s="1"/>
  <c r="U69" i="6"/>
  <c r="Y69" i="6"/>
  <c r="E70" i="6"/>
  <c r="N70" i="6" s="1"/>
  <c r="O70" i="6" s="1"/>
  <c r="I70" i="6"/>
  <c r="M70" i="6"/>
  <c r="Q70" i="6"/>
  <c r="R70" i="6" s="1"/>
  <c r="U70" i="6"/>
  <c r="Y70" i="6"/>
  <c r="E71" i="6"/>
  <c r="N71" i="6" s="1"/>
  <c r="O71" i="6" s="1"/>
  <c r="I71" i="6"/>
  <c r="M71" i="6"/>
  <c r="Q71" i="6"/>
  <c r="R71" i="6" s="1"/>
  <c r="U71" i="6"/>
  <c r="Y71" i="6"/>
  <c r="E72" i="6"/>
  <c r="N72" i="6" s="1"/>
  <c r="O72" i="6" s="1"/>
  <c r="I72" i="6"/>
  <c r="M72" i="6"/>
  <c r="Q72" i="6"/>
  <c r="R72" i="6" s="1"/>
  <c r="U72" i="6"/>
  <c r="Y72" i="6"/>
  <c r="G73" i="6"/>
  <c r="H73" i="6"/>
  <c r="J73" i="6"/>
  <c r="K73" i="6"/>
  <c r="L73" i="6"/>
  <c r="E74" i="6"/>
  <c r="N74" i="6" s="1"/>
  <c r="I74" i="6"/>
  <c r="M74" i="6"/>
  <c r="Q74" i="6"/>
  <c r="R74" i="6" s="1"/>
  <c r="U74" i="6"/>
  <c r="Y74" i="6"/>
  <c r="E75" i="6"/>
  <c r="N75" i="6" s="1"/>
  <c r="I75" i="6"/>
  <c r="M75" i="6"/>
  <c r="Q75" i="6"/>
  <c r="Y75" i="6"/>
  <c r="E76" i="6"/>
  <c r="N76" i="6" s="1"/>
  <c r="O76" i="6" s="1"/>
  <c r="I76" i="6"/>
  <c r="M76" i="6"/>
  <c r="Q76" i="6"/>
  <c r="R76" i="6" s="1"/>
  <c r="U76" i="6"/>
  <c r="G79" i="6"/>
  <c r="H79" i="6"/>
  <c r="J79" i="6"/>
  <c r="K79" i="6"/>
  <c r="L79" i="6"/>
  <c r="E80" i="6"/>
  <c r="I80" i="6"/>
  <c r="M80" i="6"/>
  <c r="Q80" i="6"/>
  <c r="U80" i="6"/>
  <c r="E81" i="6"/>
  <c r="N81" i="6" s="1"/>
  <c r="O81" i="6" s="1"/>
  <c r="I81" i="6"/>
  <c r="M81" i="6"/>
  <c r="Q81" i="6"/>
  <c r="R81" i="6" s="1"/>
  <c r="G82" i="6"/>
  <c r="H82" i="6"/>
  <c r="J82" i="6"/>
  <c r="K82" i="6"/>
  <c r="L82" i="6"/>
  <c r="E83" i="6"/>
  <c r="N83" i="6" s="1"/>
  <c r="I83" i="6"/>
  <c r="M83" i="6"/>
  <c r="Q83" i="6"/>
  <c r="R83" i="6" s="1"/>
  <c r="Y83" i="6"/>
  <c r="E84" i="6"/>
  <c r="N84" i="6" s="1"/>
  <c r="I84" i="6"/>
  <c r="M84" i="6"/>
  <c r="Q84" i="6"/>
  <c r="R84" i="6" s="1"/>
  <c r="U84" i="6"/>
  <c r="Y84" i="6"/>
  <c r="E85" i="6"/>
  <c r="N85" i="6" s="1"/>
  <c r="O85" i="6" s="1"/>
  <c r="I85" i="6"/>
  <c r="M85" i="6"/>
  <c r="Q85" i="6"/>
  <c r="R85" i="6" s="1"/>
  <c r="U85" i="6"/>
  <c r="Y85" i="6"/>
  <c r="G88" i="6"/>
  <c r="H88" i="6"/>
  <c r="J88" i="6"/>
  <c r="K88" i="6"/>
  <c r="L88" i="6"/>
  <c r="E89" i="6"/>
  <c r="N89" i="6" s="1"/>
  <c r="O89" i="6" s="1"/>
  <c r="I89" i="6"/>
  <c r="M89" i="6"/>
  <c r="Q89" i="6"/>
  <c r="R89" i="6" s="1"/>
  <c r="U89" i="6"/>
  <c r="Y89" i="6"/>
  <c r="E90" i="6"/>
  <c r="N90" i="6" s="1"/>
  <c r="O90" i="6" s="1"/>
  <c r="I90" i="6"/>
  <c r="M90" i="6"/>
  <c r="Q90" i="6"/>
  <c r="R90" i="6" s="1"/>
  <c r="U90" i="6"/>
  <c r="Y90" i="6"/>
  <c r="E91" i="6"/>
  <c r="N91" i="6" s="1"/>
  <c r="O91" i="6" s="1"/>
  <c r="I91" i="6"/>
  <c r="M91" i="6"/>
  <c r="Q91" i="6"/>
  <c r="R91" i="6" s="1"/>
  <c r="U91" i="6"/>
  <c r="Y91" i="6"/>
  <c r="G92" i="6"/>
  <c r="H92" i="6"/>
  <c r="J92" i="6"/>
  <c r="K92" i="6"/>
  <c r="L92" i="6"/>
  <c r="E93" i="6"/>
  <c r="I93" i="6"/>
  <c r="M93" i="6"/>
  <c r="Q93" i="6"/>
  <c r="R93" i="6" s="1"/>
  <c r="U93" i="6"/>
  <c r="Y93" i="6"/>
  <c r="E94" i="6"/>
  <c r="N94" i="6" s="1"/>
  <c r="O94" i="6" s="1"/>
  <c r="I94" i="6"/>
  <c r="M94" i="6"/>
  <c r="Q94" i="6"/>
  <c r="R94" i="6" s="1"/>
  <c r="U94" i="6"/>
  <c r="Y94" i="6"/>
  <c r="E96" i="6"/>
  <c r="I96" i="6"/>
  <c r="M96" i="6"/>
  <c r="Q96" i="6"/>
  <c r="R96" i="6" s="1"/>
  <c r="U96" i="6"/>
  <c r="Y96" i="6"/>
  <c r="G97" i="6"/>
  <c r="G95" i="6" s="1"/>
  <c r="H97" i="6"/>
  <c r="H95" i="6" s="1"/>
  <c r="J97" i="6"/>
  <c r="J95" i="6" s="1"/>
  <c r="K97" i="6"/>
  <c r="K95" i="6" s="1"/>
  <c r="L97" i="6"/>
  <c r="L95" i="6" s="1"/>
  <c r="E98" i="6"/>
  <c r="N98" i="6" s="1"/>
  <c r="I98" i="6"/>
  <c r="M98" i="6"/>
  <c r="Q98" i="6"/>
  <c r="R98" i="6" s="1"/>
  <c r="Y98" i="6"/>
  <c r="E99" i="6"/>
  <c r="N99" i="6" s="1"/>
  <c r="O99" i="6" s="1"/>
  <c r="I99" i="6"/>
  <c r="M99" i="6"/>
  <c r="Q99" i="6"/>
  <c r="R99" i="6" s="1"/>
  <c r="U99" i="6"/>
  <c r="Y99" i="6"/>
  <c r="E100" i="6"/>
  <c r="N100" i="6" s="1"/>
  <c r="O100" i="6" s="1"/>
  <c r="I100" i="6"/>
  <c r="M100" i="6"/>
  <c r="Q100" i="6"/>
  <c r="U100" i="6"/>
  <c r="Y100" i="6"/>
  <c r="G101" i="6"/>
  <c r="H101" i="6"/>
  <c r="J101" i="6"/>
  <c r="K101" i="6"/>
  <c r="L101" i="6"/>
  <c r="E102" i="6"/>
  <c r="I102" i="6"/>
  <c r="M102" i="6"/>
  <c r="Q102" i="6"/>
  <c r="R102" i="6" s="1"/>
  <c r="U102" i="6"/>
  <c r="Y102" i="6"/>
  <c r="E103" i="6"/>
  <c r="N103" i="6" s="1"/>
  <c r="O103" i="6" s="1"/>
  <c r="I103" i="6"/>
  <c r="M103" i="6"/>
  <c r="Q103" i="6"/>
  <c r="U103" i="6"/>
  <c r="Y103" i="6"/>
  <c r="G105" i="6"/>
  <c r="G104" i="6" s="1"/>
  <c r="H105" i="6"/>
  <c r="H104" i="6" s="1"/>
  <c r="E21" i="47" s="1"/>
  <c r="J105" i="6"/>
  <c r="J104" i="6" s="1"/>
  <c r="K105" i="6"/>
  <c r="K104" i="6" s="1"/>
  <c r="L105" i="6"/>
  <c r="L104" i="6" s="1"/>
  <c r="E106" i="6"/>
  <c r="N106" i="6" s="1"/>
  <c r="I106" i="6"/>
  <c r="I105" i="6" s="1"/>
  <c r="I104" i="6" s="1"/>
  <c r="M106" i="6"/>
  <c r="M105" i="6" s="1"/>
  <c r="M104" i="6" s="1"/>
  <c r="Q106" i="6"/>
  <c r="U106" i="6"/>
  <c r="U105" i="6" s="1"/>
  <c r="U104" i="6" s="1"/>
  <c r="Y106" i="6"/>
  <c r="Y105" i="6" s="1"/>
  <c r="Y104" i="6" s="1"/>
  <c r="F21" i="47" s="1"/>
  <c r="I110" i="6"/>
  <c r="M110" i="6"/>
  <c r="N110" i="6"/>
  <c r="O110" i="6" s="1"/>
  <c r="Q110" i="6"/>
  <c r="R110" i="6" s="1"/>
  <c r="E111" i="6"/>
  <c r="I111" i="6"/>
  <c r="M111" i="6"/>
  <c r="Q111" i="6"/>
  <c r="R111" i="6" s="1"/>
  <c r="U111" i="6"/>
  <c r="Y111" i="6"/>
  <c r="G112" i="6"/>
  <c r="G109" i="6" s="1"/>
  <c r="H112" i="6"/>
  <c r="H109" i="6" s="1"/>
  <c r="J112" i="6"/>
  <c r="J109" i="6" s="1"/>
  <c r="K112" i="6"/>
  <c r="K109" i="6" s="1"/>
  <c r="L112" i="6"/>
  <c r="L109" i="6" s="1"/>
  <c r="I113" i="6"/>
  <c r="M113" i="6"/>
  <c r="N113" i="6"/>
  <c r="O113" i="6" s="1"/>
  <c r="Q113" i="6"/>
  <c r="R113" i="6" s="1"/>
  <c r="Y113" i="6"/>
  <c r="E114" i="6"/>
  <c r="E112" i="6" s="1"/>
  <c r="I114" i="6"/>
  <c r="M114" i="6"/>
  <c r="Q114" i="6"/>
  <c r="R114" i="6" s="1"/>
  <c r="U114" i="6"/>
  <c r="Y114" i="6"/>
  <c r="G116" i="6"/>
  <c r="H116" i="6"/>
  <c r="J116" i="6"/>
  <c r="K116" i="6"/>
  <c r="L116" i="6"/>
  <c r="I117" i="6"/>
  <c r="M117" i="6"/>
  <c r="N117" i="6"/>
  <c r="Q117" i="6"/>
  <c r="R117" i="6" s="1"/>
  <c r="Y117" i="6"/>
  <c r="E118" i="6"/>
  <c r="N118" i="6" s="1"/>
  <c r="I118" i="6"/>
  <c r="M118" i="6"/>
  <c r="Q118" i="6"/>
  <c r="R118" i="6" s="1"/>
  <c r="U118" i="6"/>
  <c r="Y118" i="6"/>
  <c r="E119" i="6"/>
  <c r="N119" i="6" s="1"/>
  <c r="I119" i="6"/>
  <c r="M119" i="6"/>
  <c r="Q119" i="6"/>
  <c r="R119" i="6" s="1"/>
  <c r="U119" i="6"/>
  <c r="Y119" i="6"/>
  <c r="G120" i="6"/>
  <c r="H120" i="6"/>
  <c r="J120" i="6"/>
  <c r="K120" i="6"/>
  <c r="L120" i="6"/>
  <c r="E121" i="6"/>
  <c r="I121" i="6"/>
  <c r="M121" i="6"/>
  <c r="R121" i="6"/>
  <c r="Y121" i="6"/>
  <c r="E122" i="6"/>
  <c r="N122" i="6" s="1"/>
  <c r="O122" i="6" s="1"/>
  <c r="I122" i="6"/>
  <c r="M122" i="6"/>
  <c r="U122" i="6"/>
  <c r="Y122" i="6"/>
  <c r="E123" i="6"/>
  <c r="N123" i="6" s="1"/>
  <c r="I123" i="6"/>
  <c r="M123" i="6"/>
  <c r="R123" i="6"/>
  <c r="U123" i="6"/>
  <c r="Y123" i="6"/>
  <c r="E124" i="6"/>
  <c r="N124" i="6" s="1"/>
  <c r="O124" i="6" s="1"/>
  <c r="I124" i="6"/>
  <c r="M124" i="6"/>
  <c r="Q124" i="6"/>
  <c r="R124" i="6" s="1"/>
  <c r="U124" i="6"/>
  <c r="Y124" i="6"/>
  <c r="G125" i="6"/>
  <c r="H125" i="6"/>
  <c r="J125" i="6"/>
  <c r="K125" i="6"/>
  <c r="L125" i="6"/>
  <c r="E126" i="6"/>
  <c r="N126" i="6" s="1"/>
  <c r="N125" i="6" s="1"/>
  <c r="I126" i="6"/>
  <c r="I125" i="6" s="1"/>
  <c r="M126" i="6"/>
  <c r="M125" i="6" s="1"/>
  <c r="Q126" i="6"/>
  <c r="R126" i="6" s="1"/>
  <c r="U126" i="6"/>
  <c r="U125" i="6" s="1"/>
  <c r="Y126" i="6"/>
  <c r="Y125" i="6" s="1"/>
  <c r="I127" i="6"/>
  <c r="M127" i="6"/>
  <c r="N127" i="6"/>
  <c r="O127" i="6" s="1"/>
  <c r="R127" i="6"/>
  <c r="I130" i="6"/>
  <c r="M130" i="6"/>
  <c r="N130" i="6"/>
  <c r="O130" i="6" s="1"/>
  <c r="Q130" i="6"/>
  <c r="U130" i="6"/>
  <c r="Y130" i="6"/>
  <c r="G131" i="6"/>
  <c r="H131" i="6"/>
  <c r="J131" i="6"/>
  <c r="K131" i="6"/>
  <c r="L131" i="6"/>
  <c r="E132" i="6"/>
  <c r="N132" i="6" s="1"/>
  <c r="I132" i="6"/>
  <c r="M132" i="6"/>
  <c r="Q132" i="6"/>
  <c r="R132" i="6" s="1"/>
  <c r="U132" i="6"/>
  <c r="Y132" i="6"/>
  <c r="E133" i="6"/>
  <c r="N133" i="6" s="1"/>
  <c r="I133" i="6"/>
  <c r="M133" i="6"/>
  <c r="Q133" i="6"/>
  <c r="U133" i="6"/>
  <c r="Y133" i="6"/>
  <c r="I134" i="6"/>
  <c r="M134" i="6"/>
  <c r="N134" i="6"/>
  <c r="Q134" i="6"/>
  <c r="R134" i="6" s="1"/>
  <c r="U134" i="6"/>
  <c r="Y134" i="6"/>
  <c r="E135" i="6"/>
  <c r="G135" i="6"/>
  <c r="H135" i="6"/>
  <c r="J135" i="6"/>
  <c r="K135" i="6"/>
  <c r="L135" i="6"/>
  <c r="I136" i="6"/>
  <c r="M136" i="6"/>
  <c r="N136" i="6"/>
  <c r="O136" i="6" s="1"/>
  <c r="Q136" i="6"/>
  <c r="R136" i="6" s="1"/>
  <c r="U136" i="6"/>
  <c r="Y136" i="6"/>
  <c r="I137" i="6"/>
  <c r="M137" i="6"/>
  <c r="N137" i="6"/>
  <c r="O137" i="6" s="1"/>
  <c r="Q137" i="6"/>
  <c r="R137" i="6" s="1"/>
  <c r="U137" i="6"/>
  <c r="Y137" i="6"/>
  <c r="G140" i="6"/>
  <c r="G139" i="6" s="1"/>
  <c r="H140" i="6"/>
  <c r="H139" i="6" s="1"/>
  <c r="J140" i="6"/>
  <c r="J139" i="6" s="1"/>
  <c r="K140" i="6"/>
  <c r="K139" i="6" s="1"/>
  <c r="L140" i="6"/>
  <c r="L139" i="6" s="1"/>
  <c r="E141" i="6"/>
  <c r="I141" i="6"/>
  <c r="M141" i="6"/>
  <c r="R141" i="6"/>
  <c r="Y141" i="6"/>
  <c r="E142" i="6"/>
  <c r="N142" i="6" s="1"/>
  <c r="I142" i="6"/>
  <c r="M142" i="6"/>
  <c r="Q142" i="6"/>
  <c r="R142" i="6" s="1"/>
  <c r="U142" i="6"/>
  <c r="Y142" i="6"/>
  <c r="E143" i="6"/>
  <c r="N143" i="6" s="1"/>
  <c r="I143" i="6"/>
  <c r="M143" i="6"/>
  <c r="Q143" i="6"/>
  <c r="R143" i="6" s="1"/>
  <c r="U143" i="6"/>
  <c r="Y143" i="6"/>
  <c r="G144" i="6"/>
  <c r="H144" i="6"/>
  <c r="J144" i="6"/>
  <c r="K144" i="6"/>
  <c r="L144" i="6"/>
  <c r="E145" i="6"/>
  <c r="I145" i="6"/>
  <c r="M145" i="6"/>
  <c r="Q145" i="6"/>
  <c r="R145" i="6" s="1"/>
  <c r="Y145" i="6"/>
  <c r="E146" i="6"/>
  <c r="I146" i="6"/>
  <c r="M146" i="6"/>
  <c r="R146" i="6"/>
  <c r="U146" i="6"/>
  <c r="Y146" i="6"/>
  <c r="I147" i="6"/>
  <c r="M147" i="6"/>
  <c r="N147" i="6"/>
  <c r="O147" i="6" s="1"/>
  <c r="Q147" i="6"/>
  <c r="R147" i="6" s="1"/>
  <c r="U147" i="6"/>
  <c r="I148" i="6"/>
  <c r="M148" i="6"/>
  <c r="N148" i="6"/>
  <c r="O148" i="6" s="1"/>
  <c r="Q148" i="6"/>
  <c r="R148" i="6" s="1"/>
  <c r="U148" i="6"/>
  <c r="Y148" i="6"/>
  <c r="G150" i="6"/>
  <c r="G149" i="6" s="1"/>
  <c r="H150" i="6"/>
  <c r="H149" i="6" s="1"/>
  <c r="E25" i="47" s="1"/>
  <c r="J150" i="6"/>
  <c r="J149" i="6" s="1"/>
  <c r="K150" i="6"/>
  <c r="K149" i="6" s="1"/>
  <c r="L150" i="6"/>
  <c r="L149" i="6" s="1"/>
  <c r="T150" i="6"/>
  <c r="T149" i="6" s="1"/>
  <c r="E151" i="6"/>
  <c r="I151" i="6"/>
  <c r="I150" i="6" s="1"/>
  <c r="I149" i="6" s="1"/>
  <c r="M151" i="6"/>
  <c r="M150" i="6" s="1"/>
  <c r="M149" i="6" s="1"/>
  <c r="Q151" i="6"/>
  <c r="Q150" i="6" s="1"/>
  <c r="Q149" i="6" s="1"/>
  <c r="R149" i="6" s="1"/>
  <c r="U151" i="6"/>
  <c r="U150" i="6" s="1"/>
  <c r="U149" i="6" s="1"/>
  <c r="Y151" i="6"/>
  <c r="Y150" i="6" s="1"/>
  <c r="Y149" i="6" s="1"/>
  <c r="F25" i="47" s="1"/>
  <c r="G156" i="6"/>
  <c r="H156" i="6"/>
  <c r="K156" i="6"/>
  <c r="L156" i="6"/>
  <c r="E157" i="6"/>
  <c r="I157" i="6"/>
  <c r="J157" i="6"/>
  <c r="J156" i="6" s="1"/>
  <c r="M157" i="6"/>
  <c r="Q157" i="6"/>
  <c r="T156" i="6"/>
  <c r="U157" i="6"/>
  <c r="E158" i="6"/>
  <c r="N158" i="6" s="1"/>
  <c r="O158" i="6" s="1"/>
  <c r="I158" i="6"/>
  <c r="M158" i="6"/>
  <c r="Q158" i="6"/>
  <c r="R158" i="6" s="1"/>
  <c r="U158" i="6"/>
  <c r="Y158" i="6"/>
  <c r="G159" i="6"/>
  <c r="H159" i="6"/>
  <c r="J159" i="6"/>
  <c r="K159" i="6"/>
  <c r="L159" i="6"/>
  <c r="T159" i="6"/>
  <c r="E160" i="6"/>
  <c r="I160" i="6"/>
  <c r="M160" i="6"/>
  <c r="Q160" i="6"/>
  <c r="U160" i="6"/>
  <c r="Y160" i="6"/>
  <c r="E161" i="6"/>
  <c r="N161" i="6" s="1"/>
  <c r="I161" i="6"/>
  <c r="M161" i="6"/>
  <c r="Q161" i="6"/>
  <c r="R161" i="6" s="1"/>
  <c r="U161" i="6"/>
  <c r="Y161" i="6"/>
  <c r="E163" i="6"/>
  <c r="N163" i="6" s="1"/>
  <c r="O163" i="6" s="1"/>
  <c r="I163" i="6"/>
  <c r="M163" i="6"/>
  <c r="Q163" i="6"/>
  <c r="R163" i="6" s="1"/>
  <c r="U163" i="6"/>
  <c r="Y163" i="6"/>
  <c r="E164" i="6"/>
  <c r="N164" i="6" s="1"/>
  <c r="O164" i="6" s="1"/>
  <c r="I164" i="6"/>
  <c r="M164" i="6"/>
  <c r="Q164" i="6"/>
  <c r="R164" i="6" s="1"/>
  <c r="U164" i="6"/>
  <c r="Y164" i="6"/>
  <c r="G165" i="6"/>
  <c r="G162" i="6" s="1"/>
  <c r="H165" i="6"/>
  <c r="H162" i="6" s="1"/>
  <c r="J165" i="6"/>
  <c r="J162" i="6" s="1"/>
  <c r="K165" i="6"/>
  <c r="K162" i="6" s="1"/>
  <c r="L165" i="6"/>
  <c r="L162" i="6" s="1"/>
  <c r="E166" i="6"/>
  <c r="N166" i="6" s="1"/>
  <c r="I166" i="6"/>
  <c r="M166" i="6"/>
  <c r="Q166" i="6"/>
  <c r="R166" i="6" s="1"/>
  <c r="U166" i="6"/>
  <c r="Y166" i="6"/>
  <c r="E167" i="6"/>
  <c r="N167" i="6" s="1"/>
  <c r="I167" i="6"/>
  <c r="M167" i="6"/>
  <c r="Q167" i="6"/>
  <c r="U167" i="6"/>
  <c r="Y167" i="6"/>
  <c r="H168" i="6"/>
  <c r="G169" i="6"/>
  <c r="G168" i="6" s="1"/>
  <c r="J169" i="6"/>
  <c r="J168" i="6" s="1"/>
  <c r="K169" i="6"/>
  <c r="K168" i="6" s="1"/>
  <c r="L169" i="6"/>
  <c r="L168" i="6" s="1"/>
  <c r="T168" i="6"/>
  <c r="E170" i="6"/>
  <c r="N170" i="6" s="1"/>
  <c r="I170" i="6"/>
  <c r="M170" i="6"/>
  <c r="Q170" i="6"/>
  <c r="U170" i="6"/>
  <c r="Y170" i="6"/>
  <c r="E171" i="6"/>
  <c r="N171" i="6" s="1"/>
  <c r="I171" i="6"/>
  <c r="M171" i="6"/>
  <c r="Q171" i="6"/>
  <c r="R171" i="6" s="1"/>
  <c r="U171" i="6"/>
  <c r="Y171" i="6"/>
  <c r="E172" i="6"/>
  <c r="N172" i="6" s="1"/>
  <c r="I172" i="6"/>
  <c r="M172" i="6"/>
  <c r="Q172" i="6"/>
  <c r="R172" i="6" s="1"/>
  <c r="U172" i="6"/>
  <c r="Y172" i="6"/>
  <c r="E173" i="6"/>
  <c r="N173" i="6" s="1"/>
  <c r="I173" i="6"/>
  <c r="M173" i="6"/>
  <c r="Q173" i="6"/>
  <c r="R173" i="6" s="1"/>
  <c r="U173" i="6"/>
  <c r="Y173" i="6"/>
  <c r="E174" i="6"/>
  <c r="I174" i="6"/>
  <c r="M174" i="6"/>
  <c r="Q174" i="6"/>
  <c r="R174" i="6" s="1"/>
  <c r="U174" i="6"/>
  <c r="E175" i="6"/>
  <c r="N175" i="6" s="1"/>
  <c r="I175" i="6"/>
  <c r="M175" i="6"/>
  <c r="Q175" i="6"/>
  <c r="R175" i="6" s="1"/>
  <c r="U175" i="6"/>
  <c r="Y175" i="6"/>
  <c r="E176" i="6"/>
  <c r="N176" i="6" s="1"/>
  <c r="O176" i="6" s="1"/>
  <c r="I176" i="6"/>
  <c r="M176" i="6"/>
  <c r="Q176" i="6"/>
  <c r="R176" i="6" s="1"/>
  <c r="U176" i="6"/>
  <c r="E177" i="6"/>
  <c r="N177" i="6" s="1"/>
  <c r="I177" i="6"/>
  <c r="M177" i="6"/>
  <c r="Q177" i="6"/>
  <c r="R177" i="6" s="1"/>
  <c r="U177" i="6"/>
  <c r="Y177" i="6"/>
  <c r="G179" i="6"/>
  <c r="H179" i="6"/>
  <c r="J179" i="6"/>
  <c r="K179" i="6"/>
  <c r="L179" i="6"/>
  <c r="E180" i="6"/>
  <c r="N180" i="6" s="1"/>
  <c r="I180" i="6"/>
  <c r="M180" i="6"/>
  <c r="Q180" i="6"/>
  <c r="U180" i="6"/>
  <c r="Y180" i="6"/>
  <c r="E181" i="6"/>
  <c r="N181" i="6" s="1"/>
  <c r="O181" i="6" s="1"/>
  <c r="I181" i="6"/>
  <c r="M181" i="6"/>
  <c r="Q181" i="6"/>
  <c r="R181" i="6" s="1"/>
  <c r="U181" i="6"/>
  <c r="Y181" i="6"/>
  <c r="E182" i="6"/>
  <c r="N182" i="6" s="1"/>
  <c r="I182" i="6"/>
  <c r="M182" i="6"/>
  <c r="Q182" i="6"/>
  <c r="R182" i="6" s="1"/>
  <c r="U182" i="6"/>
  <c r="G183" i="6"/>
  <c r="H183" i="6"/>
  <c r="J183" i="6"/>
  <c r="K183" i="6"/>
  <c r="L183" i="6"/>
  <c r="E184" i="6"/>
  <c r="N184" i="6" s="1"/>
  <c r="I184" i="6"/>
  <c r="M184" i="6"/>
  <c r="Q184" i="6"/>
  <c r="U184" i="6"/>
  <c r="Y184" i="6"/>
  <c r="E185" i="6"/>
  <c r="N185" i="6" s="1"/>
  <c r="O185" i="6" s="1"/>
  <c r="I185" i="6"/>
  <c r="M185" i="6"/>
  <c r="Q185" i="6"/>
  <c r="R185" i="6" s="1"/>
  <c r="U185" i="6"/>
  <c r="Y185" i="6"/>
  <c r="H187" i="6"/>
  <c r="E188" i="6"/>
  <c r="N188" i="6" s="1"/>
  <c r="I188" i="6"/>
  <c r="M188" i="6"/>
  <c r="Q188" i="6"/>
  <c r="R188" i="6" s="1"/>
  <c r="U188" i="6"/>
  <c r="Y188" i="6"/>
  <c r="E189" i="6"/>
  <c r="I189" i="6"/>
  <c r="M189" i="6"/>
  <c r="Q189" i="6"/>
  <c r="R189" i="6" s="1"/>
  <c r="U189" i="6"/>
  <c r="G190" i="6"/>
  <c r="G187" i="6" s="1"/>
  <c r="J190" i="6"/>
  <c r="J187" i="6" s="1"/>
  <c r="K190" i="6"/>
  <c r="K187" i="6" s="1"/>
  <c r="L190" i="6"/>
  <c r="L187" i="6" s="1"/>
  <c r="E191" i="6"/>
  <c r="I191" i="6"/>
  <c r="M191" i="6"/>
  <c r="Q191" i="6"/>
  <c r="R191" i="6" s="1"/>
  <c r="Y191" i="6"/>
  <c r="E192" i="6"/>
  <c r="N192" i="6" s="1"/>
  <c r="I192" i="6"/>
  <c r="M192" i="6"/>
  <c r="Q192" i="6"/>
  <c r="U192" i="6"/>
  <c r="E193" i="6"/>
  <c r="N193" i="6" s="1"/>
  <c r="I193" i="6"/>
  <c r="M193" i="6"/>
  <c r="Q193" i="6"/>
  <c r="R193" i="6" s="1"/>
  <c r="U193" i="6"/>
  <c r="Y193" i="6"/>
  <c r="E194" i="6"/>
  <c r="N194" i="6" s="1"/>
  <c r="I194" i="6"/>
  <c r="M194" i="6"/>
  <c r="Q194" i="6"/>
  <c r="R194" i="6" s="1"/>
  <c r="U194" i="6"/>
  <c r="Y194" i="6"/>
  <c r="G196" i="6"/>
  <c r="H196" i="6"/>
  <c r="J196" i="6"/>
  <c r="K196" i="6"/>
  <c r="L196" i="6"/>
  <c r="E197" i="6"/>
  <c r="N197" i="6" s="1"/>
  <c r="I197" i="6"/>
  <c r="M197" i="6"/>
  <c r="Q197" i="6"/>
  <c r="R197" i="6" s="1"/>
  <c r="U197" i="6"/>
  <c r="E198" i="6"/>
  <c r="I198" i="6"/>
  <c r="M198" i="6"/>
  <c r="Q198" i="6"/>
  <c r="R198" i="6" s="1"/>
  <c r="U198" i="6"/>
  <c r="Y198" i="6"/>
  <c r="E199" i="6"/>
  <c r="N199" i="6" s="1"/>
  <c r="I199" i="6"/>
  <c r="M199" i="6"/>
  <c r="Q199" i="6"/>
  <c r="R199" i="6" s="1"/>
  <c r="U199" i="6"/>
  <c r="Y199" i="6"/>
  <c r="E200" i="6"/>
  <c r="N200" i="6" s="1"/>
  <c r="O200" i="6" s="1"/>
  <c r="I200" i="6"/>
  <c r="M200" i="6"/>
  <c r="Q200" i="6"/>
  <c r="R200" i="6" s="1"/>
  <c r="U200" i="6"/>
  <c r="Y200" i="6"/>
  <c r="G201" i="6"/>
  <c r="H201" i="6"/>
  <c r="J201" i="6"/>
  <c r="K201" i="6"/>
  <c r="L201" i="6"/>
  <c r="E202" i="6"/>
  <c r="N202" i="6" s="1"/>
  <c r="I202" i="6"/>
  <c r="M202" i="6"/>
  <c r="Q202" i="6"/>
  <c r="U202" i="6"/>
  <c r="Y202" i="6"/>
  <c r="E203" i="6"/>
  <c r="I203" i="6"/>
  <c r="M203" i="6"/>
  <c r="Q203" i="6"/>
  <c r="R203" i="6" s="1"/>
  <c r="T201" i="6"/>
  <c r="U203" i="6"/>
  <c r="Y203" i="6"/>
  <c r="G205" i="6"/>
  <c r="H205" i="6"/>
  <c r="J205" i="6"/>
  <c r="K205" i="6"/>
  <c r="E206" i="6"/>
  <c r="N206" i="6" s="1"/>
  <c r="O206" i="6" s="1"/>
  <c r="I206" i="6"/>
  <c r="L206" i="6"/>
  <c r="L205" i="6" s="1"/>
  <c r="Q206" i="6"/>
  <c r="R206" i="6" s="1"/>
  <c r="U206" i="6"/>
  <c r="E207" i="6"/>
  <c r="N207" i="6" s="1"/>
  <c r="O207" i="6" s="1"/>
  <c r="I207" i="6"/>
  <c r="M207" i="6"/>
  <c r="Q207" i="6"/>
  <c r="R207" i="6" s="1"/>
  <c r="T205" i="6"/>
  <c r="U207" i="6"/>
  <c r="Y207" i="6"/>
  <c r="E208" i="6"/>
  <c r="N208" i="6" s="1"/>
  <c r="O208" i="6" s="1"/>
  <c r="I208" i="6"/>
  <c r="M208" i="6"/>
  <c r="Q208" i="6"/>
  <c r="R208" i="6" s="1"/>
  <c r="U208" i="6"/>
  <c r="E209" i="6"/>
  <c r="N209" i="6" s="1"/>
  <c r="O209" i="6" s="1"/>
  <c r="I209" i="6"/>
  <c r="M209" i="6"/>
  <c r="Q209" i="6"/>
  <c r="R209" i="6" s="1"/>
  <c r="U209" i="6"/>
  <c r="E210" i="6"/>
  <c r="N210" i="6" s="1"/>
  <c r="O210" i="6" s="1"/>
  <c r="I210" i="6"/>
  <c r="M210" i="6"/>
  <c r="Q210" i="6"/>
  <c r="R210" i="6" s="1"/>
  <c r="U210" i="6"/>
  <c r="Y210" i="6"/>
  <c r="E211" i="6"/>
  <c r="N211" i="6" s="1"/>
  <c r="O211" i="6" s="1"/>
  <c r="I211" i="6"/>
  <c r="M211" i="6"/>
  <c r="Q211" i="6"/>
  <c r="R211" i="6" s="1"/>
  <c r="U211" i="6"/>
  <c r="Y211" i="6"/>
  <c r="G212" i="6"/>
  <c r="H212" i="6"/>
  <c r="J212" i="6"/>
  <c r="K212" i="6"/>
  <c r="L212" i="6"/>
  <c r="Q212" i="6"/>
  <c r="R212" i="6" s="1"/>
  <c r="T212" i="6"/>
  <c r="E213" i="6"/>
  <c r="N213" i="6" s="1"/>
  <c r="O213" i="6" s="1"/>
  <c r="I213" i="6"/>
  <c r="I212" i="6" s="1"/>
  <c r="M213" i="6"/>
  <c r="M212" i="6" s="1"/>
  <c r="R213" i="6"/>
  <c r="U213" i="6"/>
  <c r="U212" i="6" s="1"/>
  <c r="Y213" i="6"/>
  <c r="Y212" i="6" s="1"/>
  <c r="E216" i="6"/>
  <c r="N216" i="6" s="1"/>
  <c r="I216" i="6"/>
  <c r="M216" i="6"/>
  <c r="Q216" i="6"/>
  <c r="R216" i="6" s="1"/>
  <c r="U216" i="6"/>
  <c r="E217" i="6"/>
  <c r="I217" i="6"/>
  <c r="M217" i="6"/>
  <c r="Q217" i="6"/>
  <c r="R217" i="6" s="1"/>
  <c r="U217" i="6"/>
  <c r="Y217" i="6"/>
  <c r="E218" i="6"/>
  <c r="N218" i="6" s="1"/>
  <c r="O218" i="6" s="1"/>
  <c r="I218" i="6"/>
  <c r="M218" i="6"/>
  <c r="Q218" i="6"/>
  <c r="R218" i="6" s="1"/>
  <c r="U218" i="6"/>
  <c r="G219" i="6"/>
  <c r="G215" i="6" s="1"/>
  <c r="H219" i="6"/>
  <c r="H215" i="6" s="1"/>
  <c r="J219" i="6"/>
  <c r="J215" i="6" s="1"/>
  <c r="K219" i="6"/>
  <c r="K215" i="6" s="1"/>
  <c r="L219" i="6"/>
  <c r="L215" i="6" s="1"/>
  <c r="E220" i="6"/>
  <c r="N220" i="6" s="1"/>
  <c r="I220" i="6"/>
  <c r="M220" i="6"/>
  <c r="Q220" i="6"/>
  <c r="U220" i="6"/>
  <c r="Y220" i="6"/>
  <c r="E221" i="6"/>
  <c r="I221" i="6"/>
  <c r="M221" i="6"/>
  <c r="Q221" i="6"/>
  <c r="R221" i="6" s="1"/>
  <c r="U221" i="6"/>
  <c r="Y221" i="6"/>
  <c r="G223" i="6"/>
  <c r="G222" i="6" s="1"/>
  <c r="H223" i="6"/>
  <c r="H222" i="6" s="1"/>
  <c r="J223" i="6"/>
  <c r="J222" i="6" s="1"/>
  <c r="K223" i="6"/>
  <c r="K222" i="6" s="1"/>
  <c r="L223" i="6"/>
  <c r="L222" i="6" s="1"/>
  <c r="E224" i="6"/>
  <c r="I224" i="6"/>
  <c r="M224" i="6"/>
  <c r="Q224" i="6"/>
  <c r="R224" i="6" s="1"/>
  <c r="Y224" i="6"/>
  <c r="E225" i="6"/>
  <c r="N225" i="6" s="1"/>
  <c r="O225" i="6" s="1"/>
  <c r="I225" i="6"/>
  <c r="M225" i="6"/>
  <c r="Q225" i="6"/>
  <c r="R225" i="6" s="1"/>
  <c r="U225" i="6"/>
  <c r="Y225" i="6"/>
  <c r="E226" i="6"/>
  <c r="N226" i="6" s="1"/>
  <c r="I226" i="6"/>
  <c r="M226" i="6"/>
  <c r="Q226" i="6"/>
  <c r="R226" i="6" s="1"/>
  <c r="U226" i="6"/>
  <c r="Y226" i="6"/>
  <c r="E227" i="6"/>
  <c r="N227" i="6" s="1"/>
  <c r="O227" i="6" s="1"/>
  <c r="I227" i="6"/>
  <c r="M227" i="6"/>
  <c r="Q227" i="6"/>
  <c r="R227" i="6" s="1"/>
  <c r="U227" i="6"/>
  <c r="Y227" i="6"/>
  <c r="G228" i="6"/>
  <c r="H228" i="6"/>
  <c r="J228" i="6"/>
  <c r="K228" i="6"/>
  <c r="L228" i="6"/>
  <c r="E229" i="6"/>
  <c r="N229" i="6" s="1"/>
  <c r="I229" i="6"/>
  <c r="M229" i="6"/>
  <c r="Q229" i="6"/>
  <c r="R229" i="6" s="1"/>
  <c r="U229" i="6"/>
  <c r="Y229" i="6"/>
  <c r="E230" i="6"/>
  <c r="N230" i="6" s="1"/>
  <c r="O230" i="6" s="1"/>
  <c r="I230" i="6"/>
  <c r="M230" i="6"/>
  <c r="Q230" i="6"/>
  <c r="R230" i="6" s="1"/>
  <c r="U230" i="6"/>
  <c r="E231" i="6"/>
  <c r="I231" i="6"/>
  <c r="M231" i="6"/>
  <c r="Q231" i="6"/>
  <c r="R231" i="6" s="1"/>
  <c r="U231" i="6"/>
  <c r="G232" i="6"/>
  <c r="H232" i="6"/>
  <c r="J232" i="6"/>
  <c r="K232" i="6"/>
  <c r="L232" i="6"/>
  <c r="E233" i="6"/>
  <c r="I233" i="6"/>
  <c r="M233" i="6"/>
  <c r="Q233" i="6"/>
  <c r="R233" i="6" s="1"/>
  <c r="E234" i="6"/>
  <c r="N234" i="6" s="1"/>
  <c r="I234" i="6"/>
  <c r="M234" i="6"/>
  <c r="Q234" i="6"/>
  <c r="R234" i="6" s="1"/>
  <c r="U234" i="6"/>
  <c r="Y234" i="6"/>
  <c r="E237" i="6"/>
  <c r="N237" i="6" s="1"/>
  <c r="O237" i="6" s="1"/>
  <c r="I237" i="6"/>
  <c r="M237" i="6"/>
  <c r="Q237" i="6"/>
  <c r="R237" i="6" s="1"/>
  <c r="G238" i="6"/>
  <c r="G236" i="6" s="1"/>
  <c r="H236" i="6"/>
  <c r="J238" i="6"/>
  <c r="J236" i="6" s="1"/>
  <c r="K238" i="6"/>
  <c r="K236" i="6" s="1"/>
  <c r="L238" i="6"/>
  <c r="L236" i="6" s="1"/>
  <c r="E239" i="6"/>
  <c r="N239" i="6" s="1"/>
  <c r="I239" i="6"/>
  <c r="M239" i="6"/>
  <c r="Q239" i="6"/>
  <c r="R239" i="6" s="1"/>
  <c r="U239" i="6"/>
  <c r="E240" i="6"/>
  <c r="N240" i="6" s="1"/>
  <c r="O240" i="6" s="1"/>
  <c r="I240" i="6"/>
  <c r="M240" i="6"/>
  <c r="Q240" i="6"/>
  <c r="R240" i="6" s="1"/>
  <c r="U240" i="6"/>
  <c r="Y240" i="6"/>
  <c r="E241" i="6"/>
  <c r="N241" i="6" s="1"/>
  <c r="I241" i="6"/>
  <c r="M241" i="6"/>
  <c r="Q241" i="6"/>
  <c r="R241" i="6" s="1"/>
  <c r="U241" i="6"/>
  <c r="Y241" i="6"/>
  <c r="E242" i="6"/>
  <c r="N242" i="6" s="1"/>
  <c r="O242" i="6" s="1"/>
  <c r="I242" i="6"/>
  <c r="M242" i="6"/>
  <c r="Q242" i="6"/>
  <c r="R242" i="6" s="1"/>
  <c r="U242" i="6"/>
  <c r="Y242" i="6"/>
  <c r="E243" i="6"/>
  <c r="N243" i="6" s="1"/>
  <c r="I243" i="6"/>
  <c r="M243" i="6"/>
  <c r="Q243" i="6"/>
  <c r="R243" i="6" s="1"/>
  <c r="U243" i="6"/>
  <c r="G245" i="6"/>
  <c r="G244" i="6" s="1"/>
  <c r="H245" i="6"/>
  <c r="H244" i="6" s="1"/>
  <c r="J245" i="6"/>
  <c r="J244" i="6" s="1"/>
  <c r="K245" i="6"/>
  <c r="K244" i="6" s="1"/>
  <c r="L245" i="6"/>
  <c r="L244" i="6" s="1"/>
  <c r="E246" i="6"/>
  <c r="N246" i="6" s="1"/>
  <c r="I246" i="6"/>
  <c r="M246" i="6"/>
  <c r="Q246" i="6"/>
  <c r="T244" i="6"/>
  <c r="U246" i="6"/>
  <c r="Y246" i="6"/>
  <c r="E247" i="6"/>
  <c r="N247" i="6" s="1"/>
  <c r="O247" i="6" s="1"/>
  <c r="I247" i="6"/>
  <c r="M247" i="6"/>
  <c r="Q247" i="6"/>
  <c r="R247" i="6" s="1"/>
  <c r="U247" i="6"/>
  <c r="Y247" i="6"/>
  <c r="E248" i="6"/>
  <c r="N248" i="6" s="1"/>
  <c r="I248" i="6"/>
  <c r="M248" i="6"/>
  <c r="Q248" i="6"/>
  <c r="R248" i="6" s="1"/>
  <c r="U248" i="6"/>
  <c r="Y248" i="6"/>
  <c r="E249" i="6"/>
  <c r="N249" i="6" s="1"/>
  <c r="O249" i="6" s="1"/>
  <c r="I249" i="6"/>
  <c r="M249" i="6"/>
  <c r="Q249" i="6"/>
  <c r="R249" i="6" s="1"/>
  <c r="U249" i="6"/>
  <c r="Y249" i="6"/>
  <c r="E250" i="6"/>
  <c r="N250" i="6" s="1"/>
  <c r="I250" i="6"/>
  <c r="M250" i="6"/>
  <c r="Q250" i="6"/>
  <c r="R250" i="6" s="1"/>
  <c r="U250" i="6"/>
  <c r="Y250" i="6"/>
  <c r="G252" i="6"/>
  <c r="H252" i="6"/>
  <c r="J252" i="6"/>
  <c r="K252" i="6"/>
  <c r="L252" i="6"/>
  <c r="E253" i="6"/>
  <c r="N253" i="6" s="1"/>
  <c r="I253" i="6"/>
  <c r="M253" i="6"/>
  <c r="Q253" i="6"/>
  <c r="T252" i="6"/>
  <c r="U253" i="6"/>
  <c r="E254" i="6"/>
  <c r="N254" i="6" s="1"/>
  <c r="I254" i="6"/>
  <c r="M254" i="6"/>
  <c r="Q254" i="6"/>
  <c r="R254" i="6" s="1"/>
  <c r="U254" i="6"/>
  <c r="Y254" i="6"/>
  <c r="G255" i="6"/>
  <c r="H255" i="6"/>
  <c r="J255" i="6"/>
  <c r="K255" i="6"/>
  <c r="L255" i="6"/>
  <c r="T255" i="6"/>
  <c r="E256" i="6"/>
  <c r="N256" i="6" s="1"/>
  <c r="I256" i="6"/>
  <c r="I255" i="6" s="1"/>
  <c r="M256" i="6"/>
  <c r="M255" i="6" s="1"/>
  <c r="Q256" i="6"/>
  <c r="Q255" i="6" s="1"/>
  <c r="R255" i="6" s="1"/>
  <c r="U256" i="6"/>
  <c r="U255" i="6" s="1"/>
  <c r="G258" i="6"/>
  <c r="G257" i="6" s="1"/>
  <c r="H258" i="6"/>
  <c r="H257" i="6" s="1"/>
  <c r="E32" i="47" s="1"/>
  <c r="J258" i="6"/>
  <c r="J257" i="6" s="1"/>
  <c r="K258" i="6"/>
  <c r="K257" i="6" s="1"/>
  <c r="L258" i="6"/>
  <c r="L257" i="6" s="1"/>
  <c r="T258" i="6"/>
  <c r="T257" i="6" s="1"/>
  <c r="E259" i="6"/>
  <c r="N259" i="6" s="1"/>
  <c r="I259" i="6"/>
  <c r="I258" i="6" s="1"/>
  <c r="I257" i="6" s="1"/>
  <c r="M259" i="6"/>
  <c r="M258" i="6" s="1"/>
  <c r="M257" i="6" s="1"/>
  <c r="Q259" i="6"/>
  <c r="Q258" i="6" s="1"/>
  <c r="U259" i="6"/>
  <c r="U258" i="6" s="1"/>
  <c r="U257" i="6" s="1"/>
  <c r="Y259" i="6"/>
  <c r="Y258" i="6" s="1"/>
  <c r="Y257" i="6" s="1"/>
  <c r="F32" i="47" s="1"/>
  <c r="G261" i="6"/>
  <c r="G260" i="6" s="1"/>
  <c r="H261" i="6"/>
  <c r="H260" i="6" s="1"/>
  <c r="E33" i="47" s="1"/>
  <c r="J261" i="6"/>
  <c r="J260" i="6" s="1"/>
  <c r="K261" i="6"/>
  <c r="K260" i="6" s="1"/>
  <c r="L261" i="6"/>
  <c r="L260" i="6" s="1"/>
  <c r="T261" i="6"/>
  <c r="T260" i="6" s="1"/>
  <c r="E262" i="6"/>
  <c r="N262" i="6" s="1"/>
  <c r="I262" i="6"/>
  <c r="I261" i="6" s="1"/>
  <c r="I260" i="6" s="1"/>
  <c r="M262" i="6"/>
  <c r="M261" i="6" s="1"/>
  <c r="M260" i="6" s="1"/>
  <c r="Q262" i="6"/>
  <c r="Q261" i="6" s="1"/>
  <c r="U262" i="6"/>
  <c r="U261" i="6" s="1"/>
  <c r="U260" i="6" s="1"/>
  <c r="Y262" i="6"/>
  <c r="Y261" i="6" s="1"/>
  <c r="Y260" i="6" s="1"/>
  <c r="F33" i="47" s="1"/>
  <c r="H54" i="29"/>
  <c r="W150" i="41" l="1"/>
  <c r="M206" i="6"/>
  <c r="S206" i="6" s="1"/>
  <c r="W206" i="6" s="1"/>
  <c r="S34" i="6"/>
  <c r="W34" i="6" s="1"/>
  <c r="Y31" i="6"/>
  <c r="L178" i="6"/>
  <c r="L155" i="6" s="1"/>
  <c r="I179" i="6"/>
  <c r="S185" i="6"/>
  <c r="W185" i="6" s="1"/>
  <c r="S182" i="6"/>
  <c r="W182" i="6" s="1"/>
  <c r="S110" i="6"/>
  <c r="S19" i="6"/>
  <c r="W19" i="6" s="1"/>
  <c r="R256" i="6"/>
  <c r="S256" i="6" s="1"/>
  <c r="S255" i="6" s="1"/>
  <c r="S249" i="6"/>
  <c r="V249" i="6" s="1"/>
  <c r="S229" i="6"/>
  <c r="W229" i="6" s="1"/>
  <c r="S210" i="6"/>
  <c r="W210" i="6" s="1"/>
  <c r="S38" i="6"/>
  <c r="S28" i="6"/>
  <c r="W28" i="6" s="1"/>
  <c r="S21" i="6"/>
  <c r="H87" i="6"/>
  <c r="H86" i="6" s="1"/>
  <c r="E20" i="47" s="1"/>
  <c r="S114" i="6"/>
  <c r="S50" i="6"/>
  <c r="S174" i="6"/>
  <c r="S136" i="6"/>
  <c r="V136" i="6" s="1"/>
  <c r="M88" i="6"/>
  <c r="M64" i="6"/>
  <c r="S203" i="6"/>
  <c r="Q190" i="6"/>
  <c r="R190" i="6" s="1"/>
  <c r="S89" i="6"/>
  <c r="V89" i="6" s="1"/>
  <c r="J27" i="40"/>
  <c r="H27" i="40" s="1"/>
  <c r="K251" i="6"/>
  <c r="S242" i="6"/>
  <c r="V242" i="6" s="1"/>
  <c r="S163" i="6"/>
  <c r="V163" i="6" s="1"/>
  <c r="S91" i="6"/>
  <c r="W91" i="6" s="1"/>
  <c r="S44" i="6"/>
  <c r="W44" i="6" s="1"/>
  <c r="L204" i="6"/>
  <c r="N157" i="6"/>
  <c r="O157" i="6" s="1"/>
  <c r="O156" i="6" s="1"/>
  <c r="S145" i="6"/>
  <c r="I135" i="6"/>
  <c r="S124" i="6"/>
  <c r="W124" i="6" s="1"/>
  <c r="M252" i="6"/>
  <c r="M251" i="6" s="1"/>
  <c r="S248" i="6"/>
  <c r="W248" i="6" s="1"/>
  <c r="S231" i="6"/>
  <c r="S226" i="6"/>
  <c r="W226" i="6" s="1"/>
  <c r="I165" i="6"/>
  <c r="I162" i="6" s="1"/>
  <c r="M159" i="6"/>
  <c r="S142" i="6"/>
  <c r="W142" i="6" s="1"/>
  <c r="S134" i="6"/>
  <c r="W134" i="6" s="1"/>
  <c r="Y131" i="6"/>
  <c r="S94" i="6"/>
  <c r="V94" i="6" s="1"/>
  <c r="M238" i="6"/>
  <c r="M236" i="6" s="1"/>
  <c r="S241" i="6"/>
  <c r="W241" i="6" s="1"/>
  <c r="S227" i="6"/>
  <c r="V227" i="6" s="1"/>
  <c r="S171" i="6"/>
  <c r="W171" i="6" s="1"/>
  <c r="S164" i="6"/>
  <c r="W164" i="6" s="1"/>
  <c r="W123" i="6"/>
  <c r="S74" i="6"/>
  <c r="W74" i="6" s="1"/>
  <c r="M223" i="6"/>
  <c r="M222" i="6" s="1"/>
  <c r="I190" i="6"/>
  <c r="I187" i="6" s="1"/>
  <c r="Y49" i="6"/>
  <c r="G22" i="6"/>
  <c r="G17" i="6" s="1"/>
  <c r="S234" i="6"/>
  <c r="W234" i="6" s="1"/>
  <c r="M228" i="6"/>
  <c r="Y208" i="6"/>
  <c r="I201" i="6"/>
  <c r="M156" i="6"/>
  <c r="S113" i="6"/>
  <c r="Q101" i="6"/>
  <c r="R101" i="6" s="1"/>
  <c r="S93" i="6"/>
  <c r="S62" i="6"/>
  <c r="Q36" i="6"/>
  <c r="R36" i="6" s="1"/>
  <c r="Y26" i="6"/>
  <c r="H251" i="6"/>
  <c r="E31" i="47" s="1"/>
  <c r="S250" i="6"/>
  <c r="W250" i="6" s="1"/>
  <c r="S239" i="6"/>
  <c r="W239" i="6" s="1"/>
  <c r="S199" i="6"/>
  <c r="W199" i="6" s="1"/>
  <c r="S193" i="6"/>
  <c r="W193" i="6" s="1"/>
  <c r="I49" i="6"/>
  <c r="S47" i="6"/>
  <c r="W47" i="6" s="1"/>
  <c r="L251" i="6"/>
  <c r="S137" i="6"/>
  <c r="N114" i="6"/>
  <c r="S85" i="6"/>
  <c r="W85" i="6" s="1"/>
  <c r="S69" i="6"/>
  <c r="V69" i="6" s="1"/>
  <c r="S66" i="6"/>
  <c r="W66" i="6" s="1"/>
  <c r="S42" i="6"/>
  <c r="W42" i="6" s="1"/>
  <c r="M26" i="6"/>
  <c r="N21" i="6"/>
  <c r="O21" i="6" s="1"/>
  <c r="E212" i="6"/>
  <c r="L138" i="6"/>
  <c r="G138" i="6"/>
  <c r="I112" i="6"/>
  <c r="I109" i="6" s="1"/>
  <c r="S111" i="6"/>
  <c r="Y101" i="6"/>
  <c r="S25" i="6"/>
  <c r="S254" i="6"/>
  <c r="W254" i="6" s="1"/>
  <c r="G195" i="6"/>
  <c r="G186" i="6" s="1"/>
  <c r="S181" i="6"/>
  <c r="V181" i="6" s="1"/>
  <c r="E179" i="6"/>
  <c r="S143" i="6"/>
  <c r="W143" i="6" s="1"/>
  <c r="M116" i="6"/>
  <c r="Q112" i="6"/>
  <c r="R112" i="6" s="1"/>
  <c r="S90" i="6"/>
  <c r="W90" i="6" s="1"/>
  <c r="S84" i="6"/>
  <c r="W84" i="6" s="1"/>
  <c r="S54" i="6"/>
  <c r="W54" i="6" s="1"/>
  <c r="R259" i="6"/>
  <c r="S259" i="6" s="1"/>
  <c r="S258" i="6" s="1"/>
  <c r="S257" i="6" s="1"/>
  <c r="G32" i="47" s="1"/>
  <c r="E255" i="6"/>
  <c r="S247" i="6"/>
  <c r="V247" i="6" s="1"/>
  <c r="S233" i="6"/>
  <c r="S224" i="6"/>
  <c r="S213" i="6"/>
  <c r="S212" i="6" s="1"/>
  <c r="K204" i="6"/>
  <c r="K178" i="6"/>
  <c r="K155" i="6" s="1"/>
  <c r="S175" i="6"/>
  <c r="W175" i="6" s="1"/>
  <c r="M169" i="6"/>
  <c r="M168" i="6" s="1"/>
  <c r="S161" i="6"/>
  <c r="W161" i="6" s="1"/>
  <c r="I159" i="6"/>
  <c r="H138" i="6"/>
  <c r="E24" i="47" s="1"/>
  <c r="C8" i="48" s="1"/>
  <c r="Q135" i="6"/>
  <c r="R135" i="6" s="1"/>
  <c r="M120" i="6"/>
  <c r="M101" i="6"/>
  <c r="S99" i="6"/>
  <c r="W99" i="6" s="1"/>
  <c r="K87" i="6"/>
  <c r="K86" i="6" s="1"/>
  <c r="S81" i="6"/>
  <c r="M73" i="6"/>
  <c r="M57" i="6"/>
  <c r="S48" i="6"/>
  <c r="W48" i="6" s="1"/>
  <c r="R37" i="6"/>
  <c r="S37" i="6" s="1"/>
  <c r="W37" i="6" s="1"/>
  <c r="I26" i="6"/>
  <c r="K22" i="6"/>
  <c r="K17" i="6" s="1"/>
  <c r="M135" i="6"/>
  <c r="E219" i="6"/>
  <c r="E215" i="6" s="1"/>
  <c r="M219" i="6"/>
  <c r="M215" i="6" s="1"/>
  <c r="Y218" i="6"/>
  <c r="S209" i="6"/>
  <c r="W209" i="6" s="1"/>
  <c r="S200" i="6"/>
  <c r="W200" i="6" s="1"/>
  <c r="I183" i="6"/>
  <c r="K138" i="6"/>
  <c r="H129" i="6"/>
  <c r="H128" i="6" s="1"/>
  <c r="E23" i="47" s="1"/>
  <c r="L115" i="6"/>
  <c r="L108" i="6" s="1"/>
  <c r="S102" i="6"/>
  <c r="M79" i="6"/>
  <c r="S58" i="6"/>
  <c r="L30" i="6"/>
  <c r="H22" i="6"/>
  <c r="H17" i="6" s="1"/>
  <c r="E16" i="47" s="1"/>
  <c r="M18" i="6"/>
  <c r="M232" i="6"/>
  <c r="Q252" i="6"/>
  <c r="R252" i="6" s="1"/>
  <c r="E261" i="6"/>
  <c r="E260" i="6" s="1"/>
  <c r="D33" i="47" s="1"/>
  <c r="S240" i="6"/>
  <c r="V240" i="6" s="1"/>
  <c r="S225" i="6"/>
  <c r="S221" i="6"/>
  <c r="I219" i="6"/>
  <c r="I215" i="6" s="1"/>
  <c r="S217" i="6"/>
  <c r="G204" i="6"/>
  <c r="S211" i="6"/>
  <c r="W211" i="6" s="1"/>
  <c r="Q201" i="6"/>
  <c r="R201" i="6" s="1"/>
  <c r="S198" i="6"/>
  <c r="I196" i="6"/>
  <c r="J195" i="6"/>
  <c r="J186" i="6" s="1"/>
  <c r="S191" i="6"/>
  <c r="S188" i="6"/>
  <c r="W188" i="6" s="1"/>
  <c r="M183" i="6"/>
  <c r="N183" i="6"/>
  <c r="H178" i="6"/>
  <c r="H155" i="6" s="1"/>
  <c r="E26" i="47" s="1"/>
  <c r="G178" i="6"/>
  <c r="G155" i="6" s="1"/>
  <c r="S177" i="6"/>
  <c r="W177" i="6" s="1"/>
  <c r="S173" i="6"/>
  <c r="W173" i="6" s="1"/>
  <c r="M165" i="6"/>
  <c r="M162" i="6" s="1"/>
  <c r="J138" i="6"/>
  <c r="E125" i="6"/>
  <c r="E105" i="6"/>
  <c r="E104" i="6" s="1"/>
  <c r="D21" i="47" s="1"/>
  <c r="R103" i="6"/>
  <c r="S103" i="6" s="1"/>
  <c r="V103" i="6" s="1"/>
  <c r="G87" i="6"/>
  <c r="G86" i="6" s="1"/>
  <c r="L78" i="6"/>
  <c r="L77" i="6" s="1"/>
  <c r="S76" i="6"/>
  <c r="V76" i="6" s="1"/>
  <c r="S72" i="6"/>
  <c r="W72" i="6" s="1"/>
  <c r="S70" i="6"/>
  <c r="W70" i="6" s="1"/>
  <c r="S68" i="6"/>
  <c r="W68" i="6" s="1"/>
  <c r="S67" i="6"/>
  <c r="W67" i="6" s="1"/>
  <c r="S60" i="6"/>
  <c r="W60" i="6" s="1"/>
  <c r="L56" i="6"/>
  <c r="L55" i="6" s="1"/>
  <c r="M49" i="6"/>
  <c r="J30" i="6"/>
  <c r="M31" i="6"/>
  <c r="S27" i="6"/>
  <c r="S26" i="6" s="1"/>
  <c r="S24" i="6"/>
  <c r="S23" i="6" s="1"/>
  <c r="Q18" i="6"/>
  <c r="R18" i="6" s="1"/>
  <c r="K214" i="6"/>
  <c r="E258" i="6"/>
  <c r="E257" i="6" s="1"/>
  <c r="D32" i="47" s="1"/>
  <c r="G251" i="6"/>
  <c r="E238" i="6"/>
  <c r="E236" i="6" s="1"/>
  <c r="K235" i="6"/>
  <c r="Q232" i="6"/>
  <c r="R232" i="6" s="1"/>
  <c r="N231" i="6"/>
  <c r="Y231" i="6"/>
  <c r="J214" i="6"/>
  <c r="I223" i="6"/>
  <c r="I222" i="6" s="1"/>
  <c r="Q223" i="6"/>
  <c r="Q222" i="6" s="1"/>
  <c r="R222" i="6" s="1"/>
  <c r="E205" i="6"/>
  <c r="E201" i="6"/>
  <c r="R202" i="6"/>
  <c r="S202" i="6" s="1"/>
  <c r="R192" i="6"/>
  <c r="S192" i="6" s="1"/>
  <c r="W192" i="6" s="1"/>
  <c r="S189" i="6"/>
  <c r="S158" i="6"/>
  <c r="W158" i="6" s="1"/>
  <c r="R151" i="6"/>
  <c r="S151" i="6" s="1"/>
  <c r="S150" i="6" s="1"/>
  <c r="S149" i="6" s="1"/>
  <c r="G25" i="47" s="1"/>
  <c r="E150" i="6"/>
  <c r="E149" i="6" s="1"/>
  <c r="D25" i="47" s="1"/>
  <c r="N151" i="6"/>
  <c r="N150" i="6" s="1"/>
  <c r="N149" i="6" s="1"/>
  <c r="E140" i="6"/>
  <c r="E139" i="6" s="1"/>
  <c r="N141" i="6"/>
  <c r="O141" i="6" s="1"/>
  <c r="J129" i="6"/>
  <c r="J128" i="6" s="1"/>
  <c r="S126" i="6"/>
  <c r="S125" i="6" s="1"/>
  <c r="J115" i="6"/>
  <c r="J108" i="6" s="1"/>
  <c r="R120" i="6"/>
  <c r="R122" i="6"/>
  <c r="V122" i="6" s="1"/>
  <c r="O88" i="6"/>
  <c r="N53" i="6"/>
  <c r="E52" i="6"/>
  <c r="N160" i="6"/>
  <c r="N159" i="6" s="1"/>
  <c r="E159" i="6"/>
  <c r="J22" i="6"/>
  <c r="J17" i="6" s="1"/>
  <c r="E245" i="6"/>
  <c r="E244" i="6" s="1"/>
  <c r="L235" i="6"/>
  <c r="S218" i="6"/>
  <c r="W218" i="6" s="1"/>
  <c r="Y216" i="6"/>
  <c r="S208" i="6"/>
  <c r="W208" i="6" s="1"/>
  <c r="S207" i="6"/>
  <c r="W207" i="6" s="1"/>
  <c r="H204" i="6"/>
  <c r="E28" i="47" s="1"/>
  <c r="H195" i="6"/>
  <c r="H186" i="6" s="1"/>
  <c r="E27" i="47" s="1"/>
  <c r="Q196" i="6"/>
  <c r="R196" i="6" s="1"/>
  <c r="S194" i="6"/>
  <c r="W194" i="6" s="1"/>
  <c r="M190" i="6"/>
  <c r="M187" i="6" s="1"/>
  <c r="Q165" i="6"/>
  <c r="Q162" i="6" s="1"/>
  <c r="R162" i="6" s="1"/>
  <c r="R167" i="6"/>
  <c r="S167" i="6" s="1"/>
  <c r="W167" i="6" s="1"/>
  <c r="M140" i="6"/>
  <c r="M139" i="6" s="1"/>
  <c r="Q116" i="6"/>
  <c r="R116" i="6" s="1"/>
  <c r="N80" i="6"/>
  <c r="O80" i="6" s="1"/>
  <c r="O79" i="6" s="1"/>
  <c r="S35" i="6"/>
  <c r="W35" i="6" s="1"/>
  <c r="E23" i="6"/>
  <c r="N24" i="6"/>
  <c r="O24" i="6" s="1"/>
  <c r="Q245" i="6"/>
  <c r="Q244" i="6" s="1"/>
  <c r="R244" i="6" s="1"/>
  <c r="H235" i="6"/>
  <c r="E30" i="47" s="1"/>
  <c r="J204" i="6"/>
  <c r="E252" i="6"/>
  <c r="R262" i="6"/>
  <c r="S262" i="6" s="1"/>
  <c r="S261" i="6" s="1"/>
  <c r="S260" i="6" s="1"/>
  <c r="G33" i="47" s="1"/>
  <c r="I252" i="6"/>
  <c r="I251" i="6" s="1"/>
  <c r="J251" i="6"/>
  <c r="M245" i="6"/>
  <c r="M244" i="6" s="1"/>
  <c r="I245" i="6"/>
  <c r="I244" i="6" s="1"/>
  <c r="I238" i="6"/>
  <c r="I236" i="6" s="1"/>
  <c r="Q219" i="6"/>
  <c r="R219" i="6" s="1"/>
  <c r="G214" i="6"/>
  <c r="M201" i="6"/>
  <c r="L195" i="6"/>
  <c r="L186" i="6" s="1"/>
  <c r="M196" i="6"/>
  <c r="K195" i="6"/>
  <c r="K186" i="6" s="1"/>
  <c r="E183" i="6"/>
  <c r="S176" i="6"/>
  <c r="V176" i="6" s="1"/>
  <c r="I140" i="6"/>
  <c r="I139" i="6" s="1"/>
  <c r="Q131" i="6"/>
  <c r="R131" i="6" s="1"/>
  <c r="R133" i="6"/>
  <c r="S133" i="6" s="1"/>
  <c r="W133" i="6" s="1"/>
  <c r="M131" i="6"/>
  <c r="K129" i="6"/>
  <c r="K128" i="6" s="1"/>
  <c r="G115" i="6"/>
  <c r="G108" i="6" s="1"/>
  <c r="Q105" i="6"/>
  <c r="R106" i="6"/>
  <c r="S106" i="6" s="1"/>
  <c r="S105" i="6" s="1"/>
  <c r="S104" i="6" s="1"/>
  <c r="G21" i="47" s="1"/>
  <c r="I101" i="6"/>
  <c r="I88" i="6"/>
  <c r="Q79" i="6"/>
  <c r="R79" i="6" s="1"/>
  <c r="R80" i="6"/>
  <c r="S80" i="6" s="1"/>
  <c r="J40" i="6"/>
  <c r="I41" i="6"/>
  <c r="Q31" i="6"/>
  <c r="R31" i="6" s="1"/>
  <c r="R33" i="6"/>
  <c r="S33" i="6" s="1"/>
  <c r="V33" i="6" s="1"/>
  <c r="M92" i="6"/>
  <c r="J87" i="6"/>
  <c r="J86" i="6" s="1"/>
  <c r="S83" i="6"/>
  <c r="G78" i="6"/>
  <c r="G77" i="6" s="1"/>
  <c r="S61" i="6"/>
  <c r="W61" i="6" s="1"/>
  <c r="K56" i="6"/>
  <c r="K55" i="6" s="1"/>
  <c r="M52" i="6"/>
  <c r="I52" i="6"/>
  <c r="Q49" i="6"/>
  <c r="R49" i="6" s="1"/>
  <c r="M46" i="6"/>
  <c r="E46" i="6"/>
  <c r="K40" i="6"/>
  <c r="I156" i="6"/>
  <c r="S148" i="6"/>
  <c r="V148" i="6" s="1"/>
  <c r="I131" i="6"/>
  <c r="S132" i="6"/>
  <c r="H115" i="6"/>
  <c r="H108" i="6" s="1"/>
  <c r="E22" i="47" s="1"/>
  <c r="C7" i="48" s="1"/>
  <c r="S119" i="6"/>
  <c r="W119" i="6" s="1"/>
  <c r="K115" i="6"/>
  <c r="K108" i="6" s="1"/>
  <c r="E101" i="6"/>
  <c r="L87" i="6"/>
  <c r="L86" i="6" s="1"/>
  <c r="Q88" i="6"/>
  <c r="R88" i="6" s="1"/>
  <c r="E82" i="6"/>
  <c r="S71" i="6"/>
  <c r="W71" i="6" s="1"/>
  <c r="J56" i="6"/>
  <c r="J55" i="6" s="1"/>
  <c r="H40" i="6"/>
  <c r="K30" i="6"/>
  <c r="Q26" i="6"/>
  <c r="R26" i="6" s="1"/>
  <c r="M179" i="6"/>
  <c r="I169" i="6"/>
  <c r="I168" i="6" s="1"/>
  <c r="S172" i="6"/>
  <c r="W172" i="6" s="1"/>
  <c r="E156" i="6"/>
  <c r="I144" i="6"/>
  <c r="L129" i="6"/>
  <c r="L128" i="6" s="1"/>
  <c r="G129" i="6"/>
  <c r="G128" i="6" s="1"/>
  <c r="I120" i="6"/>
  <c r="I116" i="6"/>
  <c r="N102" i="6"/>
  <c r="N101" i="6" s="1"/>
  <c r="Y97" i="6"/>
  <c r="Y95" i="6" s="1"/>
  <c r="M97" i="6"/>
  <c r="M95" i="6" s="1"/>
  <c r="S98" i="6"/>
  <c r="E97" i="6"/>
  <c r="E95" i="6" s="1"/>
  <c r="S96" i="6"/>
  <c r="J78" i="6"/>
  <c r="J77" i="6" s="1"/>
  <c r="S63" i="6"/>
  <c r="V63" i="6" s="1"/>
  <c r="G56" i="6"/>
  <c r="G55" i="6" s="1"/>
  <c r="L40" i="6"/>
  <c r="S45" i="6"/>
  <c r="W45" i="6" s="1"/>
  <c r="S43" i="6"/>
  <c r="Q41" i="6"/>
  <c r="R41" i="6" s="1"/>
  <c r="G40" i="6"/>
  <c r="M36" i="6"/>
  <c r="M23" i="6"/>
  <c r="I97" i="6"/>
  <c r="I95" i="6" s="1"/>
  <c r="I23" i="6"/>
  <c r="I64" i="6"/>
  <c r="I92" i="6"/>
  <c r="I79" i="6"/>
  <c r="I36" i="6"/>
  <c r="N146" i="6"/>
  <c r="O146" i="6" s="1"/>
  <c r="E144" i="6"/>
  <c r="Y183" i="6"/>
  <c r="Y52" i="6"/>
  <c r="U183" i="6"/>
  <c r="Y165" i="6"/>
  <c r="Y162" i="6" s="1"/>
  <c r="U101" i="6"/>
  <c r="Y23" i="6"/>
  <c r="U135" i="6"/>
  <c r="Y36" i="6"/>
  <c r="U165" i="6"/>
  <c r="U162" i="6" s="1"/>
  <c r="T204" i="6"/>
  <c r="U46" i="6"/>
  <c r="T251" i="6"/>
  <c r="Y245" i="6"/>
  <c r="Y244" i="6" s="1"/>
  <c r="U245" i="6"/>
  <c r="U244" i="6" s="1"/>
  <c r="U238" i="6"/>
  <c r="U228" i="6"/>
  <c r="U201" i="6"/>
  <c r="U196" i="6"/>
  <c r="Y179" i="6"/>
  <c r="U179" i="6"/>
  <c r="U156" i="6"/>
  <c r="U131" i="6"/>
  <c r="U92" i="6"/>
  <c r="U88" i="6"/>
  <c r="Y82" i="6"/>
  <c r="Y73" i="6"/>
  <c r="U52" i="6"/>
  <c r="Y46" i="6"/>
  <c r="U36" i="6"/>
  <c r="Y135" i="6"/>
  <c r="N135" i="6"/>
  <c r="W204" i="41"/>
  <c r="Y204" i="41" s="1"/>
  <c r="X214" i="41"/>
  <c r="W236" i="41"/>
  <c r="Y236" i="41" s="1"/>
  <c r="N16" i="41"/>
  <c r="N13" i="41" s="1"/>
  <c r="N9" i="41" s="1"/>
  <c r="W22" i="41"/>
  <c r="Y22" i="41" s="1"/>
  <c r="V153" i="41"/>
  <c r="V10" i="41" s="1"/>
  <c r="V7" i="41" s="1"/>
  <c r="X195" i="41"/>
  <c r="X186" i="41" s="1"/>
  <c r="AB57" i="41"/>
  <c r="I152" i="41"/>
  <c r="I15" i="41" s="1"/>
  <c r="W30" i="41"/>
  <c r="Y30" i="41" s="1"/>
  <c r="W139" i="41"/>
  <c r="W138" i="41" s="1"/>
  <c r="S29" i="41"/>
  <c r="S16" i="41" s="1"/>
  <c r="S13" i="41" s="1"/>
  <c r="S9" i="41" s="1"/>
  <c r="AA10" i="41"/>
  <c r="AA7" i="41" s="1"/>
  <c r="E10" i="41"/>
  <c r="E7" i="41" s="1"/>
  <c r="M10" i="41"/>
  <c r="M7" i="41" s="1"/>
  <c r="Y23" i="41"/>
  <c r="X178" i="41"/>
  <c r="X155" i="41" s="1"/>
  <c r="X115" i="41"/>
  <c r="X108" i="41" s="1"/>
  <c r="I7" i="41"/>
  <c r="U152" i="41"/>
  <c r="U15" i="41" s="1"/>
  <c r="X29" i="41"/>
  <c r="E152" i="41"/>
  <c r="E15" i="41" s="1"/>
  <c r="X86" i="41"/>
  <c r="S108" i="41"/>
  <c r="S107" i="41" s="1"/>
  <c r="S14" i="41" s="1"/>
  <c r="Y112" i="41"/>
  <c r="W251" i="41"/>
  <c r="Y251" i="41" s="1"/>
  <c r="X235" i="41"/>
  <c r="X154" i="41" s="1"/>
  <c r="X11" i="41" s="1"/>
  <c r="X129" i="41"/>
  <c r="X128" i="41" s="1"/>
  <c r="U10" i="41"/>
  <c r="U7" i="41" s="1"/>
  <c r="S153" i="41"/>
  <c r="S152" i="41" s="1"/>
  <c r="S15" i="41" s="1"/>
  <c r="Y58" i="41"/>
  <c r="W95" i="41"/>
  <c r="Y95" i="41" s="1"/>
  <c r="W187" i="41"/>
  <c r="Y187" i="41" s="1"/>
  <c r="W40" i="41"/>
  <c r="W178" i="41"/>
  <c r="Y197" i="41"/>
  <c r="Y183" i="41"/>
  <c r="Y74" i="41"/>
  <c r="M152" i="41"/>
  <c r="M15" i="41" s="1"/>
  <c r="Y184" i="41"/>
  <c r="W104" i="41"/>
  <c r="Y104" i="41" s="1"/>
  <c r="Y105" i="41"/>
  <c r="R235" i="41"/>
  <c r="Q154" i="41"/>
  <c r="W78" i="41"/>
  <c r="W77" i="41" s="1"/>
  <c r="Y262" i="41"/>
  <c r="Y31" i="41"/>
  <c r="Y89" i="41"/>
  <c r="W149" i="41"/>
  <c r="Y149" i="41" s="1"/>
  <c r="Y150" i="41"/>
  <c r="Y109" i="41"/>
  <c r="O195" i="41"/>
  <c r="O186" i="41" s="1"/>
  <c r="Y196" i="41"/>
  <c r="Y156" i="41"/>
  <c r="W115" i="41"/>
  <c r="W108" i="41" s="1"/>
  <c r="Y116" i="41"/>
  <c r="Q153" i="41"/>
  <c r="R155" i="41"/>
  <c r="O56" i="41"/>
  <c r="Y57" i="41"/>
  <c r="Z214" i="41"/>
  <c r="AB214" i="41" s="1"/>
  <c r="AB215" i="41"/>
  <c r="W162" i="41"/>
  <c r="Y162" i="41" s="1"/>
  <c r="N153" i="41"/>
  <c r="Y92" i="41"/>
  <c r="Y120" i="41"/>
  <c r="O115" i="41"/>
  <c r="W195" i="41"/>
  <c r="Y64" i="41"/>
  <c r="O260" i="41"/>
  <c r="Y260" i="41" s="1"/>
  <c r="Y261" i="41"/>
  <c r="Y188" i="41"/>
  <c r="Z77" i="41"/>
  <c r="AB77" i="41" s="1"/>
  <c r="AB78" i="41"/>
  <c r="Y157" i="41"/>
  <c r="AB168" i="41"/>
  <c r="Z155" i="41"/>
  <c r="W56" i="41"/>
  <c r="W55" i="41" s="1"/>
  <c r="Y246" i="41"/>
  <c r="W87" i="41"/>
  <c r="Z186" i="41"/>
  <c r="AB186" i="41" s="1"/>
  <c r="Y73" i="41"/>
  <c r="Y180" i="41"/>
  <c r="R108" i="41"/>
  <c r="Q107" i="41"/>
  <c r="Y93" i="41"/>
  <c r="Y122" i="41"/>
  <c r="W223" i="41"/>
  <c r="Y65" i="41"/>
  <c r="AB109" i="41"/>
  <c r="Z108" i="41"/>
  <c r="W129" i="41"/>
  <c r="Y220" i="41"/>
  <c r="W215" i="41"/>
  <c r="Y216" i="41"/>
  <c r="O78" i="41"/>
  <c r="Y79" i="41"/>
  <c r="Z17" i="41"/>
  <c r="AB18" i="41"/>
  <c r="AB30" i="41"/>
  <c r="Z29" i="41"/>
  <c r="AB29" i="41" s="1"/>
  <c r="Y255" i="41"/>
  <c r="W168" i="41"/>
  <c r="Y168" i="41" s="1"/>
  <c r="Y169" i="41"/>
  <c r="O29" i="41"/>
  <c r="O178" i="41"/>
  <c r="Y179" i="41"/>
  <c r="AB235" i="41"/>
  <c r="Z154" i="41"/>
  <c r="Y41" i="41"/>
  <c r="O138" i="41"/>
  <c r="O17" i="41"/>
  <c r="AB56" i="41"/>
  <c r="Z55" i="41"/>
  <c r="AB55" i="41" s="1"/>
  <c r="R17" i="41"/>
  <c r="Q16" i="41"/>
  <c r="Y219" i="41"/>
  <c r="O215" i="41"/>
  <c r="O244" i="41"/>
  <c r="Y245" i="41"/>
  <c r="O87" i="41"/>
  <c r="Y88" i="41"/>
  <c r="Y80" i="41"/>
  <c r="Y256" i="41"/>
  <c r="I232" i="6"/>
  <c r="I228" i="6"/>
  <c r="I205" i="6"/>
  <c r="I204" i="6" s="1"/>
  <c r="H78" i="6"/>
  <c r="H77" i="6" s="1"/>
  <c r="E19" i="47" s="1"/>
  <c r="I73" i="6"/>
  <c r="I57" i="6"/>
  <c r="I31" i="6"/>
  <c r="I18" i="6"/>
  <c r="Y64" i="6"/>
  <c r="Y219" i="6"/>
  <c r="Y92" i="6"/>
  <c r="Y112" i="6"/>
  <c r="Y223" i="6"/>
  <c r="Y222" i="6" s="1"/>
  <c r="Y201" i="6"/>
  <c r="Y159" i="6"/>
  <c r="Y120" i="6"/>
  <c r="Y88" i="6"/>
  <c r="O259" i="6"/>
  <c r="N258" i="6"/>
  <c r="N257" i="6" s="1"/>
  <c r="O253" i="6"/>
  <c r="N252" i="6"/>
  <c r="Q257" i="6"/>
  <c r="R257" i="6" s="1"/>
  <c r="R258" i="6"/>
  <c r="Q260" i="6"/>
  <c r="R260" i="6" s="1"/>
  <c r="R261" i="6"/>
  <c r="N255" i="6"/>
  <c r="O256" i="6"/>
  <c r="N245" i="6"/>
  <c r="N244" i="6" s="1"/>
  <c r="O246" i="6"/>
  <c r="J235" i="6"/>
  <c r="U252" i="6"/>
  <c r="U251" i="6" s="1"/>
  <c r="O250" i="6"/>
  <c r="S243" i="6"/>
  <c r="W243" i="6" s="1"/>
  <c r="Y243" i="6"/>
  <c r="S230" i="6"/>
  <c r="W230" i="6" s="1"/>
  <c r="Y230" i="6"/>
  <c r="J31" i="40" s="1"/>
  <c r="H31" i="40" s="1"/>
  <c r="O229" i="6"/>
  <c r="O226" i="6"/>
  <c r="N261" i="6"/>
  <c r="N260" i="6" s="1"/>
  <c r="O262" i="6"/>
  <c r="O248" i="6"/>
  <c r="O243" i="6"/>
  <c r="E228" i="6"/>
  <c r="T222" i="6"/>
  <c r="U224" i="6"/>
  <c r="U223" i="6" s="1"/>
  <c r="U222" i="6" s="1"/>
  <c r="S216" i="6"/>
  <c r="N212" i="6"/>
  <c r="T195" i="6"/>
  <c r="O194" i="6"/>
  <c r="Q179" i="6"/>
  <c r="R180" i="6"/>
  <c r="S180" i="6" s="1"/>
  <c r="O254" i="6"/>
  <c r="R253" i="6"/>
  <c r="R246" i="6"/>
  <c r="S246" i="6" s="1"/>
  <c r="O241" i="6"/>
  <c r="O239" i="6"/>
  <c r="N238" i="6"/>
  <c r="N236" i="6" s="1"/>
  <c r="U237" i="6"/>
  <c r="G235" i="6"/>
  <c r="Q228" i="6"/>
  <c r="R228" i="6" s="1"/>
  <c r="U219" i="6"/>
  <c r="U215" i="6" s="1"/>
  <c r="O216" i="6"/>
  <c r="H214" i="6"/>
  <c r="E29" i="47" s="1"/>
  <c r="O212" i="6"/>
  <c r="Q205" i="6"/>
  <c r="O193" i="6"/>
  <c r="Q183" i="6"/>
  <c r="R183" i="6" s="1"/>
  <c r="R184" i="6"/>
  <c r="S184" i="6" s="1"/>
  <c r="T178" i="6"/>
  <c r="O180" i="6"/>
  <c r="O177" i="6"/>
  <c r="O171" i="6"/>
  <c r="O170" i="6"/>
  <c r="S166" i="6"/>
  <c r="N165" i="6"/>
  <c r="N162" i="6" s="1"/>
  <c r="O166" i="6"/>
  <c r="Q159" i="6"/>
  <c r="R159" i="6" s="1"/>
  <c r="R160" i="6"/>
  <c r="S160" i="6" s="1"/>
  <c r="U110" i="6"/>
  <c r="Y110" i="6"/>
  <c r="J28" i="40" s="1"/>
  <c r="T236" i="6"/>
  <c r="T235" i="6" s="1"/>
  <c r="E223" i="6"/>
  <c r="E222" i="6" s="1"/>
  <c r="N191" i="6"/>
  <c r="E190" i="6"/>
  <c r="E187" i="6" s="1"/>
  <c r="O188" i="6"/>
  <c r="Q169" i="6"/>
  <c r="R170" i="6"/>
  <c r="S170" i="6" s="1"/>
  <c r="O143" i="6"/>
  <c r="N131" i="6"/>
  <c r="O132" i="6"/>
  <c r="S237" i="6"/>
  <c r="U233" i="6"/>
  <c r="U232" i="6" s="1"/>
  <c r="J22" i="40"/>
  <c r="H22" i="40" s="1"/>
  <c r="E232" i="6"/>
  <c r="T228" i="6"/>
  <c r="N224" i="6"/>
  <c r="N221" i="6"/>
  <c r="N219" i="6" s="1"/>
  <c r="R220" i="6"/>
  <c r="S220" i="6" s="1"/>
  <c r="O220" i="6"/>
  <c r="L214" i="6"/>
  <c r="Y209" i="6"/>
  <c r="U191" i="6"/>
  <c r="U190" i="6" s="1"/>
  <c r="U187" i="6" s="1"/>
  <c r="O182" i="6"/>
  <c r="J178" i="6"/>
  <c r="J155" i="6" s="1"/>
  <c r="N174" i="6"/>
  <c r="N169" i="6" s="1"/>
  <c r="N168" i="6" s="1"/>
  <c r="E169" i="6"/>
  <c r="E168" i="6" s="1"/>
  <c r="R130" i="6"/>
  <c r="S130" i="6" s="1"/>
  <c r="U121" i="6"/>
  <c r="U120" i="6" s="1"/>
  <c r="Y239" i="6"/>
  <c r="Y238" i="6" s="1"/>
  <c r="Y237" i="6"/>
  <c r="T215" i="6"/>
  <c r="N205" i="6"/>
  <c r="O199" i="6"/>
  <c r="T187" i="6"/>
  <c r="Q238" i="6"/>
  <c r="R238" i="6" s="1"/>
  <c r="O234" i="6"/>
  <c r="N233" i="6"/>
  <c r="T232" i="6"/>
  <c r="N217" i="6"/>
  <c r="U205" i="6"/>
  <c r="U204" i="6" s="1"/>
  <c r="O205" i="6"/>
  <c r="O202" i="6"/>
  <c r="E196" i="6"/>
  <c r="N198" i="6"/>
  <c r="J50" i="40"/>
  <c r="H50" i="40" s="1"/>
  <c r="S197" i="6"/>
  <c r="O197" i="6"/>
  <c r="N196" i="6"/>
  <c r="O192" i="6"/>
  <c r="O184" i="6"/>
  <c r="N179" i="6"/>
  <c r="O175" i="6"/>
  <c r="O173" i="6"/>
  <c r="O172" i="6"/>
  <c r="O161" i="6"/>
  <c r="N145" i="6"/>
  <c r="Y140" i="6"/>
  <c r="Y139" i="6" s="1"/>
  <c r="T162" i="6"/>
  <c r="Q156" i="6"/>
  <c r="R157" i="6"/>
  <c r="Q144" i="6"/>
  <c r="R144" i="6" s="1"/>
  <c r="T139" i="6"/>
  <c r="U141" i="6"/>
  <c r="U140" i="6" s="1"/>
  <c r="U139" i="6" s="1"/>
  <c r="T115" i="6"/>
  <c r="U117" i="6"/>
  <c r="U116" i="6" s="1"/>
  <c r="U169" i="6"/>
  <c r="U168" i="6" s="1"/>
  <c r="U159" i="6"/>
  <c r="M144" i="6"/>
  <c r="U145" i="6"/>
  <c r="U144" i="6" s="1"/>
  <c r="T144" i="6"/>
  <c r="O135" i="6"/>
  <c r="O134" i="6"/>
  <c r="O119" i="6"/>
  <c r="N116" i="6"/>
  <c r="O117" i="6"/>
  <c r="U75" i="6"/>
  <c r="U73" i="6" s="1"/>
  <c r="T73" i="6"/>
  <c r="N203" i="6"/>
  <c r="N189" i="6"/>
  <c r="O167" i="6"/>
  <c r="E165" i="6"/>
  <c r="E162" i="6" s="1"/>
  <c r="Y147" i="6"/>
  <c r="J21" i="40" s="1"/>
  <c r="H21" i="40" s="1"/>
  <c r="S147" i="6"/>
  <c r="W147" i="6" s="1"/>
  <c r="O142" i="6"/>
  <c r="O126" i="6"/>
  <c r="O123" i="6"/>
  <c r="E120" i="6"/>
  <c r="N121" i="6"/>
  <c r="O118" i="6"/>
  <c r="Y116" i="6"/>
  <c r="R100" i="6"/>
  <c r="S100" i="6" s="1"/>
  <c r="W100" i="6" s="1"/>
  <c r="Q97" i="6"/>
  <c r="R97" i="6" s="1"/>
  <c r="E92" i="6"/>
  <c r="N93" i="6"/>
  <c r="T129" i="6"/>
  <c r="T128" i="6" s="1"/>
  <c r="Q125" i="6"/>
  <c r="R125" i="6" s="1"/>
  <c r="W122" i="6"/>
  <c r="O106" i="6"/>
  <c r="N105" i="6"/>
  <c r="N104" i="6" s="1"/>
  <c r="U98" i="6"/>
  <c r="U97" i="6" s="1"/>
  <c r="U95" i="6" s="1"/>
  <c r="O84" i="6"/>
  <c r="R150" i="6"/>
  <c r="U127" i="6"/>
  <c r="V127" i="6" s="1"/>
  <c r="U113" i="6"/>
  <c r="U112" i="6" s="1"/>
  <c r="Q140" i="6"/>
  <c r="O133" i="6"/>
  <c r="E131" i="6"/>
  <c r="E129" i="6" s="1"/>
  <c r="E128" i="6" s="1"/>
  <c r="D23" i="47" s="1"/>
  <c r="M112" i="6"/>
  <c r="M109" i="6" s="1"/>
  <c r="N111" i="6"/>
  <c r="E109" i="6"/>
  <c r="N96" i="6"/>
  <c r="O83" i="6"/>
  <c r="N82" i="6"/>
  <c r="E116" i="6"/>
  <c r="T101" i="6"/>
  <c r="T87" i="6"/>
  <c r="K78" i="6"/>
  <c r="K77" i="6" s="1"/>
  <c r="Q73" i="6"/>
  <c r="R73" i="6" s="1"/>
  <c r="R75" i="6"/>
  <c r="S75" i="6" s="1"/>
  <c r="N65" i="6"/>
  <c r="E64" i="6"/>
  <c r="U83" i="6"/>
  <c r="U82" i="6" s="1"/>
  <c r="I82" i="6"/>
  <c r="Q82" i="6"/>
  <c r="N73" i="6"/>
  <c r="O74" i="6"/>
  <c r="O66" i="6"/>
  <c r="O60" i="6"/>
  <c r="T105" i="6"/>
  <c r="T104" i="6" s="1"/>
  <c r="N97" i="6"/>
  <c r="O98" i="6"/>
  <c r="T95" i="6"/>
  <c r="Q92" i="6"/>
  <c r="N88" i="6"/>
  <c r="E88" i="6"/>
  <c r="U81" i="6"/>
  <c r="U79" i="6" s="1"/>
  <c r="O75" i="6"/>
  <c r="Q64" i="6"/>
  <c r="R64" i="6" s="1"/>
  <c r="R65" i="6"/>
  <c r="S65" i="6" s="1"/>
  <c r="N58" i="6"/>
  <c r="E57" i="6"/>
  <c r="T23" i="6"/>
  <c r="U23" i="6"/>
  <c r="N62" i="6"/>
  <c r="Y62" i="6"/>
  <c r="J19" i="40" s="1"/>
  <c r="H19" i="40" s="1"/>
  <c r="N50" i="6"/>
  <c r="E49" i="6"/>
  <c r="N46" i="6"/>
  <c r="O47" i="6"/>
  <c r="O67" i="6"/>
  <c r="M82" i="6"/>
  <c r="E79" i="6"/>
  <c r="E73" i="6"/>
  <c r="S51" i="6"/>
  <c r="W51" i="6" s="1"/>
  <c r="O51" i="6"/>
  <c r="U43" i="6"/>
  <c r="U41" i="6" s="1"/>
  <c r="M41" i="6"/>
  <c r="S39" i="6"/>
  <c r="W39" i="6" s="1"/>
  <c r="O39" i="6"/>
  <c r="E26" i="6"/>
  <c r="N27" i="6"/>
  <c r="U64" i="6"/>
  <c r="Q57" i="6"/>
  <c r="O44" i="6"/>
  <c r="E41" i="6"/>
  <c r="N43" i="6"/>
  <c r="N41" i="6" s="1"/>
  <c r="O42" i="6"/>
  <c r="E36" i="6"/>
  <c r="N38" i="6"/>
  <c r="N36" i="6" s="1"/>
  <c r="U31" i="6"/>
  <c r="G30" i="6"/>
  <c r="T56" i="6"/>
  <c r="U58" i="6"/>
  <c r="U57" i="6" s="1"/>
  <c r="Y58" i="6"/>
  <c r="H55" i="6"/>
  <c r="E18" i="47" s="1"/>
  <c r="Q52" i="6"/>
  <c r="R52" i="6" s="1"/>
  <c r="R53" i="6"/>
  <c r="S53" i="6" s="1"/>
  <c r="U50" i="6"/>
  <c r="U49" i="6" s="1"/>
  <c r="I46" i="6"/>
  <c r="Q46" i="6"/>
  <c r="R46" i="6" s="1"/>
  <c r="O45" i="6"/>
  <c r="O37" i="6"/>
  <c r="O34" i="6"/>
  <c r="S32" i="6"/>
  <c r="N31" i="6"/>
  <c r="O32" i="6"/>
  <c r="T30" i="6"/>
  <c r="H30" i="6"/>
  <c r="L22" i="6"/>
  <c r="L17" i="6" s="1"/>
  <c r="U18" i="6"/>
  <c r="R59" i="6"/>
  <c r="U27" i="6"/>
  <c r="U26" i="6" s="1"/>
  <c r="O20" i="6"/>
  <c r="E31" i="6"/>
  <c r="O25" i="6"/>
  <c r="Q23" i="6"/>
  <c r="R20" i="6"/>
  <c r="C9" i="48" l="1"/>
  <c r="K26" i="47"/>
  <c r="C14" i="48"/>
  <c r="K31" i="47"/>
  <c r="U30" i="6"/>
  <c r="V185" i="6"/>
  <c r="C12" i="48"/>
  <c r="K29" i="47"/>
  <c r="C10" i="48"/>
  <c r="K27" i="47"/>
  <c r="C11" i="48"/>
  <c r="K28" i="47"/>
  <c r="C3" i="48"/>
  <c r="K16" i="47"/>
  <c r="C5" i="48"/>
  <c r="K18" i="47"/>
  <c r="C6" i="48"/>
  <c r="K19" i="47"/>
  <c r="C13" i="48"/>
  <c r="K30" i="47"/>
  <c r="M205" i="6"/>
  <c r="M204" i="6" s="1"/>
  <c r="W181" i="6"/>
  <c r="W249" i="6"/>
  <c r="V99" i="6"/>
  <c r="W240" i="6"/>
  <c r="W238" i="6" s="1"/>
  <c r="K29" i="6"/>
  <c r="K16" i="6" s="1"/>
  <c r="K13" i="6" s="1"/>
  <c r="K9" i="6" s="1"/>
  <c r="V28" i="6"/>
  <c r="Q109" i="6"/>
  <c r="S196" i="6"/>
  <c r="S232" i="6"/>
  <c r="V70" i="6"/>
  <c r="V91" i="6"/>
  <c r="S179" i="6"/>
  <c r="E235" i="6"/>
  <c r="D30" i="47" s="1"/>
  <c r="S112" i="6"/>
  <c r="W89" i="6"/>
  <c r="S183" i="6"/>
  <c r="W76" i="6"/>
  <c r="K28" i="40"/>
  <c r="L28" i="40" s="1"/>
  <c r="H28" i="40"/>
  <c r="H15" i="40" s="1"/>
  <c r="K50" i="40"/>
  <c r="L50" i="40" s="1"/>
  <c r="S79" i="6"/>
  <c r="E78" i="6"/>
  <c r="E77" i="6" s="1"/>
  <c r="D19" i="47" s="1"/>
  <c r="S223" i="6"/>
  <c r="S222" i="6" s="1"/>
  <c r="V211" i="6"/>
  <c r="W247" i="6"/>
  <c r="K154" i="6"/>
  <c r="K11" i="6" s="1"/>
  <c r="V72" i="6"/>
  <c r="M87" i="6"/>
  <c r="M86" i="6" s="1"/>
  <c r="V21" i="6"/>
  <c r="S109" i="6"/>
  <c r="V164" i="6"/>
  <c r="W114" i="6"/>
  <c r="M78" i="6"/>
  <c r="M77" i="6" s="1"/>
  <c r="V85" i="6"/>
  <c r="W146" i="6"/>
  <c r="M22" i="6"/>
  <c r="M17" i="6" s="1"/>
  <c r="I129" i="6"/>
  <c r="I128" i="6" s="1"/>
  <c r="S201" i="6"/>
  <c r="W136" i="6"/>
  <c r="V124" i="6"/>
  <c r="W259" i="6"/>
  <c r="W258" i="6" s="1"/>
  <c r="W257" i="6" s="1"/>
  <c r="W126" i="6"/>
  <c r="W125" i="6" s="1"/>
  <c r="W231" i="6"/>
  <c r="W228" i="6" s="1"/>
  <c r="I178" i="6"/>
  <c r="I155" i="6" s="1"/>
  <c r="W103" i="6"/>
  <c r="K42" i="40"/>
  <c r="L42" i="40" s="1"/>
  <c r="V206" i="6"/>
  <c r="K27" i="40"/>
  <c r="L27" i="40" s="1"/>
  <c r="E138" i="6"/>
  <c r="D24" i="47" s="1"/>
  <c r="N18" i="6"/>
  <c r="N23" i="6"/>
  <c r="V90" i="6"/>
  <c r="Q187" i="6"/>
  <c r="R187" i="6" s="1"/>
  <c r="Q129" i="6"/>
  <c r="Q128" i="6" s="1"/>
  <c r="R128" i="6" s="1"/>
  <c r="V225" i="6"/>
  <c r="J154" i="6"/>
  <c r="J11" i="6" s="1"/>
  <c r="V80" i="6"/>
  <c r="L154" i="6"/>
  <c r="L11" i="6" s="1"/>
  <c r="W69" i="6"/>
  <c r="V218" i="6"/>
  <c r="S101" i="6"/>
  <c r="M56" i="6"/>
  <c r="M55" i="6" s="1"/>
  <c r="V209" i="6"/>
  <c r="H107" i="6"/>
  <c r="H14" i="6" s="1"/>
  <c r="E14" i="47" s="1"/>
  <c r="K14" i="47" s="1"/>
  <c r="W242" i="6"/>
  <c r="M214" i="6"/>
  <c r="G154" i="6"/>
  <c r="G11" i="6" s="1"/>
  <c r="V19" i="6"/>
  <c r="M138" i="6"/>
  <c r="R223" i="6"/>
  <c r="W225" i="6"/>
  <c r="U236" i="6"/>
  <c r="U235" i="6" s="1"/>
  <c r="U154" i="6" s="1"/>
  <c r="U11" i="6" s="1"/>
  <c r="V210" i="6"/>
  <c r="M30" i="6"/>
  <c r="J29" i="6"/>
  <c r="J16" i="6" s="1"/>
  <c r="J13" i="6" s="1"/>
  <c r="J9" i="6" s="1"/>
  <c r="S135" i="6"/>
  <c r="I195" i="6"/>
  <c r="I186" i="6" s="1"/>
  <c r="V48" i="6"/>
  <c r="S88" i="6"/>
  <c r="W184" i="6"/>
  <c r="W183" i="6" s="1"/>
  <c r="Y205" i="6"/>
  <c r="Y204" i="6" s="1"/>
  <c r="F28" i="47" s="1"/>
  <c r="Y22" i="6"/>
  <c r="W21" i="6"/>
  <c r="S131" i="6"/>
  <c r="S129" i="6" s="1"/>
  <c r="S128" i="6" s="1"/>
  <c r="G23" i="47" s="1"/>
  <c r="M129" i="6"/>
  <c r="M128" i="6" s="1"/>
  <c r="S238" i="6"/>
  <c r="S236" i="6" s="1"/>
  <c r="J54" i="40"/>
  <c r="H54" i="40" s="1"/>
  <c r="J49" i="40"/>
  <c r="H49" i="40" s="1"/>
  <c r="I40" i="6"/>
  <c r="V54" i="6"/>
  <c r="N79" i="6"/>
  <c r="N78" i="6" s="1"/>
  <c r="N77" i="6" s="1"/>
  <c r="W94" i="6"/>
  <c r="N112" i="6"/>
  <c r="N109" i="6" s="1"/>
  <c r="J55" i="40"/>
  <c r="S97" i="6"/>
  <c r="S95" i="6" s="1"/>
  <c r="Y255" i="6"/>
  <c r="J56" i="40"/>
  <c r="H56" i="40" s="1"/>
  <c r="J26" i="40"/>
  <c r="H26" i="40" s="1"/>
  <c r="W33" i="6"/>
  <c r="J18" i="40"/>
  <c r="H18" i="40" s="1"/>
  <c r="V35" i="6"/>
  <c r="W106" i="6"/>
  <c r="W105" i="6" s="1"/>
  <c r="W104" i="6" s="1"/>
  <c r="N140" i="6"/>
  <c r="N139" i="6" s="1"/>
  <c r="W202" i="6"/>
  <c r="M235" i="6"/>
  <c r="M154" i="6" s="1"/>
  <c r="M11" i="6" s="1"/>
  <c r="J52" i="40"/>
  <c r="H52" i="40" s="1"/>
  <c r="J53" i="40"/>
  <c r="H53" i="40" s="1"/>
  <c r="Y178" i="6"/>
  <c r="L107" i="6"/>
  <c r="L14" i="6" s="1"/>
  <c r="M115" i="6"/>
  <c r="M108" i="6" s="1"/>
  <c r="S92" i="6"/>
  <c r="O114" i="6"/>
  <c r="O112" i="6" s="1"/>
  <c r="N178" i="6"/>
  <c r="L31" i="40"/>
  <c r="U195" i="6"/>
  <c r="U186" i="6" s="1"/>
  <c r="I22" i="6"/>
  <c r="I17" i="6" s="1"/>
  <c r="S82" i="6"/>
  <c r="S78" i="6" s="1"/>
  <c r="S77" i="6" s="1"/>
  <c r="G19" i="47" s="1"/>
  <c r="W151" i="6"/>
  <c r="W150" i="6" s="1"/>
  <c r="W149" i="6" s="1"/>
  <c r="J32" i="40"/>
  <c r="K44" i="40"/>
  <c r="L44" i="40" s="1"/>
  <c r="W24" i="6"/>
  <c r="W63" i="6"/>
  <c r="S64" i="6"/>
  <c r="E87" i="6"/>
  <c r="E86" i="6" s="1"/>
  <c r="D20" i="47" s="1"/>
  <c r="E115" i="6"/>
  <c r="E108" i="6" s="1"/>
  <c r="D22" i="47" s="1"/>
  <c r="V200" i="6"/>
  <c r="S159" i="6"/>
  <c r="N235" i="6"/>
  <c r="Q251" i="6"/>
  <c r="R251" i="6" s="1"/>
  <c r="I56" i="6"/>
  <c r="I55" i="6" s="1"/>
  <c r="I87" i="6"/>
  <c r="I86" i="6" s="1"/>
  <c r="Q95" i="6"/>
  <c r="R95" i="6" s="1"/>
  <c r="W148" i="6"/>
  <c r="W163" i="6"/>
  <c r="E195" i="6"/>
  <c r="E186" i="6" s="1"/>
  <c r="D27" i="47" s="1"/>
  <c r="R245" i="6"/>
  <c r="Y30" i="6"/>
  <c r="W137" i="6"/>
  <c r="W176" i="6"/>
  <c r="G153" i="6"/>
  <c r="V207" i="6"/>
  <c r="S245" i="6"/>
  <c r="S244" i="6" s="1"/>
  <c r="S205" i="6"/>
  <c r="S204" i="6" s="1"/>
  <c r="G28" i="47" s="1"/>
  <c r="Y129" i="6"/>
  <c r="Y128" i="6" s="1"/>
  <c r="F23" i="47" s="1"/>
  <c r="H23" i="47" s="1"/>
  <c r="N156" i="6"/>
  <c r="K153" i="6"/>
  <c r="W118" i="6"/>
  <c r="W227" i="6"/>
  <c r="S46" i="6"/>
  <c r="E22" i="6"/>
  <c r="E17" i="6" s="1"/>
  <c r="D16" i="47" s="1"/>
  <c r="W88" i="6"/>
  <c r="O102" i="6"/>
  <c r="V102" i="6" s="1"/>
  <c r="V101" i="6" s="1"/>
  <c r="N204" i="6"/>
  <c r="V158" i="6"/>
  <c r="S219" i="6"/>
  <c r="S215" i="6" s="1"/>
  <c r="S169" i="6"/>
  <c r="S168" i="6" s="1"/>
  <c r="Q195" i="6"/>
  <c r="R195" i="6" s="1"/>
  <c r="Y215" i="6"/>
  <c r="V137" i="6"/>
  <c r="W213" i="6"/>
  <c r="W212" i="6" s="1"/>
  <c r="L29" i="6"/>
  <c r="L16" i="6" s="1"/>
  <c r="L13" i="6" s="1"/>
  <c r="L9" i="6" s="1"/>
  <c r="M178" i="6"/>
  <c r="M155" i="6" s="1"/>
  <c r="E178" i="6"/>
  <c r="E155" i="6" s="1"/>
  <c r="D26" i="47" s="1"/>
  <c r="S73" i="6"/>
  <c r="V100" i="6"/>
  <c r="V208" i="6"/>
  <c r="I235" i="6"/>
  <c r="I154" i="6" s="1"/>
  <c r="I11" i="6" s="1"/>
  <c r="E251" i="6"/>
  <c r="D31" i="47" s="1"/>
  <c r="E204" i="6"/>
  <c r="D28" i="47" s="1"/>
  <c r="V61" i="6"/>
  <c r="V68" i="6"/>
  <c r="W132" i="6"/>
  <c r="W131" i="6" s="1"/>
  <c r="W262" i="6"/>
  <c r="W261" i="6" s="1"/>
  <c r="W260" i="6" s="1"/>
  <c r="V213" i="6"/>
  <c r="V212" i="6" s="1"/>
  <c r="N129" i="6"/>
  <c r="N128" i="6" s="1"/>
  <c r="G107" i="6"/>
  <c r="G14" i="6" s="1"/>
  <c r="S120" i="6"/>
  <c r="S115" i="6" s="1"/>
  <c r="W220" i="6"/>
  <c r="W180" i="6"/>
  <c r="K107" i="6"/>
  <c r="K14" i="6" s="1"/>
  <c r="I115" i="6"/>
  <c r="I108" i="6" s="1"/>
  <c r="E30" i="6"/>
  <c r="Q236" i="6"/>
  <c r="R236" i="6" s="1"/>
  <c r="W256" i="6"/>
  <c r="W255" i="6" s="1"/>
  <c r="V71" i="6"/>
  <c r="U87" i="6"/>
  <c r="U86" i="6" s="1"/>
  <c r="U178" i="6"/>
  <c r="U155" i="6" s="1"/>
  <c r="W80" i="6"/>
  <c r="I138" i="6"/>
  <c r="M195" i="6"/>
  <c r="M186" i="6" s="1"/>
  <c r="H154" i="6"/>
  <c r="H11" i="6" s="1"/>
  <c r="E11" i="47" s="1"/>
  <c r="K11" i="47" s="1"/>
  <c r="Q115" i="6"/>
  <c r="R115" i="6" s="1"/>
  <c r="L153" i="6"/>
  <c r="K19" i="40"/>
  <c r="G29" i="6"/>
  <c r="G16" i="6" s="1"/>
  <c r="G13" i="6" s="1"/>
  <c r="G9" i="6" s="1"/>
  <c r="S41" i="6"/>
  <c r="Q30" i="6"/>
  <c r="R30" i="6" s="1"/>
  <c r="O151" i="6"/>
  <c r="V151" i="6" s="1"/>
  <c r="V150" i="6" s="1"/>
  <c r="V149" i="6" s="1"/>
  <c r="O160" i="6"/>
  <c r="V160" i="6" s="1"/>
  <c r="N215" i="6"/>
  <c r="O231" i="6"/>
  <c r="O228" i="6" s="1"/>
  <c r="N251" i="6"/>
  <c r="Q104" i="6"/>
  <c r="R104" i="6" s="1"/>
  <c r="R105" i="6"/>
  <c r="O53" i="6"/>
  <c r="O52" i="6" s="1"/>
  <c r="N52" i="6"/>
  <c r="H29" i="6"/>
  <c r="M40" i="6"/>
  <c r="J107" i="6"/>
  <c r="J14" i="6" s="1"/>
  <c r="W160" i="6"/>
  <c r="W159" i="6" s="1"/>
  <c r="R165" i="6"/>
  <c r="J153" i="6"/>
  <c r="I214" i="6"/>
  <c r="Q215" i="6"/>
  <c r="R215" i="6" s="1"/>
  <c r="N228" i="6"/>
  <c r="W102" i="6"/>
  <c r="I78" i="6"/>
  <c r="I77" i="6" s="1"/>
  <c r="I30" i="6"/>
  <c r="T186" i="6"/>
  <c r="T154" i="6"/>
  <c r="T11" i="6" s="1"/>
  <c r="U129" i="6"/>
  <c r="U128" i="6" s="1"/>
  <c r="U22" i="6"/>
  <c r="U17" i="6" s="1"/>
  <c r="W113" i="6"/>
  <c r="U40" i="6"/>
  <c r="U29" i="6" s="1"/>
  <c r="V147" i="6"/>
  <c r="Y232" i="6"/>
  <c r="U214" i="6"/>
  <c r="Y196" i="6"/>
  <c r="Y195" i="6" s="1"/>
  <c r="Y190" i="6"/>
  <c r="Y187" i="6" s="1"/>
  <c r="T155" i="6"/>
  <c r="Y169" i="6"/>
  <c r="Y168" i="6" s="1"/>
  <c r="T138" i="6"/>
  <c r="W141" i="6"/>
  <c r="W140" i="6" s="1"/>
  <c r="W139" i="6" s="1"/>
  <c r="W127" i="6"/>
  <c r="W117" i="6"/>
  <c r="T108" i="6"/>
  <c r="U109" i="6"/>
  <c r="V113" i="6"/>
  <c r="U78" i="6"/>
  <c r="U77" i="6" s="1"/>
  <c r="Y79" i="6"/>
  <c r="Y78" i="6" s="1"/>
  <c r="Y77" i="6" s="1"/>
  <c r="F19" i="47" s="1"/>
  <c r="W75" i="6"/>
  <c r="T55" i="6"/>
  <c r="Y41" i="6"/>
  <c r="Y40" i="6" s="1"/>
  <c r="W46" i="6"/>
  <c r="W25" i="6"/>
  <c r="Y144" i="6"/>
  <c r="Y138" i="6" s="1"/>
  <c r="F24" i="47" s="1"/>
  <c r="W235" i="41"/>
  <c r="W154" i="41" s="1"/>
  <c r="W11" i="41" s="1"/>
  <c r="Y178" i="41"/>
  <c r="W29" i="41"/>
  <c r="Y29" i="41" s="1"/>
  <c r="W17" i="41"/>
  <c r="Y17" i="41" s="1"/>
  <c r="V152" i="41"/>
  <c r="V15" i="41" s="1"/>
  <c r="X107" i="41"/>
  <c r="X14" i="41" s="1"/>
  <c r="Y139" i="41"/>
  <c r="Y138" i="41"/>
  <c r="S10" i="41"/>
  <c r="S7" i="41" s="1"/>
  <c r="X16" i="41"/>
  <c r="X13" i="41" s="1"/>
  <c r="X9" i="41" s="1"/>
  <c r="X153" i="41"/>
  <c r="W86" i="41"/>
  <c r="Y40" i="41"/>
  <c r="W186" i="41"/>
  <c r="Y186" i="41" s="1"/>
  <c r="Y115" i="41"/>
  <c r="R154" i="41"/>
  <c r="R11" i="41" s="1"/>
  <c r="Q11" i="41"/>
  <c r="AB154" i="41"/>
  <c r="Z11" i="41"/>
  <c r="AB11" i="41" s="1"/>
  <c r="AB17" i="41"/>
  <c r="Z16" i="41"/>
  <c r="O55" i="41"/>
  <c r="Y55" i="41" s="1"/>
  <c r="Y56" i="41"/>
  <c r="Y244" i="41"/>
  <c r="O235" i="41"/>
  <c r="W222" i="41"/>
  <c r="Y222" i="41" s="1"/>
  <c r="Y223" i="41"/>
  <c r="Q14" i="41"/>
  <c r="Q10" i="41" s="1"/>
  <c r="R107" i="41"/>
  <c r="R14" i="41" s="1"/>
  <c r="AB155" i="41"/>
  <c r="Z153" i="41"/>
  <c r="O108" i="41"/>
  <c r="Q13" i="41"/>
  <c r="Q9" i="41" s="1"/>
  <c r="R16" i="41"/>
  <c r="R13" i="41" s="1"/>
  <c r="R9" i="41" s="1"/>
  <c r="Y78" i="41"/>
  <c r="O77" i="41"/>
  <c r="Y77" i="41" s="1"/>
  <c r="AB108" i="41"/>
  <c r="Z107" i="41"/>
  <c r="N152" i="41"/>
  <c r="N15" i="41" s="1"/>
  <c r="N10" i="41"/>
  <c r="N7" i="41" s="1"/>
  <c r="R153" i="41"/>
  <c r="Q152" i="41"/>
  <c r="O155" i="41"/>
  <c r="O86" i="41"/>
  <c r="Y87" i="41"/>
  <c r="Y215" i="41"/>
  <c r="O214" i="41"/>
  <c r="W155" i="41"/>
  <c r="W128" i="41"/>
  <c r="Y128" i="41" s="1"/>
  <c r="Y129" i="41"/>
  <c r="Y195" i="41"/>
  <c r="H153" i="6"/>
  <c r="S190" i="6"/>
  <c r="S187" i="6" s="1"/>
  <c r="Y109" i="6"/>
  <c r="Y228" i="6"/>
  <c r="Y87" i="6"/>
  <c r="Y86" i="6" s="1"/>
  <c r="F20" i="47" s="1"/>
  <c r="Y236" i="6"/>
  <c r="Y235" i="6" s="1"/>
  <c r="F30" i="47" s="1"/>
  <c r="D13" i="48" s="1"/>
  <c r="V230" i="6"/>
  <c r="S228" i="6"/>
  <c r="S31" i="6"/>
  <c r="W32" i="6"/>
  <c r="V42" i="6"/>
  <c r="V51" i="6"/>
  <c r="V75" i="6"/>
  <c r="V123" i="6"/>
  <c r="V167" i="6"/>
  <c r="V119" i="6"/>
  <c r="V173" i="6"/>
  <c r="W198" i="6"/>
  <c r="O198" i="6"/>
  <c r="O196" i="6" s="1"/>
  <c r="O131" i="6"/>
  <c r="V132" i="6"/>
  <c r="O179" i="6"/>
  <c r="V180" i="6"/>
  <c r="V179" i="6" s="1"/>
  <c r="W216" i="6"/>
  <c r="O261" i="6"/>
  <c r="V262" i="6"/>
  <c r="V261" i="6" s="1"/>
  <c r="V260" i="6" s="1"/>
  <c r="O18" i="6"/>
  <c r="V44" i="6"/>
  <c r="O31" i="6"/>
  <c r="V32" i="6"/>
  <c r="V37" i="6"/>
  <c r="N26" i="6"/>
  <c r="O27" i="6"/>
  <c r="W27" i="6"/>
  <c r="W26" i="6" s="1"/>
  <c r="T40" i="6"/>
  <c r="T29" i="6" s="1"/>
  <c r="S49" i="6"/>
  <c r="T78" i="6"/>
  <c r="T77" i="6" s="1"/>
  <c r="O97" i="6"/>
  <c r="V98" i="6"/>
  <c r="O73" i="6"/>
  <c r="V74" i="6"/>
  <c r="W110" i="6"/>
  <c r="N120" i="6"/>
  <c r="N115" i="6" s="1"/>
  <c r="W121" i="6"/>
  <c r="W120" i="6" s="1"/>
  <c r="O121" i="6"/>
  <c r="W189" i="6"/>
  <c r="O189" i="6"/>
  <c r="V199" i="6"/>
  <c r="W130" i="6"/>
  <c r="J24" i="40"/>
  <c r="S20" i="6"/>
  <c r="V20" i="6" s="1"/>
  <c r="S22" i="6"/>
  <c r="S59" i="6"/>
  <c r="O23" i="6"/>
  <c r="V24" i="6"/>
  <c r="N30" i="6"/>
  <c r="V34" i="6"/>
  <c r="S36" i="6"/>
  <c r="V45" i="6"/>
  <c r="W53" i="6"/>
  <c r="W52" i="6" s="1"/>
  <c r="S52" i="6"/>
  <c r="U56" i="6"/>
  <c r="U55" i="6" s="1"/>
  <c r="E40" i="6"/>
  <c r="E56" i="6"/>
  <c r="E55" i="6" s="1"/>
  <c r="D18" i="47" s="1"/>
  <c r="V81" i="6"/>
  <c r="W83" i="6"/>
  <c r="W82" i="6" s="1"/>
  <c r="W96" i="6"/>
  <c r="O96" i="6"/>
  <c r="N95" i="6"/>
  <c r="W111" i="6"/>
  <c r="O111" i="6"/>
  <c r="Q139" i="6"/>
  <c r="R140" i="6"/>
  <c r="V130" i="6"/>
  <c r="V84" i="6"/>
  <c r="V106" i="6"/>
  <c r="V105" i="6" s="1"/>
  <c r="V104" i="6" s="1"/>
  <c r="O105" i="6"/>
  <c r="W98" i="6"/>
  <c r="W97" i="6" s="1"/>
  <c r="Y115" i="6"/>
  <c r="O125" i="6"/>
  <c r="V126" i="6"/>
  <c r="V125" i="6" s="1"/>
  <c r="W203" i="6"/>
  <c r="O203" i="6"/>
  <c r="O201" i="6" s="1"/>
  <c r="S157" i="6"/>
  <c r="J29" i="40"/>
  <c r="N144" i="6"/>
  <c r="W145" i="6"/>
  <c r="O145" i="6"/>
  <c r="V161" i="6"/>
  <c r="O183" i="6"/>
  <c r="V184" i="6"/>
  <c r="V183" i="6" s="1"/>
  <c r="W197" i="6"/>
  <c r="N201" i="6"/>
  <c r="N195" i="6" s="1"/>
  <c r="V234" i="6"/>
  <c r="T214" i="6"/>
  <c r="W174" i="6"/>
  <c r="O174" i="6"/>
  <c r="O169" i="6" s="1"/>
  <c r="W221" i="6"/>
  <c r="O221" i="6"/>
  <c r="O219" i="6" s="1"/>
  <c r="R169" i="6"/>
  <c r="Q168" i="6"/>
  <c r="R168" i="6" s="1"/>
  <c r="W191" i="6"/>
  <c r="W190" i="6" s="1"/>
  <c r="N190" i="6"/>
  <c r="N187" i="6" s="1"/>
  <c r="O191" i="6"/>
  <c r="V146" i="6"/>
  <c r="O165" i="6"/>
  <c r="V166" i="6"/>
  <c r="W170" i="6"/>
  <c r="V193" i="6"/>
  <c r="V241" i="6"/>
  <c r="V194" i="6"/>
  <c r="V226" i="6"/>
  <c r="W38" i="6"/>
  <c r="W36" i="6" s="1"/>
  <c r="O38" i="6"/>
  <c r="R57" i="6"/>
  <c r="Q56" i="6"/>
  <c r="V39" i="6"/>
  <c r="W93" i="6"/>
  <c r="N92" i="6"/>
  <c r="N87" i="6" s="1"/>
  <c r="O93" i="6"/>
  <c r="U138" i="6"/>
  <c r="V182" i="6"/>
  <c r="V188" i="6"/>
  <c r="Q178" i="6"/>
  <c r="R178" i="6" s="1"/>
  <c r="R179" i="6"/>
  <c r="W246" i="6"/>
  <c r="W245" i="6" s="1"/>
  <c r="Q40" i="6"/>
  <c r="R40" i="6" s="1"/>
  <c r="V67" i="6"/>
  <c r="W50" i="6"/>
  <c r="W49" i="6" s="1"/>
  <c r="N49" i="6"/>
  <c r="O50" i="6"/>
  <c r="Q87" i="6"/>
  <c r="R92" i="6"/>
  <c r="V66" i="6"/>
  <c r="W81" i="6"/>
  <c r="W65" i="6"/>
  <c r="W64" i="6" s="1"/>
  <c r="O65" i="6"/>
  <c r="N64" i="6"/>
  <c r="V83" i="6"/>
  <c r="O82" i="6"/>
  <c r="V133" i="6"/>
  <c r="V118" i="6"/>
  <c r="V117" i="6"/>
  <c r="O116" i="6"/>
  <c r="V172" i="6"/>
  <c r="V175" i="6"/>
  <c r="V197" i="6"/>
  <c r="O204" i="6"/>
  <c r="W217" i="6"/>
  <c r="O217" i="6"/>
  <c r="N232" i="6"/>
  <c r="O233" i="6"/>
  <c r="W233" i="6"/>
  <c r="W232" i="6" s="1"/>
  <c r="W237" i="6"/>
  <c r="V220" i="6"/>
  <c r="N223" i="6"/>
  <c r="N222" i="6" s="1"/>
  <c r="W224" i="6"/>
  <c r="O224" i="6"/>
  <c r="S165" i="6"/>
  <c r="S162" i="6" s="1"/>
  <c r="W166" i="6"/>
  <c r="W165" i="6" s="1"/>
  <c r="V171" i="6"/>
  <c r="W205" i="6"/>
  <c r="S253" i="6"/>
  <c r="V253" i="6" s="1"/>
  <c r="J51" i="40"/>
  <c r="V250" i="6"/>
  <c r="O255" i="6"/>
  <c r="V256" i="6"/>
  <c r="V255" i="6" s="1"/>
  <c r="V237" i="6"/>
  <c r="O252" i="6"/>
  <c r="O258" i="6"/>
  <c r="V259" i="6"/>
  <c r="V258" i="6" s="1"/>
  <c r="V257" i="6" s="1"/>
  <c r="Q22" i="6"/>
  <c r="R23" i="6"/>
  <c r="W58" i="6"/>
  <c r="N57" i="6"/>
  <c r="O58" i="6"/>
  <c r="R156" i="6"/>
  <c r="V192" i="6"/>
  <c r="V248" i="6"/>
  <c r="V25" i="6"/>
  <c r="W43" i="6"/>
  <c r="W41" i="6" s="1"/>
  <c r="O43" i="6"/>
  <c r="O46" i="6"/>
  <c r="V47" i="6"/>
  <c r="W62" i="6"/>
  <c r="O62" i="6"/>
  <c r="T22" i="6"/>
  <c r="T17" i="6" s="1"/>
  <c r="V60" i="6"/>
  <c r="R82" i="6"/>
  <c r="Q78" i="6"/>
  <c r="T86" i="6"/>
  <c r="O140" i="6"/>
  <c r="V141" i="6"/>
  <c r="V142" i="6"/>
  <c r="V110" i="6"/>
  <c r="V134" i="6"/>
  <c r="U115" i="6"/>
  <c r="V202" i="6"/>
  <c r="E214" i="6"/>
  <c r="D29" i="47" s="1"/>
  <c r="V143" i="6"/>
  <c r="V170" i="6"/>
  <c r="V177" i="6"/>
  <c r="Q204" i="6"/>
  <c r="R205" i="6"/>
  <c r="V216" i="6"/>
  <c r="O238" i="6"/>
  <c r="V239" i="6"/>
  <c r="V254" i="6"/>
  <c r="V243" i="6"/>
  <c r="V229" i="6"/>
  <c r="O245" i="6"/>
  <c r="V246" i="6"/>
  <c r="V245" i="6" s="1"/>
  <c r="H16" i="6" l="1"/>
  <c r="H13" i="6" s="1"/>
  <c r="E17" i="47"/>
  <c r="D11" i="48"/>
  <c r="H28" i="47"/>
  <c r="E11" i="48" s="1"/>
  <c r="R109" i="6"/>
  <c r="Q108" i="6"/>
  <c r="D6" i="48"/>
  <c r="H19" i="47"/>
  <c r="E6" i="48" s="1"/>
  <c r="O42" i="40"/>
  <c r="P42" i="40" s="1"/>
  <c r="M42" i="40"/>
  <c r="N42" i="40" s="1"/>
  <c r="W244" i="6"/>
  <c r="D8" i="48"/>
  <c r="H24" i="47"/>
  <c r="E8" i="48" s="1"/>
  <c r="W179" i="6"/>
  <c r="W178" i="6" s="1"/>
  <c r="K15" i="40"/>
  <c r="O50" i="40"/>
  <c r="M50" i="40"/>
  <c r="N50" i="40" s="1"/>
  <c r="S178" i="6"/>
  <c r="S195" i="6"/>
  <c r="S186" i="6" s="1"/>
  <c r="G27" i="47" s="1"/>
  <c r="P50" i="40"/>
  <c r="O150" i="6"/>
  <c r="O149" i="6" s="1"/>
  <c r="W92" i="6"/>
  <c r="Q186" i="6"/>
  <c r="R186" i="6" s="1"/>
  <c r="S108" i="6"/>
  <c r="E154" i="6"/>
  <c r="E11" i="6" s="1"/>
  <c r="D11" i="47" s="1"/>
  <c r="W73" i="6"/>
  <c r="H48" i="40"/>
  <c r="W112" i="6"/>
  <c r="W109" i="6" s="1"/>
  <c r="K152" i="6"/>
  <c r="K15" i="6" s="1"/>
  <c r="K10" i="6"/>
  <c r="K55" i="40"/>
  <c r="L55" i="40" s="1"/>
  <c r="M55" i="40" s="1"/>
  <c r="N55" i="40" s="1"/>
  <c r="H55" i="40"/>
  <c r="H12" i="40" s="1"/>
  <c r="M31" i="40"/>
  <c r="N31" i="40" s="1"/>
  <c r="O31" i="40"/>
  <c r="P31" i="40" s="1"/>
  <c r="K24" i="40"/>
  <c r="L24" i="40" s="1"/>
  <c r="H24" i="40"/>
  <c r="H10" i="40" s="1"/>
  <c r="L32" i="40"/>
  <c r="L30" i="40" s="1"/>
  <c r="H32" i="40"/>
  <c r="H30" i="40" s="1"/>
  <c r="B25" i="39" s="1"/>
  <c r="K51" i="40"/>
  <c r="L51" i="40" s="1"/>
  <c r="O51" i="40" s="1"/>
  <c r="P51" i="40" s="1"/>
  <c r="Q51" i="40" s="1"/>
  <c r="H51" i="40"/>
  <c r="K29" i="40"/>
  <c r="H29" i="40"/>
  <c r="R129" i="6"/>
  <c r="L152" i="6"/>
  <c r="L15" i="6" s="1"/>
  <c r="V46" i="6"/>
  <c r="V114" i="6"/>
  <c r="V112" i="6" s="1"/>
  <c r="W201" i="6"/>
  <c r="W101" i="6"/>
  <c r="M29" i="6"/>
  <c r="M16" i="6" s="1"/>
  <c r="M13" i="6" s="1"/>
  <c r="M9" i="6" s="1"/>
  <c r="W135" i="6"/>
  <c r="W129" i="6" s="1"/>
  <c r="W128" i="6" s="1"/>
  <c r="K53" i="40"/>
  <c r="L53" i="40" s="1"/>
  <c r="K54" i="40"/>
  <c r="L54" i="40" s="1"/>
  <c r="K56" i="40"/>
  <c r="L56" i="40" s="1"/>
  <c r="K49" i="40"/>
  <c r="E107" i="6"/>
  <c r="E14" i="6" s="1"/>
  <c r="D14" i="47" s="1"/>
  <c r="V97" i="6"/>
  <c r="W162" i="6"/>
  <c r="S235" i="6"/>
  <c r="W31" i="6"/>
  <c r="W30" i="6" s="1"/>
  <c r="N22" i="6"/>
  <c r="N17" i="6" s="1"/>
  <c r="M28" i="40"/>
  <c r="O28" i="40"/>
  <c r="L15" i="40"/>
  <c r="K26" i="40"/>
  <c r="L26" i="40" s="1"/>
  <c r="O27" i="40"/>
  <c r="P27" i="40" s="1"/>
  <c r="M27" i="40"/>
  <c r="N27" i="40" s="1"/>
  <c r="O101" i="6"/>
  <c r="W144" i="6"/>
  <c r="W138" i="6" s="1"/>
  <c r="N154" i="6"/>
  <c r="N11" i="6" s="1"/>
  <c r="N155" i="6"/>
  <c r="S87" i="6"/>
  <c r="S86" i="6" s="1"/>
  <c r="G20" i="47" s="1"/>
  <c r="N40" i="6"/>
  <c r="N29" i="6" s="1"/>
  <c r="I107" i="6"/>
  <c r="I14" i="6" s="1"/>
  <c r="W223" i="6"/>
  <c r="W222" i="6" s="1"/>
  <c r="J152" i="6"/>
  <c r="J15" i="6" s="1"/>
  <c r="I153" i="6"/>
  <c r="V88" i="6"/>
  <c r="I29" i="6"/>
  <c r="I16" i="6" s="1"/>
  <c r="I13" i="6" s="1"/>
  <c r="I9" i="6" s="1"/>
  <c r="G152" i="6"/>
  <c r="G15" i="6" s="1"/>
  <c r="R108" i="6"/>
  <c r="M107" i="6"/>
  <c r="M14" i="6" s="1"/>
  <c r="V205" i="6"/>
  <c r="V204" i="6" s="1"/>
  <c r="N138" i="6"/>
  <c r="W23" i="6"/>
  <c r="W22" i="6" s="1"/>
  <c r="Y154" i="6"/>
  <c r="Y11" i="6" s="1"/>
  <c r="F11" i="47" s="1"/>
  <c r="H11" i="47" s="1"/>
  <c r="K43" i="40"/>
  <c r="L43" i="40" s="1"/>
  <c r="O44" i="40"/>
  <c r="P44" i="40" s="1"/>
  <c r="M44" i="40"/>
  <c r="N44" i="40" s="1"/>
  <c r="J30" i="40"/>
  <c r="C5" i="39" s="1"/>
  <c r="K30" i="40"/>
  <c r="J12" i="40"/>
  <c r="W87" i="6"/>
  <c r="Q235" i="6"/>
  <c r="R235" i="6" s="1"/>
  <c r="Y29" i="6"/>
  <c r="F17" i="47" s="1"/>
  <c r="H152" i="6"/>
  <c r="H15" i="6" s="1"/>
  <c r="E15" i="47" s="1"/>
  <c r="K15" i="47" s="1"/>
  <c r="W116" i="6"/>
  <c r="W115" i="6" s="1"/>
  <c r="L19" i="40"/>
  <c r="Q214" i="6"/>
  <c r="R214" i="6" s="1"/>
  <c r="K7" i="6"/>
  <c r="G10" i="6"/>
  <c r="G7" i="6" s="1"/>
  <c r="L10" i="6"/>
  <c r="L7" i="6" s="1"/>
  <c r="V135" i="6"/>
  <c r="E153" i="6"/>
  <c r="W219" i="6"/>
  <c r="W215" i="6" s="1"/>
  <c r="O159" i="6"/>
  <c r="V231" i="6"/>
  <c r="W204" i="6"/>
  <c r="M153" i="6"/>
  <c r="M152" i="6" s="1"/>
  <c r="M15" i="6" s="1"/>
  <c r="N56" i="6"/>
  <c r="N55" i="6" s="1"/>
  <c r="N214" i="6"/>
  <c r="V238" i="6"/>
  <c r="W187" i="6"/>
  <c r="E29" i="6"/>
  <c r="S40" i="6"/>
  <c r="J10" i="6"/>
  <c r="J7" i="6" s="1"/>
  <c r="H10" i="6"/>
  <c r="W79" i="6"/>
  <c r="W78" i="6" s="1"/>
  <c r="W77" i="6" s="1"/>
  <c r="V53" i="6"/>
  <c r="Q155" i="6"/>
  <c r="R155" i="6" s="1"/>
  <c r="N186" i="6"/>
  <c r="K22" i="40"/>
  <c r="T153" i="6"/>
  <c r="T152" i="6" s="1"/>
  <c r="T15" i="6" s="1"/>
  <c r="V165" i="6"/>
  <c r="V162" i="6" s="1"/>
  <c r="Y214" i="6"/>
  <c r="F29" i="47" s="1"/>
  <c r="W196" i="6"/>
  <c r="V116" i="6"/>
  <c r="T107" i="6"/>
  <c r="T14" i="6" s="1"/>
  <c r="Y252" i="6"/>
  <c r="Y251" i="6" s="1"/>
  <c r="F31" i="47" s="1"/>
  <c r="U153" i="6"/>
  <c r="U152" i="6" s="1"/>
  <c r="U15" i="6" s="1"/>
  <c r="Y186" i="6"/>
  <c r="F27" i="47" s="1"/>
  <c r="V159" i="6"/>
  <c r="Y156" i="6"/>
  <c r="Y155" i="6" s="1"/>
  <c r="F26" i="47" s="1"/>
  <c r="U108" i="6"/>
  <c r="U107" i="6" s="1"/>
  <c r="U14" i="6" s="1"/>
  <c r="W95" i="6"/>
  <c r="V82" i="6"/>
  <c r="Y57" i="6"/>
  <c r="Y56" i="6" s="1"/>
  <c r="Y55" i="6" s="1"/>
  <c r="F18" i="47" s="1"/>
  <c r="W40" i="6"/>
  <c r="Y18" i="6"/>
  <c r="Y17" i="6" s="1"/>
  <c r="F16" i="47" s="1"/>
  <c r="J15" i="40"/>
  <c r="J17" i="40"/>
  <c r="C13" i="39" s="1"/>
  <c r="Y108" i="6"/>
  <c r="W16" i="41"/>
  <c r="W13" i="41" s="1"/>
  <c r="W9" i="41" s="1"/>
  <c r="X10" i="41"/>
  <c r="X7" i="41" s="1"/>
  <c r="X152" i="41"/>
  <c r="X15" i="41" s="1"/>
  <c r="Y86" i="41"/>
  <c r="W107" i="41"/>
  <c r="W14" i="41" s="1"/>
  <c r="AB153" i="41"/>
  <c r="Z152" i="41"/>
  <c r="AB16" i="41"/>
  <c r="Z13" i="41"/>
  <c r="Y155" i="41"/>
  <c r="O153" i="41"/>
  <c r="R152" i="41"/>
  <c r="R15" i="41" s="1"/>
  <c r="Q15" i="41"/>
  <c r="Q7" i="41"/>
  <c r="R10" i="41"/>
  <c r="R7" i="41" s="1"/>
  <c r="W214" i="41"/>
  <c r="Y214" i="41" s="1"/>
  <c r="AB107" i="41"/>
  <c r="Z14" i="41"/>
  <c r="O16" i="41"/>
  <c r="O107" i="41"/>
  <c r="Y108" i="41"/>
  <c r="Y235" i="41"/>
  <c r="O154" i="41"/>
  <c r="V18" i="6"/>
  <c r="V244" i="6"/>
  <c r="V31" i="6"/>
  <c r="S214" i="6"/>
  <c r="G29" i="47" s="1"/>
  <c r="V73" i="6"/>
  <c r="V140" i="6"/>
  <c r="V139" i="6" s="1"/>
  <c r="O215" i="6"/>
  <c r="R22" i="6"/>
  <c r="Q17" i="6"/>
  <c r="O195" i="6"/>
  <c r="O162" i="6"/>
  <c r="V121" i="6"/>
  <c r="V120" i="6" s="1"/>
  <c r="O120" i="6"/>
  <c r="V198" i="6"/>
  <c r="N86" i="6"/>
  <c r="O57" i="6"/>
  <c r="V58" i="6"/>
  <c r="O251" i="6"/>
  <c r="O92" i="6"/>
  <c r="V93" i="6"/>
  <c r="V92" i="6" s="1"/>
  <c r="O244" i="6"/>
  <c r="O236" i="6"/>
  <c r="T16" i="6"/>
  <c r="T13" i="6" s="1"/>
  <c r="T9" i="6" s="1"/>
  <c r="O257" i="6"/>
  <c r="O223" i="6"/>
  <c r="V224" i="6"/>
  <c r="V223" i="6" s="1"/>
  <c r="V222" i="6" s="1"/>
  <c r="W236" i="6"/>
  <c r="W235" i="6" s="1"/>
  <c r="V217" i="6"/>
  <c r="V79" i="6"/>
  <c r="O49" i="6"/>
  <c r="V50" i="6"/>
  <c r="V49" i="6" s="1"/>
  <c r="Q55" i="6"/>
  <c r="R55" i="6" s="1"/>
  <c r="R56" i="6"/>
  <c r="O190" i="6"/>
  <c r="V191" i="6"/>
  <c r="V190" i="6" s="1"/>
  <c r="V174" i="6"/>
  <c r="S18" i="6"/>
  <c r="S17" i="6" s="1"/>
  <c r="G16" i="47" s="1"/>
  <c r="W20" i="6"/>
  <c r="W18" i="6" s="1"/>
  <c r="O129" i="6"/>
  <c r="V62" i="6"/>
  <c r="O168" i="6"/>
  <c r="O139" i="6"/>
  <c r="V43" i="6"/>
  <c r="U16" i="6"/>
  <c r="U13" i="6" s="1"/>
  <c r="V252" i="6"/>
  <c r="V251" i="6" s="1"/>
  <c r="S252" i="6"/>
  <c r="S251" i="6" s="1"/>
  <c r="G31" i="47" s="1"/>
  <c r="W253" i="6"/>
  <c r="W252" i="6" s="1"/>
  <c r="W251" i="6" s="1"/>
  <c r="O232" i="6"/>
  <c r="V233" i="6"/>
  <c r="V232" i="6" s="1"/>
  <c r="V38" i="6"/>
  <c r="V36" i="6" s="1"/>
  <c r="W169" i="6"/>
  <c r="W168" i="6" s="1"/>
  <c r="V221" i="6"/>
  <c r="V145" i="6"/>
  <c r="V144" i="6" s="1"/>
  <c r="O144" i="6"/>
  <c r="O104" i="6"/>
  <c r="N108" i="6"/>
  <c r="V96" i="6"/>
  <c r="O95" i="6"/>
  <c r="O78" i="6"/>
  <c r="W59" i="6"/>
  <c r="W57" i="6" s="1"/>
  <c r="W56" i="6" s="1"/>
  <c r="W55" i="6" s="1"/>
  <c r="S57" i="6"/>
  <c r="S56" i="6" s="1"/>
  <c r="S55" i="6" s="1"/>
  <c r="G18" i="47" s="1"/>
  <c r="V59" i="6"/>
  <c r="O26" i="6"/>
  <c r="O22" i="6" s="1"/>
  <c r="O17" i="6" s="1"/>
  <c r="V27" i="6"/>
  <c r="V26" i="6" s="1"/>
  <c r="O260" i="6"/>
  <c r="V178" i="6"/>
  <c r="O41" i="6"/>
  <c r="S30" i="6"/>
  <c r="R204" i="6"/>
  <c r="O64" i="6"/>
  <c r="V65" i="6"/>
  <c r="V64" i="6" s="1"/>
  <c r="V203" i="6"/>
  <c r="R139" i="6"/>
  <c r="Q138" i="6"/>
  <c r="R138" i="6" s="1"/>
  <c r="R78" i="6"/>
  <c r="Q77" i="6"/>
  <c r="R77" i="6" s="1"/>
  <c r="R87" i="6"/>
  <c r="Q86" i="6"/>
  <c r="R86" i="6" s="1"/>
  <c r="Q29" i="6"/>
  <c r="R29" i="6" s="1"/>
  <c r="S156" i="6"/>
  <c r="S155" i="6" s="1"/>
  <c r="G26" i="47" s="1"/>
  <c r="V157" i="6"/>
  <c r="W157" i="6"/>
  <c r="W156" i="6" s="1"/>
  <c r="O109" i="6"/>
  <c r="V111" i="6"/>
  <c r="V23" i="6"/>
  <c r="V189" i="6"/>
  <c r="O36" i="6"/>
  <c r="O30" i="6" s="1"/>
  <c r="O178" i="6"/>
  <c r="V131" i="6"/>
  <c r="E10" i="47" l="1"/>
  <c r="K10" i="47" s="1"/>
  <c r="D5" i="48"/>
  <c r="H18" i="47"/>
  <c r="E5" i="48" s="1"/>
  <c r="D9" i="48"/>
  <c r="H26" i="47"/>
  <c r="E9" i="48" s="1"/>
  <c r="D14" i="48"/>
  <c r="H31" i="47"/>
  <c r="E14" i="48" s="1"/>
  <c r="D12" i="48"/>
  <c r="H29" i="47"/>
  <c r="E12" i="48" s="1"/>
  <c r="E16" i="6"/>
  <c r="E13" i="6" s="1"/>
  <c r="D17" i="47"/>
  <c r="D4" i="48"/>
  <c r="S154" i="6"/>
  <c r="S11" i="6" s="1"/>
  <c r="G11" i="47" s="1"/>
  <c r="G30" i="47"/>
  <c r="D3" i="48"/>
  <c r="H16" i="47"/>
  <c r="E3" i="48" s="1"/>
  <c r="D10" i="48"/>
  <c r="H27" i="47"/>
  <c r="E10" i="48" s="1"/>
  <c r="S107" i="6"/>
  <c r="S14" i="6" s="1"/>
  <c r="G14" i="47" s="1"/>
  <c r="G22" i="47"/>
  <c r="C4" i="48"/>
  <c r="C15" i="48" s="1"/>
  <c r="K17" i="47"/>
  <c r="Y107" i="6"/>
  <c r="Y14" i="6" s="1"/>
  <c r="F14" i="47" s="1"/>
  <c r="H14" i="47" s="1"/>
  <c r="F22" i="47"/>
  <c r="H9" i="6"/>
  <c r="E9" i="47" s="1"/>
  <c r="K9" i="47" s="1"/>
  <c r="E13" i="47"/>
  <c r="K13" i="47" s="1"/>
  <c r="F48" i="40"/>
  <c r="B22" i="39"/>
  <c r="U9" i="6"/>
  <c r="O19" i="40"/>
  <c r="P19" i="40" s="1"/>
  <c r="M19" i="40"/>
  <c r="N19" i="40" s="1"/>
  <c r="M51" i="40"/>
  <c r="N51" i="40" s="1"/>
  <c r="H14" i="40"/>
  <c r="E152" i="6"/>
  <c r="E15" i="6" s="1"/>
  <c r="D15" i="47" s="1"/>
  <c r="H11" i="40"/>
  <c r="O55" i="40"/>
  <c r="P55" i="40" s="1"/>
  <c r="W195" i="6"/>
  <c r="W186" i="6" s="1"/>
  <c r="K14" i="40"/>
  <c r="F30" i="40"/>
  <c r="H8" i="40"/>
  <c r="M32" i="40"/>
  <c r="N32" i="40" s="1"/>
  <c r="N30" i="40" s="1"/>
  <c r="O32" i="40"/>
  <c r="P32" i="40" s="1"/>
  <c r="P30" i="40" s="1"/>
  <c r="L49" i="40"/>
  <c r="L48" i="40" s="1"/>
  <c r="K48" i="40"/>
  <c r="O54" i="40"/>
  <c r="P54" i="40" s="1"/>
  <c r="M54" i="40"/>
  <c r="N54" i="40" s="1"/>
  <c r="O56" i="40"/>
  <c r="P56" i="40" s="1"/>
  <c r="Q56" i="40" s="1"/>
  <c r="M56" i="40"/>
  <c r="N56" i="40" s="1"/>
  <c r="Q154" i="6"/>
  <c r="R154" i="6" s="1"/>
  <c r="R11" i="6" s="1"/>
  <c r="M53" i="40"/>
  <c r="N53" i="40" s="1"/>
  <c r="O53" i="40"/>
  <c r="P53" i="40" s="1"/>
  <c r="Q53" i="40" s="1"/>
  <c r="Q48" i="40" s="1"/>
  <c r="V95" i="6"/>
  <c r="I10" i="6"/>
  <c r="I7" i="6" s="1"/>
  <c r="K10" i="40"/>
  <c r="I152" i="6"/>
  <c r="I15" i="6" s="1"/>
  <c r="O15" i="40"/>
  <c r="P28" i="40"/>
  <c r="P15" i="40" s="1"/>
  <c r="M15" i="40"/>
  <c r="N28" i="40"/>
  <c r="N15" i="40" s="1"/>
  <c r="O26" i="40"/>
  <c r="P26" i="40" s="1"/>
  <c r="M26" i="40"/>
  <c r="N26" i="40" s="1"/>
  <c r="K23" i="40"/>
  <c r="O24" i="40"/>
  <c r="M24" i="40"/>
  <c r="N24" i="40" s="1"/>
  <c r="L23" i="40"/>
  <c r="V87" i="6"/>
  <c r="E10" i="6"/>
  <c r="W86" i="6"/>
  <c r="N107" i="6"/>
  <c r="N14" i="6" s="1"/>
  <c r="V228" i="6"/>
  <c r="W214" i="6"/>
  <c r="K12" i="40"/>
  <c r="L14" i="40"/>
  <c r="L10" i="40"/>
  <c r="L22" i="40"/>
  <c r="V129" i="6"/>
  <c r="V128" i="6" s="1"/>
  <c r="Q153" i="6"/>
  <c r="R153" i="6" s="1"/>
  <c r="N153" i="6"/>
  <c r="N152" i="6" s="1"/>
  <c r="N15" i="6" s="1"/>
  <c r="K17" i="40"/>
  <c r="M10" i="6"/>
  <c r="M7" i="6" s="1"/>
  <c r="W154" i="6"/>
  <c r="W11" i="6" s="1"/>
  <c r="S29" i="6"/>
  <c r="V115" i="6"/>
  <c r="V236" i="6"/>
  <c r="V235" i="6" s="1"/>
  <c r="V154" i="6" s="1"/>
  <c r="V11" i="6" s="1"/>
  <c r="N16" i="6"/>
  <c r="N13" i="6" s="1"/>
  <c r="N9" i="6" s="1"/>
  <c r="V196" i="6"/>
  <c r="V52" i="6"/>
  <c r="T10" i="6"/>
  <c r="T7" i="6" s="1"/>
  <c r="W108" i="6"/>
  <c r="W107" i="6" s="1"/>
  <c r="W14" i="6" s="1"/>
  <c r="W29" i="6"/>
  <c r="U10" i="6"/>
  <c r="J48" i="40"/>
  <c r="C15" i="39" s="1"/>
  <c r="Y153" i="6"/>
  <c r="Y152" i="6" s="1"/>
  <c r="Y15" i="6" s="1"/>
  <c r="F15" i="47" s="1"/>
  <c r="H15" i="47" s="1"/>
  <c r="Y16" i="6"/>
  <c r="Y13" i="6" s="1"/>
  <c r="J33" i="40"/>
  <c r="C7" i="39" s="1"/>
  <c r="J14" i="40"/>
  <c r="J10" i="40"/>
  <c r="J23" i="40"/>
  <c r="C9" i="39" s="1"/>
  <c r="V138" i="6"/>
  <c r="W153" i="41"/>
  <c r="W152" i="41" s="1"/>
  <c r="W15" i="41" s="1"/>
  <c r="Z10" i="41"/>
  <c r="AB10" i="41" s="1"/>
  <c r="AB14" i="41"/>
  <c r="Z9" i="41"/>
  <c r="AB13" i="41"/>
  <c r="O152" i="41"/>
  <c r="Y107" i="41"/>
  <c r="Y14" i="41" s="1"/>
  <c r="O14" i="41"/>
  <c r="O10" i="41" s="1"/>
  <c r="AB152" i="41"/>
  <c r="Z15" i="41"/>
  <c r="AB15" i="41" s="1"/>
  <c r="Y154" i="41"/>
  <c r="Y11" i="41" s="1"/>
  <c r="O11" i="41"/>
  <c r="Y16" i="41"/>
  <c r="Y13" i="41" s="1"/>
  <c r="Y9" i="41" s="1"/>
  <c r="O13" i="41"/>
  <c r="O9" i="41" s="1"/>
  <c r="V219" i="6"/>
  <c r="S153" i="6"/>
  <c r="V109" i="6"/>
  <c r="V30" i="6"/>
  <c r="O235" i="6"/>
  <c r="W155" i="6"/>
  <c r="O40" i="6"/>
  <c r="O29" i="6" s="1"/>
  <c r="V78" i="6"/>
  <c r="V77" i="6" s="1"/>
  <c r="O222" i="6"/>
  <c r="V201" i="6"/>
  <c r="O56" i="6"/>
  <c r="V41" i="6"/>
  <c r="V156" i="6"/>
  <c r="V187" i="6"/>
  <c r="O77" i="6"/>
  <c r="W17" i="6"/>
  <c r="O115" i="6"/>
  <c r="Q107" i="6"/>
  <c r="V169" i="6"/>
  <c r="O87" i="6"/>
  <c r="O138" i="6"/>
  <c r="O128" i="6"/>
  <c r="V57" i="6"/>
  <c r="V56" i="6" s="1"/>
  <c r="V55" i="6" s="1"/>
  <c r="O155" i="6"/>
  <c r="Q16" i="6"/>
  <c r="R17" i="6"/>
  <c r="O187" i="6"/>
  <c r="V22" i="6"/>
  <c r="V17" i="6" s="1"/>
  <c r="F8" i="40" l="1"/>
  <c r="E9" i="6"/>
  <c r="D9" i="47" s="1"/>
  <c r="D13" i="47"/>
  <c r="Y9" i="6"/>
  <c r="F9" i="47" s="1"/>
  <c r="H9" i="47" s="1"/>
  <c r="F13" i="47"/>
  <c r="H13" i="47" s="1"/>
  <c r="S16" i="6"/>
  <c r="S13" i="6" s="1"/>
  <c r="G17" i="47"/>
  <c r="H17" i="47" s="1"/>
  <c r="E4" i="48" s="1"/>
  <c r="E15" i="48" s="1"/>
  <c r="D7" i="48"/>
  <c r="H22" i="47"/>
  <c r="E7" i="48" s="1"/>
  <c r="S152" i="6"/>
  <c r="S15" i="6" s="1"/>
  <c r="G15" i="47" s="1"/>
  <c r="U7" i="6"/>
  <c r="E7" i="6"/>
  <c r="D7" i="47" s="1"/>
  <c r="D10" i="47"/>
  <c r="D15" i="48"/>
  <c r="H7" i="6"/>
  <c r="E7" i="47" s="1"/>
  <c r="K7" i="47" s="1"/>
  <c r="M30" i="40"/>
  <c r="H16" i="40"/>
  <c r="Q11" i="6"/>
  <c r="V86" i="6"/>
  <c r="O30" i="40"/>
  <c r="O49" i="40"/>
  <c r="P49" i="40" s="1"/>
  <c r="P48" i="40" s="1"/>
  <c r="M49" i="40"/>
  <c r="Q152" i="6"/>
  <c r="Q15" i="6" s="1"/>
  <c r="N10" i="40"/>
  <c r="N14" i="40"/>
  <c r="N10" i="6"/>
  <c r="N7" i="6" s="1"/>
  <c r="M22" i="40"/>
  <c r="N22" i="40" s="1"/>
  <c r="N17" i="40" s="1"/>
  <c r="O22" i="40"/>
  <c r="P22" i="40" s="1"/>
  <c r="W16" i="6"/>
  <c r="W13" i="6" s="1"/>
  <c r="W9" i="6" s="1"/>
  <c r="O23" i="40"/>
  <c r="P24" i="40"/>
  <c r="P23" i="40" s="1"/>
  <c r="N23" i="40"/>
  <c r="M23" i="40"/>
  <c r="L17" i="40"/>
  <c r="M14" i="40"/>
  <c r="M10" i="40"/>
  <c r="O10" i="40"/>
  <c r="O14" i="40"/>
  <c r="O43" i="40"/>
  <c r="L12" i="40"/>
  <c r="M43" i="40"/>
  <c r="W153" i="6"/>
  <c r="W152" i="6" s="1"/>
  <c r="W15" i="6" s="1"/>
  <c r="V40" i="6"/>
  <c r="V29" i="6" s="1"/>
  <c r="V108" i="6"/>
  <c r="V107" i="6" s="1"/>
  <c r="V14" i="6" s="1"/>
  <c r="Y10" i="6"/>
  <c r="V215" i="6"/>
  <c r="V214" i="6" s="1"/>
  <c r="W10" i="41"/>
  <c r="W7" i="41" s="1"/>
  <c r="Y153" i="41"/>
  <c r="Y10" i="41" s="1"/>
  <c r="Y7" i="41" s="1"/>
  <c r="O7" i="41"/>
  <c r="Z7" i="41"/>
  <c r="AB7" i="41" s="1"/>
  <c r="AB9" i="41"/>
  <c r="O15" i="41"/>
  <c r="Y152" i="41"/>
  <c r="Y15" i="41" s="1"/>
  <c r="V195" i="6"/>
  <c r="S10" i="6"/>
  <c r="Q14" i="6"/>
  <c r="Q10" i="6" s="1"/>
  <c r="R107" i="6"/>
  <c r="R14" i="6" s="1"/>
  <c r="R10" i="6" s="1"/>
  <c r="O154" i="6"/>
  <c r="O186" i="6"/>
  <c r="R16" i="6"/>
  <c r="R13" i="6" s="1"/>
  <c r="R9" i="6" s="1"/>
  <c r="Q13" i="6"/>
  <c r="Q9" i="6" s="1"/>
  <c r="O86" i="6"/>
  <c r="O55" i="6"/>
  <c r="O214" i="6"/>
  <c r="O108" i="6"/>
  <c r="V168" i="6"/>
  <c r="G10" i="47" l="1"/>
  <c r="Y7" i="6"/>
  <c r="F7" i="47" s="1"/>
  <c r="F10" i="47"/>
  <c r="H10" i="47" s="1"/>
  <c r="S9" i="6"/>
  <c r="G9" i="47" s="1"/>
  <c r="G13" i="47"/>
  <c r="O48" i="40"/>
  <c r="O12" i="40"/>
  <c r="P43" i="40"/>
  <c r="P12" i="40" s="1"/>
  <c r="N49" i="40"/>
  <c r="N48" i="40" s="1"/>
  <c r="M48" i="40"/>
  <c r="R152" i="6"/>
  <c r="R15" i="6" s="1"/>
  <c r="W10" i="6"/>
  <c r="W7" i="6" s="1"/>
  <c r="P17" i="40"/>
  <c r="P14" i="40"/>
  <c r="P10" i="40"/>
  <c r="M12" i="40"/>
  <c r="N43" i="40"/>
  <c r="N12" i="40" s="1"/>
  <c r="V16" i="6"/>
  <c r="V13" i="6" s="1"/>
  <c r="V9" i="6" s="1"/>
  <c r="R7" i="6"/>
  <c r="O153" i="6"/>
  <c r="O152" i="6" s="1"/>
  <c r="V186" i="6"/>
  <c r="O11" i="6"/>
  <c r="V155" i="6"/>
  <c r="O107" i="6"/>
  <c r="O16" i="6"/>
  <c r="Q7" i="6"/>
  <c r="S7" i="6" l="1"/>
  <c r="G7" i="47" s="1"/>
  <c r="H7" i="47" s="1"/>
  <c r="O14" i="6"/>
  <c r="O10" i="6" s="1"/>
  <c r="V153" i="6"/>
  <c r="O15" i="6"/>
  <c r="O13" i="6"/>
  <c r="O9" i="6" s="1"/>
  <c r="F4" i="37"/>
  <c r="F5" i="37"/>
  <c r="F6" i="37"/>
  <c r="F7" i="37"/>
  <c r="F8" i="37"/>
  <c r="F9" i="37"/>
  <c r="F10" i="37"/>
  <c r="F11" i="37"/>
  <c r="F12" i="37"/>
  <c r="F13" i="37"/>
  <c r="F14" i="37"/>
  <c r="F15" i="37"/>
  <c r="F16" i="37"/>
  <c r="F17" i="37"/>
  <c r="F18" i="37"/>
  <c r="F19" i="37"/>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81" i="37"/>
  <c r="F82" i="37"/>
  <c r="F83" i="37"/>
  <c r="F84" i="37"/>
  <c r="F85" i="37"/>
  <c r="F86" i="37"/>
  <c r="F87" i="37"/>
  <c r="F88" i="37"/>
  <c r="F89" i="37"/>
  <c r="F90" i="37"/>
  <c r="F91" i="37"/>
  <c r="F92" i="37"/>
  <c r="F93" i="37"/>
  <c r="F94" i="37"/>
  <c r="F95" i="37"/>
  <c r="F96" i="37"/>
  <c r="F97" i="37"/>
  <c r="F98" i="37"/>
  <c r="F99" i="37"/>
  <c r="F100" i="37"/>
  <c r="F101" i="37"/>
  <c r="F102" i="37"/>
  <c r="F103" i="37"/>
  <c r="F104" i="37"/>
  <c r="F105" i="37"/>
  <c r="F106" i="37"/>
  <c r="F107" i="37"/>
  <c r="F108" i="37"/>
  <c r="F109" i="37"/>
  <c r="F110" i="37"/>
  <c r="F111" i="37"/>
  <c r="F112" i="37"/>
  <c r="F113" i="37"/>
  <c r="F114" i="37"/>
  <c r="F115" i="37"/>
  <c r="F116" i="37"/>
  <c r="F117" i="37"/>
  <c r="F118" i="37"/>
  <c r="F119" i="37"/>
  <c r="F120" i="37"/>
  <c r="F121" i="37"/>
  <c r="F122" i="37"/>
  <c r="F123" i="37"/>
  <c r="F124" i="37"/>
  <c r="F125" i="37"/>
  <c r="F126" i="37"/>
  <c r="F127" i="37"/>
  <c r="F128" i="37"/>
  <c r="F129" i="37"/>
  <c r="F130" i="37"/>
  <c r="F131" i="37"/>
  <c r="F132" i="37"/>
  <c r="F133" i="37"/>
  <c r="F134" i="37"/>
  <c r="F135" i="37"/>
  <c r="F136" i="37"/>
  <c r="F137" i="37"/>
  <c r="F138" i="37"/>
  <c r="F139" i="37"/>
  <c r="F140" i="37"/>
  <c r="F141" i="37"/>
  <c r="F142" i="37"/>
  <c r="F143" i="37"/>
  <c r="F144" i="37"/>
  <c r="F145" i="37"/>
  <c r="F146" i="37"/>
  <c r="F147" i="37"/>
  <c r="F148" i="37"/>
  <c r="F149" i="37"/>
  <c r="F150" i="37"/>
  <c r="F151" i="37"/>
  <c r="F152" i="37"/>
  <c r="F153" i="37"/>
  <c r="F154" i="37"/>
  <c r="F155" i="37"/>
  <c r="F156" i="37"/>
  <c r="F3" i="37"/>
  <c r="D4" i="37"/>
  <c r="D5" i="37"/>
  <c r="D6" i="37"/>
  <c r="D7" i="37"/>
  <c r="D8" i="37"/>
  <c r="D9" i="37"/>
  <c r="D10" i="37"/>
  <c r="D11" i="37"/>
  <c r="D12" i="37"/>
  <c r="D13" i="37"/>
  <c r="D14" i="37"/>
  <c r="D15" i="37"/>
  <c r="D16" i="37"/>
  <c r="D17" i="37"/>
  <c r="D18" i="37"/>
  <c r="D19" i="37"/>
  <c r="D20" i="37"/>
  <c r="D21" i="37"/>
  <c r="D22" i="37"/>
  <c r="D23" i="37"/>
  <c r="D24" i="37"/>
  <c r="D25" i="37"/>
  <c r="D26" i="37"/>
  <c r="D27" i="37"/>
  <c r="D28" i="37"/>
  <c r="D29" i="37"/>
  <c r="D30" i="37"/>
  <c r="D31" i="37"/>
  <c r="D32" i="37"/>
  <c r="D33" i="37"/>
  <c r="D34" i="37"/>
  <c r="D35" i="37"/>
  <c r="D36" i="37"/>
  <c r="D37" i="37"/>
  <c r="D38" i="37"/>
  <c r="D39" i="37"/>
  <c r="D40" i="37"/>
  <c r="D41" i="37"/>
  <c r="D42" i="37"/>
  <c r="D43" i="37"/>
  <c r="D44" i="37"/>
  <c r="D45" i="37"/>
  <c r="D46" i="37"/>
  <c r="D47" i="37"/>
  <c r="D48" i="37"/>
  <c r="D49" i="37"/>
  <c r="D50" i="37"/>
  <c r="D51" i="37"/>
  <c r="D52" i="37"/>
  <c r="D53" i="37"/>
  <c r="D54" i="37"/>
  <c r="D55" i="37"/>
  <c r="D56" i="37"/>
  <c r="D57" i="37"/>
  <c r="D58" i="37"/>
  <c r="D59" i="37"/>
  <c r="D60" i="37"/>
  <c r="D61" i="37"/>
  <c r="D62" i="37"/>
  <c r="D63" i="37"/>
  <c r="D64" i="37"/>
  <c r="D65" i="37"/>
  <c r="D66" i="37"/>
  <c r="D67" i="37"/>
  <c r="D68" i="37"/>
  <c r="D69" i="37"/>
  <c r="D70" i="37"/>
  <c r="D71" i="37"/>
  <c r="D72" i="37"/>
  <c r="D73" i="37"/>
  <c r="D74" i="37"/>
  <c r="D75" i="37"/>
  <c r="D76" i="37"/>
  <c r="D77" i="37"/>
  <c r="D78" i="37"/>
  <c r="D79" i="37"/>
  <c r="D80" i="37"/>
  <c r="D81" i="37"/>
  <c r="D82" i="37"/>
  <c r="D83" i="37"/>
  <c r="D84" i="37"/>
  <c r="D85" i="37"/>
  <c r="D86" i="37"/>
  <c r="D87" i="37"/>
  <c r="D88" i="37"/>
  <c r="D89" i="37"/>
  <c r="D90" i="37"/>
  <c r="D91" i="37"/>
  <c r="D92" i="37"/>
  <c r="D93" i="37"/>
  <c r="D94" i="37"/>
  <c r="D95" i="37"/>
  <c r="D96" i="37"/>
  <c r="D97" i="37"/>
  <c r="D98" i="37"/>
  <c r="D99" i="37"/>
  <c r="D100" i="37"/>
  <c r="D101" i="37"/>
  <c r="D102" i="37"/>
  <c r="D103" i="37"/>
  <c r="D104" i="37"/>
  <c r="D105" i="37"/>
  <c r="D106" i="37"/>
  <c r="D107" i="37"/>
  <c r="D108" i="37"/>
  <c r="D109" i="37"/>
  <c r="D110" i="37"/>
  <c r="D111" i="37"/>
  <c r="D112" i="37"/>
  <c r="D113" i="37"/>
  <c r="D114" i="37"/>
  <c r="D115" i="37"/>
  <c r="D116" i="37"/>
  <c r="D117" i="37"/>
  <c r="D118" i="37"/>
  <c r="D119" i="37"/>
  <c r="D120" i="37"/>
  <c r="D121" i="37"/>
  <c r="D122" i="37"/>
  <c r="D123" i="37"/>
  <c r="D124" i="37"/>
  <c r="D125" i="37"/>
  <c r="D126" i="37"/>
  <c r="D127" i="37"/>
  <c r="D128" i="37"/>
  <c r="D129" i="37"/>
  <c r="D130" i="37"/>
  <c r="D131" i="37"/>
  <c r="D132" i="37"/>
  <c r="D133" i="37"/>
  <c r="D134" i="37"/>
  <c r="D135" i="37"/>
  <c r="D136" i="37"/>
  <c r="D137" i="37"/>
  <c r="D138" i="37"/>
  <c r="D139" i="37"/>
  <c r="D140" i="37"/>
  <c r="D141" i="37"/>
  <c r="D142" i="37"/>
  <c r="D143" i="37"/>
  <c r="D144" i="37"/>
  <c r="D145" i="37"/>
  <c r="D146" i="37"/>
  <c r="D147" i="37"/>
  <c r="D148" i="37"/>
  <c r="D149" i="37"/>
  <c r="D150" i="37"/>
  <c r="D151" i="37"/>
  <c r="D152" i="37"/>
  <c r="D153" i="37"/>
  <c r="D154" i="37"/>
  <c r="D155" i="37"/>
  <c r="D156" i="37"/>
  <c r="D3" i="37"/>
  <c r="C4" i="37"/>
  <c r="C5" i="37"/>
  <c r="C6" i="37"/>
  <c r="C7"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69" i="37"/>
  <c r="C70" i="37"/>
  <c r="C71" i="37"/>
  <c r="C72" i="37"/>
  <c r="C73" i="37"/>
  <c r="C74" i="37"/>
  <c r="C75" i="37"/>
  <c r="C76" i="37"/>
  <c r="C77" i="37"/>
  <c r="C78" i="37"/>
  <c r="C79" i="37"/>
  <c r="C80" i="37"/>
  <c r="C81" i="37"/>
  <c r="C82" i="37"/>
  <c r="C83" i="37"/>
  <c r="C84" i="37"/>
  <c r="C85" i="37"/>
  <c r="C86" i="37"/>
  <c r="C87" i="37"/>
  <c r="C88" i="37"/>
  <c r="C89" i="37"/>
  <c r="C90" i="37"/>
  <c r="C91" i="37"/>
  <c r="C92" i="37"/>
  <c r="C93" i="37"/>
  <c r="C94" i="37"/>
  <c r="C95" i="37"/>
  <c r="C96" i="37"/>
  <c r="C97" i="37"/>
  <c r="C98" i="37"/>
  <c r="C99" i="37"/>
  <c r="C100" i="37"/>
  <c r="C101" i="37"/>
  <c r="C102" i="37"/>
  <c r="C103" i="37"/>
  <c r="C104" i="37"/>
  <c r="C105" i="37"/>
  <c r="C106" i="37"/>
  <c r="C107" i="37"/>
  <c r="C108" i="37"/>
  <c r="C109" i="37"/>
  <c r="C110" i="37"/>
  <c r="C111" i="37"/>
  <c r="C112" i="37"/>
  <c r="C113" i="37"/>
  <c r="C114" i="37"/>
  <c r="C115" i="37"/>
  <c r="C116" i="37"/>
  <c r="C117" i="37"/>
  <c r="C118" i="37"/>
  <c r="C119" i="37"/>
  <c r="C120" i="37"/>
  <c r="C121" i="37"/>
  <c r="C122" i="37"/>
  <c r="C123" i="37"/>
  <c r="C124" i="37"/>
  <c r="C125" i="37"/>
  <c r="C126" i="37"/>
  <c r="C127" i="37"/>
  <c r="C128" i="37"/>
  <c r="C129" i="37"/>
  <c r="C130" i="37"/>
  <c r="C131" i="37"/>
  <c r="C132" i="37"/>
  <c r="C133" i="37"/>
  <c r="C134" i="37"/>
  <c r="C135" i="37"/>
  <c r="C136" i="37"/>
  <c r="C137" i="37"/>
  <c r="C138" i="37"/>
  <c r="C139" i="37"/>
  <c r="C140" i="37"/>
  <c r="C141" i="37"/>
  <c r="C142" i="37"/>
  <c r="C143" i="37"/>
  <c r="C144" i="37"/>
  <c r="C145" i="37"/>
  <c r="C146" i="37"/>
  <c r="C147" i="37"/>
  <c r="C148" i="37"/>
  <c r="C149" i="37"/>
  <c r="C150" i="37"/>
  <c r="C151" i="37"/>
  <c r="C152" i="37"/>
  <c r="C153" i="37"/>
  <c r="C154" i="37"/>
  <c r="C155" i="37"/>
  <c r="C156" i="37"/>
  <c r="C3" i="37"/>
  <c r="B156" i="37"/>
  <c r="B155" i="37"/>
  <c r="B154" i="37"/>
  <c r="B153" i="37"/>
  <c r="B152" i="37"/>
  <c r="B151" i="37"/>
  <c r="B150" i="37"/>
  <c r="B149" i="37"/>
  <c r="B148" i="37"/>
  <c r="B147" i="37"/>
  <c r="B146" i="37"/>
  <c r="B145" i="37"/>
  <c r="B144" i="37"/>
  <c r="B143" i="37"/>
  <c r="B142" i="37"/>
  <c r="B141" i="37"/>
  <c r="B140" i="37"/>
  <c r="B139" i="37"/>
  <c r="B138" i="37"/>
  <c r="B137" i="37"/>
  <c r="B136" i="37"/>
  <c r="B135" i="37"/>
  <c r="B134" i="37"/>
  <c r="B133" i="37"/>
  <c r="B132" i="37"/>
  <c r="B131" i="37"/>
  <c r="B130" i="37"/>
  <c r="B129" i="37"/>
  <c r="B128" i="37"/>
  <c r="B127" i="37"/>
  <c r="B126" i="37"/>
  <c r="B125" i="37"/>
  <c r="B124" i="37"/>
  <c r="B123" i="37"/>
  <c r="B122" i="37"/>
  <c r="B121" i="37"/>
  <c r="B120" i="37"/>
  <c r="B119" i="37"/>
  <c r="B118" i="37"/>
  <c r="B117" i="37"/>
  <c r="B116" i="37"/>
  <c r="B115" i="37"/>
  <c r="B114" i="37"/>
  <c r="B113" i="37"/>
  <c r="B112" i="37"/>
  <c r="B111" i="37"/>
  <c r="B110" i="37"/>
  <c r="B109" i="37"/>
  <c r="B108" i="37"/>
  <c r="B107" i="37"/>
  <c r="B106" i="37"/>
  <c r="B105" i="37"/>
  <c r="B104" i="37"/>
  <c r="B103" i="37"/>
  <c r="B102" i="37"/>
  <c r="B101" i="37"/>
  <c r="B100" i="37"/>
  <c r="B99" i="37"/>
  <c r="B98" i="37"/>
  <c r="B97" i="37"/>
  <c r="B96" i="37"/>
  <c r="B95" i="37"/>
  <c r="B94" i="37"/>
  <c r="B93" i="37"/>
  <c r="B92" i="37"/>
  <c r="B91" i="37"/>
  <c r="B90" i="37"/>
  <c r="B89" i="37"/>
  <c r="B88" i="37"/>
  <c r="B87" i="37"/>
  <c r="B86" i="37"/>
  <c r="B85" i="37"/>
  <c r="B84" i="37"/>
  <c r="B83" i="37"/>
  <c r="B82" i="37"/>
  <c r="B81" i="37"/>
  <c r="B80" i="37"/>
  <c r="B79" i="37"/>
  <c r="B78" i="37"/>
  <c r="B77" i="37"/>
  <c r="B76" i="37"/>
  <c r="B75" i="37"/>
  <c r="B74" i="37"/>
  <c r="B73" i="37"/>
  <c r="B72" i="37"/>
  <c r="B71" i="37"/>
  <c r="B70" i="37"/>
  <c r="B69" i="37"/>
  <c r="B68" i="37"/>
  <c r="B67" i="37"/>
  <c r="B66" i="37"/>
  <c r="B65" i="37"/>
  <c r="B64" i="37"/>
  <c r="B63" i="37"/>
  <c r="B62" i="37"/>
  <c r="B61" i="37"/>
  <c r="B60" i="37"/>
  <c r="B59" i="37"/>
  <c r="B58" i="37"/>
  <c r="B57" i="37"/>
  <c r="B56" i="37"/>
  <c r="B55" i="37"/>
  <c r="B54" i="37"/>
  <c r="B53" i="37"/>
  <c r="B52" i="37"/>
  <c r="B51" i="37"/>
  <c r="B50" i="37"/>
  <c r="B49" i="37"/>
  <c r="B48" i="37"/>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19" i="37"/>
  <c r="B18" i="37"/>
  <c r="B17" i="37"/>
  <c r="B16" i="37"/>
  <c r="B15" i="37"/>
  <c r="B14" i="37"/>
  <c r="B13" i="37"/>
  <c r="B12" i="37"/>
  <c r="B11" i="37"/>
  <c r="B10" i="37"/>
  <c r="B9" i="37"/>
  <c r="B8" i="37"/>
  <c r="B7" i="37"/>
  <c r="B6" i="37"/>
  <c r="B5" i="37"/>
  <c r="B4" i="37"/>
  <c r="B3" i="37"/>
  <c r="O7" i="6" l="1"/>
  <c r="V152" i="6"/>
  <c r="V10" i="6"/>
  <c r="V7" i="6" s="1"/>
  <c r="Z246" i="6"/>
  <c r="Z213" i="6"/>
  <c r="Z210" i="6"/>
  <c r="Z209" i="6"/>
  <c r="Z208" i="6"/>
  <c r="Z207" i="6"/>
  <c r="Z206" i="6"/>
  <c r="Z148" i="6"/>
  <c r="Z147" i="6"/>
  <c r="Z146" i="6"/>
  <c r="Z145" i="6"/>
  <c r="Z143" i="6"/>
  <c r="Z142" i="6"/>
  <c r="Z141" i="6"/>
  <c r="Z137" i="6"/>
  <c r="Z136" i="6"/>
  <c r="Z134" i="6"/>
  <c r="Z130" i="6"/>
  <c r="Z127" i="6"/>
  <c r="Z124" i="6"/>
  <c r="Z123" i="6"/>
  <c r="Z122" i="6"/>
  <c r="Z121" i="6"/>
  <c r="Z118" i="6"/>
  <c r="Z117" i="6"/>
  <c r="Z102" i="6"/>
  <c r="Z27" i="6"/>
  <c r="Z248" i="6"/>
  <c r="Z247" i="6"/>
  <c r="Z243" i="6"/>
  <c r="Z242" i="6"/>
  <c r="Z241" i="6"/>
  <c r="Z240" i="6"/>
  <c r="Z239" i="6"/>
  <c r="Z237" i="6"/>
  <c r="Z211" i="6"/>
  <c r="Z175" i="6"/>
  <c r="Z174" i="6"/>
  <c r="Z172" i="6"/>
  <c r="Z171" i="6"/>
  <c r="Z231" i="6"/>
  <c r="Z230" i="6"/>
  <c r="Z185" i="6"/>
  <c r="Z184" i="6"/>
  <c r="Z182" i="6"/>
  <c r="Z181" i="6"/>
  <c r="Z180" i="6"/>
  <c r="Z256" i="6"/>
  <c r="Z254" i="6"/>
  <c r="Z253" i="6"/>
  <c r="Z199" i="6"/>
  <c r="Z197" i="6"/>
  <c r="Z177" i="6"/>
  <c r="Z176" i="6"/>
  <c r="Z221" i="6"/>
  <c r="Z220" i="6"/>
  <c r="Z218" i="6"/>
  <c r="Z217" i="6"/>
  <c r="Z200" i="6"/>
  <c r="Z194" i="6"/>
  <c r="Z193" i="6"/>
  <c r="Z192" i="6"/>
  <c r="Z191" i="6"/>
  <c r="Z189" i="6"/>
  <c r="Z198" i="6"/>
  <c r="Z167" i="6"/>
  <c r="Z166" i="6"/>
  <c r="Z164" i="6"/>
  <c r="Z163" i="6"/>
  <c r="Z160" i="6"/>
  <c r="Z158" i="6"/>
  <c r="Z114" i="6"/>
  <c r="Z113" i="6"/>
  <c r="Z111" i="6"/>
  <c r="Z234" i="6"/>
  <c r="Z233" i="6"/>
  <c r="Z225" i="6"/>
  <c r="Z103" i="6"/>
  <c r="Z106" i="6"/>
  <c r="Z89" i="6"/>
  <c r="Z76" i="6"/>
  <c r="Z100" i="6"/>
  <c r="Z99" i="6"/>
  <c r="Z98" i="6"/>
  <c r="Z96" i="6"/>
  <c r="Z94" i="6"/>
  <c r="Z93" i="6"/>
  <c r="Z91" i="6"/>
  <c r="Z72" i="6"/>
  <c r="Z63" i="6"/>
  <c r="Z62" i="6"/>
  <c r="Z60" i="6"/>
  <c r="Z85" i="6"/>
  <c r="Z84" i="6"/>
  <c r="Z83" i="6"/>
  <c r="Z81" i="6"/>
  <c r="Z80" i="6"/>
  <c r="Z70" i="6"/>
  <c r="Z68" i="6"/>
  <c r="Z67" i="6"/>
  <c r="Z66" i="6"/>
  <c r="Z65" i="6"/>
  <c r="Z61" i="6"/>
  <c r="Z59" i="6"/>
  <c r="Z54" i="6"/>
  <c r="Z53" i="6"/>
  <c r="Z51" i="6"/>
  <c r="Z45" i="6"/>
  <c r="Z39" i="6"/>
  <c r="Z38" i="6"/>
  <c r="Z37" i="6"/>
  <c r="Z35" i="6"/>
  <c r="Z34" i="6"/>
  <c r="Z33" i="6"/>
  <c r="Z32" i="6"/>
  <c r="Z25" i="6"/>
  <c r="Z24" i="6"/>
  <c r="V15" i="6" l="1"/>
  <c r="Z20" i="6"/>
  <c r="Z151" i="6"/>
  <c r="Z216" i="6"/>
  <c r="Z188" i="6"/>
  <c r="Z43" i="6"/>
  <c r="Z229" i="6"/>
  <c r="Z170" i="6"/>
  <c r="Z58" i="6"/>
  <c r="Z157" i="6"/>
  <c r="Z259" i="6"/>
  <c r="Z110" i="6"/>
  <c r="Z224" i="6"/>
  <c r="Z262" i="6"/>
  <c r="Z201" i="6" l="1"/>
  <c r="Z135" i="6" l="1"/>
  <c r="Z129" i="6" s="1"/>
  <c r="Z128" i="6" s="1"/>
  <c r="E3" i="37" l="1"/>
  <c r="J3" i="37" l="1"/>
  <c r="E4" i="37"/>
  <c r="J4" i="37" s="1"/>
  <c r="E5" i="37"/>
  <c r="J5" i="37" s="1"/>
  <c r="E6" i="37"/>
  <c r="J6" i="37" s="1"/>
  <c r="E7" i="37"/>
  <c r="J7" i="37" s="1"/>
  <c r="E8" i="37"/>
  <c r="J8" i="37" s="1"/>
  <c r="E9" i="37"/>
  <c r="J9" i="37" s="1"/>
  <c r="E10" i="37"/>
  <c r="J10" i="37" s="1"/>
  <c r="E11" i="37"/>
  <c r="J11" i="37" s="1"/>
  <c r="E12" i="37"/>
  <c r="J12" i="37" s="1"/>
  <c r="E13" i="37"/>
  <c r="J13" i="37" s="1"/>
  <c r="E14" i="37"/>
  <c r="J14" i="37" s="1"/>
  <c r="E15" i="37"/>
  <c r="J15" i="37" s="1"/>
  <c r="E16" i="37"/>
  <c r="J16" i="37" s="1"/>
  <c r="E17" i="37"/>
  <c r="J17" i="37" s="1"/>
  <c r="E18" i="37"/>
  <c r="J18" i="37" s="1"/>
  <c r="E19" i="37"/>
  <c r="J19" i="37" s="1"/>
  <c r="E20" i="37"/>
  <c r="J20" i="37" s="1"/>
  <c r="E21" i="37"/>
  <c r="J21" i="37" s="1"/>
  <c r="E22" i="37"/>
  <c r="J22" i="37" s="1"/>
  <c r="E23" i="37"/>
  <c r="J23" i="37" s="1"/>
  <c r="E24" i="37"/>
  <c r="J24" i="37" s="1"/>
  <c r="E25" i="37"/>
  <c r="J25" i="37" s="1"/>
  <c r="E26" i="37"/>
  <c r="J26" i="37" s="1"/>
  <c r="E27" i="37"/>
  <c r="J27" i="37" s="1"/>
  <c r="E28" i="37"/>
  <c r="J28" i="37" s="1"/>
  <c r="E29" i="37"/>
  <c r="J29" i="37" s="1"/>
  <c r="E30" i="37"/>
  <c r="J30" i="37" s="1"/>
  <c r="E31" i="37"/>
  <c r="J31" i="37" s="1"/>
  <c r="E32" i="37"/>
  <c r="J32" i="37" s="1"/>
  <c r="E33" i="37"/>
  <c r="J33" i="37" s="1"/>
  <c r="E34" i="37"/>
  <c r="J34" i="37" s="1"/>
  <c r="E35" i="37"/>
  <c r="J35" i="37" s="1"/>
  <c r="E36" i="37"/>
  <c r="J36" i="37" s="1"/>
  <c r="E37" i="37"/>
  <c r="J37" i="37" s="1"/>
  <c r="E38" i="37"/>
  <c r="J38" i="37" s="1"/>
  <c r="E39" i="37"/>
  <c r="J39" i="37" s="1"/>
  <c r="E40" i="37"/>
  <c r="J40" i="37" s="1"/>
  <c r="E41" i="37"/>
  <c r="J41" i="37" s="1"/>
  <c r="E42" i="37"/>
  <c r="J42" i="37" s="1"/>
  <c r="E43" i="37"/>
  <c r="J43" i="37" s="1"/>
  <c r="E44" i="37"/>
  <c r="J44" i="37" s="1"/>
  <c r="E45" i="37"/>
  <c r="J45" i="37" s="1"/>
  <c r="E46" i="37"/>
  <c r="J46" i="37" s="1"/>
  <c r="E47" i="37"/>
  <c r="J47" i="37" s="1"/>
  <c r="E48" i="37"/>
  <c r="J48" i="37" s="1"/>
  <c r="E49" i="37"/>
  <c r="J49" i="37" s="1"/>
  <c r="E50" i="37"/>
  <c r="J50" i="37" s="1"/>
  <c r="E51" i="37"/>
  <c r="J51" i="37" s="1"/>
  <c r="E52" i="37"/>
  <c r="J52" i="37" s="1"/>
  <c r="E53" i="37"/>
  <c r="J53" i="37" s="1"/>
  <c r="E54" i="37"/>
  <c r="J54" i="37" s="1"/>
  <c r="E55" i="37"/>
  <c r="J55" i="37" s="1"/>
  <c r="E56" i="37"/>
  <c r="J56" i="37" s="1"/>
  <c r="E57" i="37"/>
  <c r="J57" i="37" s="1"/>
  <c r="E58" i="37"/>
  <c r="J58" i="37" s="1"/>
  <c r="E59" i="37"/>
  <c r="J59" i="37" s="1"/>
  <c r="E60" i="37"/>
  <c r="J60" i="37" s="1"/>
  <c r="E61" i="37"/>
  <c r="J61" i="37" s="1"/>
  <c r="E62" i="37"/>
  <c r="J62" i="37" s="1"/>
  <c r="E63" i="37"/>
  <c r="J63" i="37" s="1"/>
  <c r="E64" i="37"/>
  <c r="J64" i="37" s="1"/>
  <c r="E65" i="37"/>
  <c r="J65" i="37" s="1"/>
  <c r="E66" i="37"/>
  <c r="J66" i="37" s="1"/>
  <c r="E67" i="37"/>
  <c r="J67" i="37" s="1"/>
  <c r="E68" i="37"/>
  <c r="J68" i="37" s="1"/>
  <c r="E69" i="37"/>
  <c r="J69" i="37" s="1"/>
  <c r="E70" i="37"/>
  <c r="J70" i="37" s="1"/>
  <c r="E71" i="37"/>
  <c r="J71" i="37" s="1"/>
  <c r="E72" i="37"/>
  <c r="J72" i="37" s="1"/>
  <c r="E73" i="37"/>
  <c r="J73" i="37" s="1"/>
  <c r="E74" i="37"/>
  <c r="J74" i="37" s="1"/>
  <c r="E75" i="37"/>
  <c r="J75" i="37" s="1"/>
  <c r="E76" i="37"/>
  <c r="J76" i="37" s="1"/>
  <c r="E77" i="37"/>
  <c r="J77" i="37" s="1"/>
  <c r="E78" i="37"/>
  <c r="J78" i="37" s="1"/>
  <c r="E79" i="37"/>
  <c r="J79" i="37" s="1"/>
  <c r="E80" i="37"/>
  <c r="J80" i="37" s="1"/>
  <c r="E81" i="37"/>
  <c r="J81" i="37" s="1"/>
  <c r="E82" i="37"/>
  <c r="J82" i="37" s="1"/>
  <c r="E83" i="37"/>
  <c r="J83" i="37" s="1"/>
  <c r="E84" i="37"/>
  <c r="J84" i="37" s="1"/>
  <c r="E85" i="37"/>
  <c r="J85" i="37" s="1"/>
  <c r="E86" i="37"/>
  <c r="J86" i="37" s="1"/>
  <c r="E87" i="37"/>
  <c r="J87" i="37" s="1"/>
  <c r="E88" i="37"/>
  <c r="J88" i="37" s="1"/>
  <c r="E89" i="37"/>
  <c r="J89" i="37" s="1"/>
  <c r="E90" i="37"/>
  <c r="J90" i="37" s="1"/>
  <c r="E91" i="37"/>
  <c r="J91" i="37" s="1"/>
  <c r="E92" i="37"/>
  <c r="J92" i="37" s="1"/>
  <c r="E93" i="37"/>
  <c r="J93" i="37" s="1"/>
  <c r="E94" i="37"/>
  <c r="J94" i="37" s="1"/>
  <c r="E95" i="37"/>
  <c r="J95" i="37" s="1"/>
  <c r="E96" i="37"/>
  <c r="J96" i="37" s="1"/>
  <c r="E97" i="37"/>
  <c r="J97" i="37" s="1"/>
  <c r="E98" i="37"/>
  <c r="J98" i="37" s="1"/>
  <c r="E99" i="37"/>
  <c r="J99" i="37" s="1"/>
  <c r="E100" i="37"/>
  <c r="J100" i="37" s="1"/>
  <c r="E101" i="37"/>
  <c r="J101" i="37" s="1"/>
  <c r="E102" i="37"/>
  <c r="J102" i="37" s="1"/>
  <c r="E103" i="37"/>
  <c r="J103" i="37" s="1"/>
  <c r="E104" i="37"/>
  <c r="J104" i="37" s="1"/>
  <c r="E105" i="37"/>
  <c r="J105" i="37" s="1"/>
  <c r="E106" i="37"/>
  <c r="J106" i="37" s="1"/>
  <c r="E107" i="37"/>
  <c r="J107" i="37" s="1"/>
  <c r="E108" i="37"/>
  <c r="J108" i="37" s="1"/>
  <c r="E109" i="37"/>
  <c r="J109" i="37" s="1"/>
  <c r="E110" i="37"/>
  <c r="J110" i="37" s="1"/>
  <c r="E111" i="37"/>
  <c r="J111" i="37" s="1"/>
  <c r="E112" i="37"/>
  <c r="J112" i="37" s="1"/>
  <c r="E113" i="37"/>
  <c r="J113" i="37" s="1"/>
  <c r="E114" i="37"/>
  <c r="J114" i="37" s="1"/>
  <c r="E115" i="37"/>
  <c r="J115" i="37" s="1"/>
  <c r="E116" i="37"/>
  <c r="J116" i="37" s="1"/>
  <c r="E117" i="37"/>
  <c r="J117" i="37" s="1"/>
  <c r="E118" i="37"/>
  <c r="J118" i="37" s="1"/>
  <c r="E119" i="37"/>
  <c r="J119" i="37" s="1"/>
  <c r="E120" i="37"/>
  <c r="J120" i="37" s="1"/>
  <c r="E121" i="37"/>
  <c r="J121" i="37" s="1"/>
  <c r="E122" i="37"/>
  <c r="J122" i="37" s="1"/>
  <c r="E123" i="37"/>
  <c r="J123" i="37" s="1"/>
  <c r="E124" i="37"/>
  <c r="J124" i="37" s="1"/>
  <c r="E125" i="37"/>
  <c r="J125" i="37" s="1"/>
  <c r="E126" i="37"/>
  <c r="J126" i="37" s="1"/>
  <c r="E127" i="37"/>
  <c r="J127" i="37" s="1"/>
  <c r="E128" i="37"/>
  <c r="J128" i="37" s="1"/>
  <c r="E129" i="37"/>
  <c r="J129" i="37" s="1"/>
  <c r="E130" i="37"/>
  <c r="J130" i="37" s="1"/>
  <c r="E131" i="37"/>
  <c r="J131" i="37" s="1"/>
  <c r="E132" i="37"/>
  <c r="J132" i="37" s="1"/>
  <c r="E133" i="37"/>
  <c r="J133" i="37" s="1"/>
  <c r="E134" i="37"/>
  <c r="J134" i="37" s="1"/>
  <c r="E135" i="37"/>
  <c r="J135" i="37" s="1"/>
  <c r="E136" i="37"/>
  <c r="J136" i="37" s="1"/>
  <c r="E137" i="37"/>
  <c r="J137" i="37" s="1"/>
  <c r="E138" i="37"/>
  <c r="J138" i="37" s="1"/>
  <c r="E139" i="37"/>
  <c r="J139" i="37" s="1"/>
  <c r="E140" i="37"/>
  <c r="J140" i="37" s="1"/>
  <c r="E141" i="37"/>
  <c r="J141" i="37" s="1"/>
  <c r="E142" i="37"/>
  <c r="J142" i="37" s="1"/>
  <c r="E143" i="37"/>
  <c r="J143" i="37" s="1"/>
  <c r="E144" i="37"/>
  <c r="J144" i="37" s="1"/>
  <c r="E145" i="37"/>
  <c r="J145" i="37" s="1"/>
  <c r="E146" i="37"/>
  <c r="J146" i="37" s="1"/>
  <c r="E147" i="37"/>
  <c r="J147" i="37" s="1"/>
  <c r="E148" i="37"/>
  <c r="J148" i="37" s="1"/>
  <c r="E149" i="37"/>
  <c r="J149" i="37" s="1"/>
  <c r="E150" i="37"/>
  <c r="J150" i="37" s="1"/>
  <c r="E151" i="37"/>
  <c r="J151" i="37" s="1"/>
  <c r="E152" i="37"/>
  <c r="J152" i="37" s="1"/>
  <c r="E153" i="37"/>
  <c r="J153" i="37" s="1"/>
  <c r="E154" i="37"/>
  <c r="J154" i="37" s="1"/>
  <c r="E155" i="37"/>
  <c r="J155" i="37" s="1"/>
  <c r="E156" i="37"/>
  <c r="J156" i="37" s="1"/>
  <c r="Z49" i="6" l="1"/>
  <c r="Z144" i="6"/>
  <c r="Z159" i="6"/>
  <c r="Z258" i="6"/>
  <c r="Z257" i="6" s="1"/>
  <c r="Z261" i="6"/>
  <c r="Z260" i="6" s="1"/>
  <c r="Z140" i="6"/>
  <c r="Z139" i="6" s="1"/>
  <c r="Z105" i="6"/>
  <c r="Z104" i="6" s="1"/>
  <c r="Z150" i="6"/>
  <c r="Z149" i="6" s="1"/>
  <c r="Z255" i="6"/>
  <c r="Z205" i="6"/>
  <c r="Z212" i="6"/>
  <c r="Z116" i="6" l="1"/>
  <c r="Z23" i="6"/>
  <c r="Z64" i="6"/>
  <c r="Z204" i="6"/>
  <c r="Z138" i="6"/>
  <c r="Z79" i="6"/>
  <c r="Z101" i="6"/>
  <c r="Z36" i="6"/>
  <c r="Z183" i="6"/>
  <c r="Z112" i="6"/>
  <c r="Z109" i="6" s="1"/>
  <c r="Z165" i="6"/>
  <c r="Z162" i="6" s="1"/>
  <c r="Z196" i="6"/>
  <c r="Z195" i="6" s="1"/>
  <c r="Z179" i="6"/>
  <c r="Z26" i="6"/>
  <c r="Z92" i="6"/>
  <c r="Z18" i="6"/>
  <c r="Z219" i="6"/>
  <c r="Z215" i="6" s="1"/>
  <c r="Z88" i="6"/>
  <c r="Z46" i="6"/>
  <c r="Z73" i="6"/>
  <c r="Z190" i="6"/>
  <c r="Z187" i="6" s="1"/>
  <c r="Z169" i="6"/>
  <c r="Z168" i="6" s="1"/>
  <c r="Z252" i="6"/>
  <c r="Z251" i="6" s="1"/>
  <c r="Z52" i="6"/>
  <c r="Z238" i="6"/>
  <c r="Z236" i="6" s="1"/>
  <c r="Z41" i="6"/>
  <c r="Z156" i="6"/>
  <c r="Z82" i="6"/>
  <c r="Z31" i="6"/>
  <c r="Z228" i="6"/>
  <c r="Z97" i="6"/>
  <c r="Z95" i="6" s="1"/>
  <c r="Z22" i="6" l="1"/>
  <c r="Z17" i="6" s="1"/>
  <c r="Z78" i="6"/>
  <c r="Z77" i="6" s="1"/>
  <c r="Z30" i="6"/>
  <c r="Z178" i="6"/>
  <c r="Z155" i="6" s="1"/>
  <c r="Z40" i="6"/>
  <c r="Z87" i="6"/>
  <c r="Z86" i="6" s="1"/>
  <c r="Z186" i="6"/>
  <c r="Z29" i="6" l="1"/>
  <c r="AA262" i="6" l="1"/>
  <c r="AA259" i="6"/>
  <c r="AA254" i="6"/>
  <c r="AA247" i="6"/>
  <c r="AA248" i="6"/>
  <c r="AA249" i="6"/>
  <c r="AA250" i="6"/>
  <c r="AA240" i="6"/>
  <c r="AA241" i="6"/>
  <c r="AA242" i="6"/>
  <c r="AA234" i="6"/>
  <c r="AA229" i="6"/>
  <c r="AA225" i="6"/>
  <c r="AA226" i="6"/>
  <c r="AA227" i="6"/>
  <c r="AA224" i="6"/>
  <c r="AA221" i="6"/>
  <c r="AA220" i="6"/>
  <c r="AA218" i="6"/>
  <c r="AA217" i="6"/>
  <c r="AA216" i="6"/>
  <c r="AA213" i="6"/>
  <c r="AA207" i="6"/>
  <c r="AA208" i="6"/>
  <c r="AA210" i="6"/>
  <c r="AA211" i="6"/>
  <c r="AA203" i="6"/>
  <c r="AA202" i="6"/>
  <c r="AA198" i="6"/>
  <c r="AA199" i="6"/>
  <c r="AA200" i="6"/>
  <c r="AA193" i="6"/>
  <c r="AA194" i="6"/>
  <c r="AA191" i="6"/>
  <c r="AA188" i="6"/>
  <c r="AA185" i="6"/>
  <c r="AA184" i="6"/>
  <c r="AA181" i="6"/>
  <c r="AA180" i="6"/>
  <c r="AA175" i="6"/>
  <c r="AA177" i="6"/>
  <c r="AA171" i="6"/>
  <c r="AA172" i="6"/>
  <c r="AA173" i="6"/>
  <c r="AA170" i="6"/>
  <c r="AA167" i="6"/>
  <c r="AA166" i="6"/>
  <c r="AA164" i="6"/>
  <c r="AA163" i="6"/>
  <c r="AA161" i="6"/>
  <c r="AA160" i="6"/>
  <c r="AA158" i="6"/>
  <c r="AA151" i="6"/>
  <c r="AA146" i="6"/>
  <c r="AA148" i="6"/>
  <c r="AA145" i="6"/>
  <c r="AA142" i="6"/>
  <c r="AA143" i="6"/>
  <c r="AA141" i="6"/>
  <c r="AA137" i="6"/>
  <c r="AA136" i="6"/>
  <c r="AA133" i="6"/>
  <c r="AA134" i="6"/>
  <c r="AA132" i="6"/>
  <c r="AA130" i="6"/>
  <c r="AA126" i="6"/>
  <c r="AA122" i="6"/>
  <c r="AA123" i="6"/>
  <c r="AA124" i="6"/>
  <c r="AA121" i="6"/>
  <c r="AA118" i="6"/>
  <c r="AA119" i="6"/>
  <c r="AA117" i="6"/>
  <c r="AA114" i="6"/>
  <c r="AA113" i="6"/>
  <c r="AA111" i="6"/>
  <c r="AA106" i="6"/>
  <c r="AA103" i="6"/>
  <c r="AA102" i="6"/>
  <c r="AA99" i="6"/>
  <c r="AA100" i="6"/>
  <c r="AA98" i="6"/>
  <c r="AA96" i="6"/>
  <c r="AA94" i="6"/>
  <c r="AA93" i="6"/>
  <c r="AA90" i="6"/>
  <c r="AA91" i="6"/>
  <c r="AA89" i="6"/>
  <c r="AA84" i="6"/>
  <c r="AA85" i="6"/>
  <c r="AA83" i="6"/>
  <c r="AA75" i="6"/>
  <c r="AA74" i="6"/>
  <c r="AA66" i="6"/>
  <c r="AA67" i="6"/>
  <c r="AA69" i="6"/>
  <c r="AA70" i="6"/>
  <c r="AA71" i="6"/>
  <c r="AA72" i="6"/>
  <c r="AA65" i="6"/>
  <c r="AA63" i="6"/>
  <c r="AA60" i="6"/>
  <c r="AA61" i="6"/>
  <c r="AA54" i="6"/>
  <c r="AA53" i="6"/>
  <c r="AA51" i="6"/>
  <c r="AA50" i="6"/>
  <c r="AA48" i="6"/>
  <c r="AA44" i="6"/>
  <c r="AA45" i="6"/>
  <c r="AA42" i="6"/>
  <c r="AA38" i="6"/>
  <c r="AA39" i="6"/>
  <c r="AA37" i="6"/>
  <c r="AA33" i="6"/>
  <c r="AA32" i="6"/>
  <c r="AA28" i="6"/>
  <c r="AA27" i="6"/>
  <c r="AA25" i="6"/>
  <c r="AA24" i="6"/>
  <c r="AA21" i="6"/>
  <c r="AA19" i="6"/>
  <c r="AA246" i="6" l="1"/>
  <c r="Z232" i="6" l="1"/>
  <c r="Z57" i="6" l="1"/>
  <c r="Z56" i="6" s="1"/>
  <c r="Z55" i="6" s="1"/>
  <c r="Z16" i="6" s="1"/>
  <c r="Z13" i="6" s="1"/>
  <c r="Z9" i="6" s="1"/>
  <c r="Z245" i="6" l="1"/>
  <c r="Z244" i="6" s="1"/>
  <c r="Z235" i="6" s="1"/>
  <c r="Z154" i="6" s="1"/>
  <c r="Z11" i="6" s="1"/>
  <c r="Z223" i="6"/>
  <c r="Z222" i="6" s="1"/>
  <c r="Z214" i="6" s="1"/>
  <c r="Z153" i="6" s="1"/>
  <c r="Z120" i="6"/>
  <c r="Z115" i="6" l="1"/>
  <c r="Z108" i="6" s="1"/>
  <c r="Z107" i="6" s="1"/>
  <c r="Z14" i="6" s="1"/>
  <c r="Z10" i="6" s="1"/>
  <c r="Z7" i="6" s="1"/>
  <c r="Z152" i="6"/>
  <c r="Z15" i="6" s="1"/>
  <c r="AA245" i="6" l="1"/>
  <c r="AA105" i="6" l="1"/>
  <c r="AA258" i="6"/>
  <c r="AA261" i="6"/>
  <c r="AA52" i="6" l="1"/>
  <c r="AA212" i="6"/>
  <c r="AA135" i="6"/>
  <c r="AA23" i="6"/>
  <c r="AA183" i="6"/>
  <c r="AA125" i="6"/>
  <c r="AA97" i="6"/>
  <c r="AA219" i="6"/>
  <c r="AA165" i="6"/>
  <c r="AA131" i="6"/>
  <c r="AA223" i="6"/>
  <c r="AA26" i="6"/>
  <c r="AA140" i="6"/>
  <c r="AA64" i="6" l="1"/>
  <c r="AA101" i="6"/>
  <c r="AA88" i="6"/>
  <c r="AA120" i="6"/>
  <c r="AA257" i="6"/>
  <c r="AA260" i="6"/>
  <c r="AA36" i="6"/>
  <c r="AA201" i="6"/>
  <c r="AA92" i="6"/>
  <c r="AA49" i="6"/>
  <c r="AA179" i="6"/>
  <c r="AA82" i="6"/>
  <c r="AA159" i="6"/>
  <c r="AA116" i="6"/>
  <c r="AA104" i="6"/>
  <c r="AA129" i="6"/>
  <c r="AA87" i="6"/>
  <c r="AA215" i="6" l="1"/>
  <c r="AA22" i="6"/>
  <c r="AA95" i="6"/>
  <c r="AA222" i="6"/>
  <c r="AA162" i="6"/>
  <c r="AA139" i="6"/>
  <c r="AA244" i="6"/>
  <c r="AA128" i="6" l="1"/>
  <c r="AA86" i="6"/>
  <c r="AA209" i="6" l="1"/>
  <c r="AA182" i="6"/>
  <c r="AA76" i="6"/>
  <c r="AA35" i="6" l="1"/>
  <c r="AA192" i="6"/>
  <c r="AA190" i="6"/>
  <c r="AA243" i="6"/>
  <c r="AA20" i="6"/>
  <c r="AA174" i="6"/>
  <c r="AA68" i="6"/>
  <c r="AA47" i="6"/>
  <c r="AA62" i="6"/>
  <c r="AA127" i="6"/>
  <c r="AA147" i="6"/>
  <c r="AA253" i="6"/>
  <c r="AA81" i="6"/>
  <c r="AA176" i="6"/>
  <c r="AA59" i="6"/>
  <c r="AA230" i="6"/>
  <c r="AA110" i="6"/>
  <c r="AA34" i="6"/>
  <c r="AA189" i="6"/>
  <c r="AA206" i="6"/>
  <c r="AA231" i="6"/>
  <c r="AA157" i="6"/>
  <c r="AA150" i="6"/>
  <c r="AA237" i="6"/>
  <c r="AA169" i="6" l="1"/>
  <c r="AA31" i="6"/>
  <c r="AA58" i="6"/>
  <c r="AA256" i="6"/>
  <c r="AA80" i="6"/>
  <c r="AA43" i="6"/>
  <c r="AA233" i="6"/>
  <c r="AA239" i="6"/>
  <c r="AA197" i="6"/>
  <c r="AA149" i="6"/>
  <c r="AA228" i="6" l="1"/>
  <c r="AA115" i="6"/>
  <c r="AA168" i="6"/>
  <c r="AA73" i="6"/>
  <c r="AA30" i="6"/>
  <c r="AA144" i="6"/>
  <c r="AA187" i="6"/>
  <c r="AA178" i="6"/>
  <c r="AA18" i="6"/>
  <c r="AA232" i="6"/>
  <c r="AA156" i="6"/>
  <c r="AA196" i="6"/>
  <c r="AA79" i="6" l="1"/>
  <c r="AA57" i="6"/>
  <c r="AA205" i="6"/>
  <c r="AA195" i="6"/>
  <c r="AA17" i="6"/>
  <c r="AA155" i="6"/>
  <c r="AA214" i="6"/>
  <c r="AA41" i="6"/>
  <c r="AA138" i="6"/>
  <c r="AA252" i="6"/>
  <c r="AA255" i="6"/>
  <c r="AA46" i="6"/>
  <c r="AA238" i="6"/>
  <c r="AA112" i="6"/>
  <c r="AA56" i="6" l="1"/>
  <c r="AA78" i="6"/>
  <c r="AA204" i="6"/>
  <c r="AA236" i="6"/>
  <c r="AA40" i="6"/>
  <c r="AA109" i="6"/>
  <c r="AA251" i="6"/>
  <c r="AA186" i="6"/>
  <c r="AA55" i="6" l="1"/>
  <c r="AA77" i="6"/>
  <c r="AA153" i="6"/>
  <c r="AA108" i="6"/>
  <c r="AA29" i="6"/>
  <c r="AA235" i="6"/>
  <c r="AA107" i="6" l="1"/>
  <c r="AA154" i="6"/>
  <c r="AA16" i="6" l="1"/>
  <c r="AA13" i="6"/>
  <c r="AA152" i="6"/>
  <c r="AA14" i="6"/>
  <c r="AA11" i="6"/>
  <c r="AA10" i="6" l="1"/>
  <c r="AA15" i="6" l="1"/>
  <c r="AA9" i="6"/>
  <c r="AA7" i="6" l="1"/>
  <c r="J11" i="40"/>
  <c r="J40" i="40"/>
  <c r="J8" i="40" s="1"/>
  <c r="J16" i="40" s="1"/>
  <c r="K41" i="40"/>
  <c r="K40" i="40" l="1"/>
  <c r="K8" i="40" s="1"/>
  <c r="K16" i="40" s="1"/>
  <c r="L41" i="40"/>
  <c r="L40" i="40" s="1"/>
  <c r="L8" i="40" s="1"/>
  <c r="L16" i="40" s="1"/>
  <c r="B30" i="39"/>
  <c r="K11" i="40"/>
  <c r="M41" i="40"/>
  <c r="N41" i="40" s="1"/>
  <c r="C11" i="39"/>
  <c r="C17" i="39" s="1"/>
  <c r="L11" i="40" l="1"/>
  <c r="O41" i="40"/>
  <c r="P41" i="40" s="1"/>
  <c r="Q41" i="40" s="1"/>
  <c r="Q40" i="40" s="1"/>
  <c r="Q8" i="40" s="1"/>
  <c r="N11" i="40"/>
  <c r="N40" i="40"/>
  <c r="N8" i="40" s="1"/>
  <c r="N16" i="40" s="1"/>
  <c r="O40" i="40"/>
  <c r="O8" i="40" s="1"/>
  <c r="O16" i="40" s="1"/>
  <c r="M11" i="40"/>
  <c r="M40" i="40"/>
  <c r="M8" i="40" s="1"/>
  <c r="M16" i="40" s="1"/>
  <c r="O11" i="40" l="1"/>
  <c r="P11" i="40"/>
  <c r="P40" i="40"/>
  <c r="P8" i="40" s="1"/>
  <c r="P16" i="40" s="1"/>
</calcChain>
</file>

<file path=xl/comments1.xml><?xml version="1.0" encoding="utf-8"?>
<comments xmlns="http://schemas.openxmlformats.org/spreadsheetml/2006/main">
  <authors>
    <author>Edmunds Pieķis</author>
  </authors>
  <commentList>
    <comment ref="D4" authorId="0" shapeId="0">
      <text>
        <r>
          <rPr>
            <b/>
            <sz val="11"/>
            <color indexed="81"/>
            <rFont val="Tahoma"/>
            <family val="2"/>
            <charset val="186"/>
          </rPr>
          <t>Publiskais finansējums - ES + VB (neskaitot valsts budžeta dotāciju pašvaldībām atbilstoši MK not. par akt. ieviešanu)</t>
        </r>
      </text>
    </comment>
    <comment ref="F4" authorId="0" shapeId="0">
      <text>
        <r>
          <rPr>
            <b/>
            <sz val="9"/>
            <color indexed="81"/>
            <rFont val="Tahoma"/>
            <family val="2"/>
            <charset val="186"/>
          </rPr>
          <t>Edmunds Pieķis:</t>
        </r>
        <r>
          <rPr>
            <sz val="9"/>
            <color indexed="81"/>
            <rFont val="Tahoma"/>
            <family val="2"/>
            <charset val="186"/>
          </rPr>
          <t>neskaitot valsts budžeta dotāciju pašvadlībām</t>
        </r>
      </text>
    </comment>
    <comment ref="G4" authorId="0" shapeId="0">
      <text>
        <r>
          <rPr>
            <b/>
            <sz val="9"/>
            <color indexed="81"/>
            <rFont val="Tahoma"/>
            <family val="2"/>
            <charset val="186"/>
          </rPr>
          <t>neskaitot valsts budžeta dotāciju pašvadlībām</t>
        </r>
      </text>
    </comment>
  </commentList>
</comments>
</file>

<file path=xl/comments2.xml><?xml version="1.0" encoding="utf-8"?>
<comments xmlns="http://schemas.openxmlformats.org/spreadsheetml/2006/main">
  <authors>
    <author>Edmunds Pieķis</author>
    <author>Signe Albiņa</author>
    <author>Gatis Meļņiks</author>
    <author>Anda Sile</author>
    <author>Davis Dedumets</author>
    <author>Reinis Dzelzkalējs</author>
  </authors>
  <commentList>
    <comment ref="E4" authorId="0" shapeId="0">
      <text>
        <r>
          <rPr>
            <b/>
            <sz val="11"/>
            <color indexed="81"/>
            <rFont val="Tahoma"/>
            <family val="2"/>
            <charset val="186"/>
          </rPr>
          <t>Publiskais finansējums - ES + VB (neskaitot valsts budžeta dotāciju pašvaldībām atbilstoši MK not. par akt. ieviešanu)</t>
        </r>
      </text>
    </comment>
    <comment ref="J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M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N4" authorId="0" shapeId="0">
      <text>
        <r>
          <rPr>
            <b/>
            <sz val="9"/>
            <color indexed="81"/>
            <rFont val="Tahoma"/>
            <family val="2"/>
            <charset val="186"/>
          </rPr>
          <t>neskaitot valsts budžeta dotāciju pašvadlībām</t>
        </r>
      </text>
    </comment>
    <comment ref="O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P4" authorId="0" shapeId="0">
      <text>
        <r>
          <rPr>
            <b/>
            <sz val="9"/>
            <color indexed="81"/>
            <rFont val="Tahoma"/>
            <family val="2"/>
            <charset val="186"/>
          </rPr>
          <t>neskaitot valsts budžeta dotāciju pašvadlībām</t>
        </r>
      </text>
    </comment>
    <comment ref="Q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R4" authorId="0" shapeId="0">
      <text>
        <r>
          <rPr>
            <b/>
            <sz val="9"/>
            <color indexed="81"/>
            <rFont val="Tahoma"/>
            <family val="2"/>
            <charset val="186"/>
          </rPr>
          <t>neskaitot valsts budžeta dotāciju pašvadlībām</t>
        </r>
      </text>
    </comment>
    <comment ref="S4" authorId="0" shapeId="0">
      <text>
        <r>
          <rPr>
            <b/>
            <sz val="9"/>
            <color indexed="81"/>
            <rFont val="Tahoma"/>
            <family val="2"/>
            <charset val="186"/>
          </rPr>
          <t>neskaitot valsts budžeta dotāciju pašvadlībām</t>
        </r>
      </text>
    </comment>
    <comment ref="T4" authorId="0" shapeId="0">
      <text>
        <r>
          <rPr>
            <b/>
            <sz val="9"/>
            <color indexed="81"/>
            <rFont val="Tahoma"/>
            <family val="2"/>
            <charset val="186"/>
          </rPr>
          <t>neskaitot valsts budžeta dotāciju pašvadlībām</t>
        </r>
      </text>
    </comment>
    <comment ref="U4" authorId="0" shapeId="0">
      <text>
        <r>
          <rPr>
            <b/>
            <sz val="9"/>
            <color indexed="81"/>
            <rFont val="Tahoma"/>
            <family val="2"/>
            <charset val="186"/>
          </rPr>
          <t>neskaitot valsts budžeta dotāciju pašvadlībām;
Negatīvs lielums nozīmē to, ka laika periodā no š.g. 9.maija līdz 30.jūnijam ir tikusi anulēta kāda no iepriekš fiksētām neatbilstībām</t>
        </r>
      </text>
    </comment>
    <comment ref="V4" authorId="0" shapeId="0">
      <text>
        <r>
          <rPr>
            <b/>
            <sz val="9"/>
            <color indexed="81"/>
            <rFont val="Tahoma"/>
            <family val="2"/>
            <charset val="186"/>
          </rPr>
          <t>neskaitot valsts budžeta dotāciju pašvadlībām</t>
        </r>
      </text>
    </comment>
    <comment ref="W4" authorId="0" shapeId="0">
      <text>
        <r>
          <rPr>
            <b/>
            <sz val="9"/>
            <color indexed="81"/>
            <rFont val="Tahoma"/>
            <family val="2"/>
            <charset val="186"/>
          </rPr>
          <t>neskaitot valsts budžeta dotāciju pašvadlībām</t>
        </r>
      </text>
    </comment>
    <comment ref="Y4" authorId="0" shapeId="0">
      <text>
        <r>
          <rPr>
            <b/>
            <sz val="9"/>
            <color indexed="81"/>
            <rFont val="Tahoma"/>
            <family val="2"/>
            <charset val="186"/>
          </rPr>
          <t>Edmunds Pieķis:</t>
        </r>
        <r>
          <rPr>
            <sz val="9"/>
            <color indexed="81"/>
            <rFont val="Tahoma"/>
            <family val="2"/>
            <charset val="186"/>
          </rPr>
          <t>neskaitot valsts budžeta dotāciju pašvadlībām</t>
        </r>
      </text>
    </comment>
    <comment ref="Y20" authorId="1" shapeId="0">
      <text>
        <r>
          <rPr>
            <b/>
            <sz val="9"/>
            <color indexed="81"/>
            <rFont val="Tahoma"/>
            <family val="2"/>
            <charset val="186"/>
          </rPr>
          <t>Signe Albiņa:</t>
        </r>
        <r>
          <rPr>
            <sz val="9"/>
            <color indexed="81"/>
            <rFont val="Tahoma"/>
            <family val="2"/>
            <charset val="186"/>
          </rPr>
          <t xml:space="preserve">
IZM informācija</t>
        </r>
      </text>
    </comment>
    <comment ref="Y35" authorId="1" shapeId="0">
      <text>
        <r>
          <rPr>
            <b/>
            <sz val="9"/>
            <color indexed="81"/>
            <rFont val="Tahoma"/>
            <family val="2"/>
            <charset val="186"/>
          </rPr>
          <t>Signe Albiņa:</t>
        </r>
        <r>
          <rPr>
            <sz val="9"/>
            <color indexed="81"/>
            <rFont val="Tahoma"/>
            <family val="2"/>
            <charset val="186"/>
          </rPr>
          <t xml:space="preserve">
IZM infio</t>
        </r>
      </text>
    </comment>
    <comment ref="Y43" authorId="1" shapeId="0">
      <text>
        <r>
          <rPr>
            <b/>
            <sz val="9"/>
            <color indexed="81"/>
            <rFont val="Tahoma"/>
            <family val="2"/>
            <charset val="186"/>
          </rPr>
          <t>Signe Albiņa:</t>
        </r>
        <r>
          <rPr>
            <sz val="9"/>
            <color indexed="81"/>
            <rFont val="Tahoma"/>
            <family val="2"/>
            <charset val="186"/>
          </rPr>
          <t xml:space="preserve">
LM cipars pēc noslēgtiem līgumiem ar FS</t>
        </r>
      </text>
    </comment>
    <comment ref="Y59" authorId="1" shapeId="0">
      <text>
        <r>
          <rPr>
            <b/>
            <sz val="9"/>
            <color indexed="81"/>
            <rFont val="Tahoma"/>
            <family val="2"/>
            <charset val="186"/>
          </rPr>
          <t>Signe Albiņa:</t>
        </r>
        <r>
          <rPr>
            <sz val="9"/>
            <color indexed="81"/>
            <rFont val="Tahoma"/>
            <family val="2"/>
            <charset val="186"/>
          </rPr>
          <t xml:space="preserve">
LM cipars pēc noslēgtiem līgumiem ar FS</t>
        </r>
      </text>
    </comment>
    <comment ref="Y68" authorId="1" shapeId="0">
      <text>
        <r>
          <rPr>
            <b/>
            <sz val="9"/>
            <color indexed="81"/>
            <rFont val="Tahoma"/>
            <family val="2"/>
            <charset val="186"/>
          </rPr>
          <t>Signe Albiņa:</t>
        </r>
        <r>
          <rPr>
            <sz val="9"/>
            <color indexed="81"/>
            <rFont val="Tahoma"/>
            <family val="2"/>
            <charset val="186"/>
          </rPr>
          <t xml:space="preserve">
LM cipars pēc noslēgtiem līgumiem ar FS</t>
        </r>
      </text>
    </comment>
    <comment ref="Y76" authorId="0" shapeId="0">
      <text>
        <r>
          <rPr>
            <b/>
            <sz val="9"/>
            <color indexed="81"/>
            <rFont val="Tahoma"/>
            <family val="2"/>
            <charset val="186"/>
          </rPr>
          <t>Edmunds Pieķis:</t>
        </r>
        <r>
          <rPr>
            <sz val="9"/>
            <color indexed="81"/>
            <rFont val="Tahoma"/>
            <family val="2"/>
            <charset val="186"/>
          </rPr>
          <t xml:space="preserve">
Formula nav korekta, labots manuāli!</t>
        </r>
      </text>
    </comment>
    <comment ref="Y80" authorId="1" shapeId="0">
      <text>
        <r>
          <rPr>
            <b/>
            <sz val="9"/>
            <color indexed="81"/>
            <rFont val="Tahoma"/>
            <family val="2"/>
            <charset val="186"/>
          </rPr>
          <t>Signe Albiņa:</t>
        </r>
        <r>
          <rPr>
            <sz val="9"/>
            <color indexed="81"/>
            <rFont val="Tahoma"/>
            <family val="2"/>
            <charset val="186"/>
          </rPr>
          <t xml:space="preserve">
LM cipars pēc noslēgtiem līgumiem ar FS</t>
        </r>
      </text>
    </comment>
    <comment ref="Y81" authorId="1" shapeId="0">
      <text>
        <r>
          <rPr>
            <b/>
            <sz val="9"/>
            <color indexed="81"/>
            <rFont val="Tahoma"/>
            <family val="2"/>
            <charset val="186"/>
          </rPr>
          <t>Signe Albiņa:</t>
        </r>
        <r>
          <rPr>
            <sz val="9"/>
            <color indexed="81"/>
            <rFont val="Tahoma"/>
            <family val="2"/>
            <charset val="186"/>
          </rPr>
          <t xml:space="preserve">
LM cipars atbilstoši noslēgtajam līgumam ar FS</t>
        </r>
      </text>
    </comment>
    <comment ref="P115" authorId="1" shapeId="0">
      <text>
        <r>
          <rPr>
            <b/>
            <sz val="9"/>
            <color indexed="81"/>
            <rFont val="Tahoma"/>
            <family val="2"/>
            <charset val="186"/>
          </rPr>
          <t>Signe Albiņa:</t>
        </r>
        <r>
          <rPr>
            <sz val="9"/>
            <color indexed="81"/>
            <rFont val="Tahoma"/>
            <family val="2"/>
            <charset val="186"/>
          </rPr>
          <t xml:space="preserve">
4. Pieņemt zināšanai, ka Ministru kabineta 2012.gada 8.maija sēdes protokollēmuma (prot. Nr.25 26.§) „Informatīvais ziņojums „Valsts budžeta virssaistību iespējas Eiropas Savienības struktūrfondu un Kohēzijas fonda 2007.-2013.gada plānošanas perioda aktivitātēs”” 7.punktā noteiktais ierobežojums attiecībā uz neatbilstību un lauzto līgumu ietvaros atbrīvoto finansējumu nav attiecināms Ekonomikas ministrijas ieviesto darbības programmas „Uzņēmējdarbība un inovācijas” aktivitāšu ietvaros. Neatbilstību un lauzto līgumu, ja to ietvaros nav veikti maksājumi, atbrīvoto finansējumu darbības programmā „Uzņēmējdarbība un inovācijas” var izmantot 2.1.2.4.aktivitātes „Augstas pievienotās vērtības investīcijas” ietvaros iesniegto projektu īstenošanai. Tāpat minētais ierobežojums nav attiecināms uz 1.3.1.2.aktivitāti „Atbalsts pašnodarbinātības un uzņēmējdarbības uzsākšanai”, kuras ietvaros konstatēto neatbilstību un lauzto līgumu atbrīvotais finansējums tiek pārcelts uz 1.3.1.1.1.apakšaktivitāti „Atbalsts nodarbināto apmācībām komersantu konkurētspējas veicināšanai - atbalsts partnerībās organizētām apmācībām”.</t>
        </r>
      </text>
    </comment>
    <comment ref="Y127" authorId="1" shapeId="0">
      <text>
        <r>
          <rPr>
            <b/>
            <sz val="9"/>
            <color indexed="81"/>
            <rFont val="Tahoma"/>
            <family val="2"/>
            <charset val="186"/>
          </rPr>
          <t>Signe Albiņa:</t>
        </r>
        <r>
          <rPr>
            <sz val="9"/>
            <color indexed="81"/>
            <rFont val="Tahoma"/>
            <family val="2"/>
            <charset val="186"/>
          </rPr>
          <t xml:space="preserve">
EM informācija, skat komentāru pie neizpildēm</t>
        </r>
      </text>
    </comment>
    <comment ref="J151" authorId="2" shapeId="0">
      <text>
        <r>
          <rPr>
            <b/>
            <sz val="9"/>
            <color indexed="81"/>
            <rFont val="Tahoma"/>
            <family val="2"/>
            <charset val="186"/>
          </rPr>
          <t>Gatis Meļņiks:</t>
        </r>
        <r>
          <rPr>
            <sz val="9"/>
            <color indexed="81"/>
            <rFont val="Tahoma"/>
            <family val="2"/>
            <charset val="186"/>
          </rPr>
          <t xml:space="preserve">
Anda Sile:
Pēc CFLA rīcībā esošās informācijas</t>
        </r>
      </text>
    </comment>
    <comment ref="Q157" authorId="2" shapeId="0">
      <text>
        <r>
          <rPr>
            <b/>
            <sz val="11"/>
            <color indexed="81"/>
            <rFont val="Tahoma"/>
            <family val="2"/>
            <charset val="186"/>
          </rPr>
          <t>Gatis Meļņiks:</t>
        </r>
        <r>
          <rPr>
            <sz val="11"/>
            <color indexed="81"/>
            <rFont val="Tahoma"/>
            <family val="2"/>
            <charset val="186"/>
          </rPr>
          <t xml:space="preserve">
43 905 965 latu apmērā, t.sk. ERAF līdzfinansējums 37 759 102 latu (saskaņā ar MK 13.03.2012. protokola Nr.14 32.§ 6.punktu lauzto projektu finansējums tiek novirzīts otrās projektu iesniegumu atlases kārtas īstenošanai.) </t>
        </r>
      </text>
    </comment>
    <comment ref="Y157" authorId="1" shapeId="0">
      <text>
        <r>
          <rPr>
            <b/>
            <sz val="9"/>
            <color indexed="81"/>
            <rFont val="Tahoma"/>
            <family val="2"/>
            <charset val="186"/>
          </rPr>
          <t>Signe Albiņa:</t>
        </r>
        <r>
          <rPr>
            <sz val="9"/>
            <color indexed="81"/>
            <rFont val="Tahoma"/>
            <family val="2"/>
            <charset val="186"/>
          </rPr>
          <t xml:space="preserve">
Izm informācija</t>
        </r>
      </text>
    </comment>
    <comment ref="Y174" authorId="1" shapeId="0">
      <text>
        <r>
          <rPr>
            <b/>
            <sz val="9"/>
            <color indexed="81"/>
            <rFont val="Tahoma"/>
            <family val="2"/>
            <charset val="186"/>
          </rPr>
          <t>Signe Albiņa:</t>
        </r>
        <r>
          <rPr>
            <sz val="9"/>
            <color indexed="81"/>
            <rFont val="Tahoma"/>
            <family val="2"/>
            <charset val="186"/>
          </rPr>
          <t xml:space="preserve">
LM cipars atbilstoši noslēgtajam līgumam ar FS</t>
        </r>
      </text>
    </comment>
    <comment ref="Y176" authorId="1" shapeId="0">
      <text>
        <r>
          <rPr>
            <b/>
            <sz val="9"/>
            <color indexed="81"/>
            <rFont val="Tahoma"/>
            <family val="2"/>
            <charset val="186"/>
          </rPr>
          <t>Signe Albiņa:</t>
        </r>
        <r>
          <rPr>
            <sz val="9"/>
            <color indexed="81"/>
            <rFont val="Tahoma"/>
            <family val="2"/>
            <charset val="186"/>
          </rPr>
          <t xml:space="preserve">
VARAM info</t>
        </r>
      </text>
    </comment>
    <comment ref="J180" authorId="2" shapeId="0">
      <text>
        <r>
          <rPr>
            <b/>
            <sz val="9"/>
            <color indexed="81"/>
            <rFont val="Tahoma"/>
            <family val="2"/>
            <charset val="186"/>
          </rPr>
          <t>Gatis Meļņiks:</t>
        </r>
        <r>
          <rPr>
            <sz val="9"/>
            <color indexed="81"/>
            <rFont val="Tahoma"/>
            <family val="2"/>
            <charset val="186"/>
          </rPr>
          <t xml:space="preserve">
Davis Dedumets VM:
Pēc CFLA rīcībā esošās informācijas</t>
        </r>
      </text>
    </comment>
    <comment ref="Y182" authorId="0" shapeId="0">
      <text>
        <r>
          <rPr>
            <b/>
            <sz val="9"/>
            <color indexed="81"/>
            <rFont val="Tahoma"/>
            <family val="2"/>
            <charset val="186"/>
          </rPr>
          <t>Edmunds Pieķis:</t>
        </r>
        <r>
          <rPr>
            <sz val="9"/>
            <color indexed="81"/>
            <rFont val="Tahoma"/>
            <family val="2"/>
            <charset val="186"/>
          </rPr>
          <t xml:space="preserve">
Formula nav korekta, labots manuāli!</t>
        </r>
      </text>
    </comment>
    <comment ref="Q188" authorId="2" shapeId="0">
      <text>
        <r>
          <rPr>
            <b/>
            <sz val="9"/>
            <color indexed="81"/>
            <rFont val="Tahoma"/>
            <family val="2"/>
            <charset val="186"/>
          </rPr>
          <t>Gatis Meļņiks:</t>
        </r>
        <r>
          <rPr>
            <sz val="9"/>
            <color indexed="81"/>
            <rFont val="Tahoma"/>
            <family val="2"/>
            <charset val="186"/>
          </rPr>
          <t xml:space="preserve">
2) 3.2.1.1.aktivitāte: 19 016 000 latu un 3.3.1.1.aktivitāte 126 330 222 latu (3.2.1.1.aktivitātē un 3.3.1.1.līgumi lauzti un vienlaikus apstiprināti jauni par lielāku finansējuma atbalsta apjomu pēc š.g. 8.maija, tomēr lēmums par šādu rīcību KDG lemts pirms š.g. 8.maija un lauzto līgumu summa var tikt izmantota jaunu projektu īstenošanai)</t>
        </r>
      </text>
    </comment>
    <comment ref="Y189" authorId="1" shapeId="0">
      <text>
        <r>
          <rPr>
            <b/>
            <sz val="9"/>
            <color indexed="81"/>
            <rFont val="Tahoma"/>
            <family val="2"/>
            <charset val="186"/>
          </rPr>
          <t>Signe Albiņa:</t>
        </r>
        <r>
          <rPr>
            <sz val="9"/>
            <color indexed="81"/>
            <rFont val="Tahoma"/>
            <family val="2"/>
            <charset val="186"/>
          </rPr>
          <t xml:space="preserve">
SAM info</t>
        </r>
      </text>
    </comment>
    <comment ref="Y192" authorId="1" shapeId="0">
      <text>
        <r>
          <rPr>
            <b/>
            <sz val="9"/>
            <color indexed="81"/>
            <rFont val="Tahoma"/>
            <family val="2"/>
            <charset val="186"/>
          </rPr>
          <t>Signe Albiņa:</t>
        </r>
        <r>
          <rPr>
            <sz val="9"/>
            <color indexed="81"/>
            <rFont val="Tahoma"/>
            <family val="2"/>
            <charset val="186"/>
          </rPr>
          <t xml:space="preserve">
SAM info</t>
        </r>
      </text>
    </comment>
    <comment ref="K197" authorId="3" shapeId="0">
      <text>
        <r>
          <rPr>
            <b/>
            <sz val="9"/>
            <color indexed="81"/>
            <rFont val="Tahoma"/>
            <family val="2"/>
            <charset val="186"/>
          </rPr>
          <t>Anda Sile:</t>
        </r>
        <r>
          <rPr>
            <sz val="9"/>
            <color indexed="81"/>
            <rFont val="Tahoma"/>
            <family val="2"/>
            <charset val="186"/>
          </rPr>
          <t xml:space="preserve">
Vēršam uzmanību, ka CFLA veidotajā pārskatā par neatbilstībām no ES SFKF VIS ir šāda summa. Lūdzam paskatīties vai norādītie dati ir korekti</t>
        </r>
      </text>
    </comment>
    <comment ref="Y197" authorId="1" shapeId="0">
      <text>
        <r>
          <rPr>
            <b/>
            <sz val="9"/>
            <color indexed="81"/>
            <rFont val="Tahoma"/>
            <family val="2"/>
            <charset val="186"/>
          </rPr>
          <t>Signe Albiņa:</t>
        </r>
        <r>
          <rPr>
            <sz val="9"/>
            <color indexed="81"/>
            <rFont val="Tahoma"/>
            <family val="2"/>
            <charset val="186"/>
          </rPr>
          <t xml:space="preserve">
IZM info</t>
        </r>
      </text>
    </comment>
    <comment ref="Q206" authorId="2" shapeId="0">
      <text>
        <r>
          <rPr>
            <b/>
            <sz val="9"/>
            <color indexed="81"/>
            <rFont val="Tahoma"/>
            <family val="2"/>
            <charset val="186"/>
          </rPr>
          <t>Gatis Meļņiks:</t>
        </r>
        <r>
          <rPr>
            <sz val="9"/>
            <color indexed="81"/>
            <rFont val="Tahoma"/>
            <family val="2"/>
            <charset val="186"/>
          </rPr>
          <t xml:space="preserve">
2) 3.2.1.1.aktivitāte: 19 016 000 latu un 3.3.1.1.aktivitāte 126 330 222 latu (3.2.1.1.aktivitātē un 3.3.1.1.līgumi lauzti un vienlaikus apstiprināti jauni par lielāku finansējuma atbalsta apjomu pēc š.g. 8.maija, tomēr lēmums par šādu rīcību KDG lemts pirms š.g. 8.maija un lauzto līgumu summa var tikt izmantota jaunu projektu īstenošanai)</t>
        </r>
      </text>
    </comment>
    <comment ref="Y206" authorId="1" shapeId="0">
      <text>
        <r>
          <rPr>
            <b/>
            <sz val="9"/>
            <color indexed="81"/>
            <rFont val="Tahoma"/>
            <family val="2"/>
            <charset val="186"/>
          </rPr>
          <t>Signe Albiņa:</t>
        </r>
        <r>
          <rPr>
            <sz val="9"/>
            <color indexed="81"/>
            <rFont val="Tahoma"/>
            <family val="2"/>
            <charset val="186"/>
          </rPr>
          <t xml:space="preserve">
SAM info</t>
        </r>
      </text>
    </comment>
    <comment ref="Q213" authorId="2" shapeId="0">
      <text>
        <r>
          <rPr>
            <b/>
            <sz val="9"/>
            <color indexed="81"/>
            <rFont val="Tahoma"/>
            <family val="2"/>
            <charset val="186"/>
          </rPr>
          <t>Gatis Meļņiks:</t>
        </r>
        <r>
          <rPr>
            <sz val="9"/>
            <color indexed="81"/>
            <rFont val="Tahoma"/>
            <family val="2"/>
            <charset val="186"/>
          </rPr>
          <t xml:space="preserve">
ar PV lauzto līgumu, kura kopējā summa bija 144 004 540,00 milj. LVL, t.sk. KF līdzfinansējums 100 079 289,00 milj.LVL., EK tika iesniegti priekšlikumi par finansējuma pārdali 3.3.1.2. un 3.3.2.1.aktivitātes potenciālajiem investīciju projektiem</t>
        </r>
      </text>
    </comment>
    <comment ref="J216" authorId="4" shapeId="0">
      <text>
        <r>
          <rPr>
            <b/>
            <sz val="9"/>
            <color indexed="81"/>
            <rFont val="Tahoma"/>
            <family val="2"/>
            <charset val="186"/>
          </rPr>
          <t>Davis Dedumets:</t>
        </r>
        <r>
          <rPr>
            <sz val="9"/>
            <color indexed="81"/>
            <rFont val="Tahoma"/>
            <family val="2"/>
            <charset val="186"/>
          </rPr>
          <t xml:space="preserve">
Pēc CFLA rīcībā esošās informācijas</t>
        </r>
      </text>
    </comment>
    <comment ref="Y230" authorId="2" shapeId="0">
      <text>
        <r>
          <rPr>
            <b/>
            <sz val="9"/>
            <color indexed="81"/>
            <rFont val="Tahoma"/>
            <family val="2"/>
            <charset val="186"/>
          </rPr>
          <t>Gatis Meļņiks:</t>
        </r>
        <r>
          <rPr>
            <sz val="9"/>
            <color indexed="81"/>
            <rFont val="Tahoma"/>
            <family val="2"/>
            <charset val="186"/>
          </rPr>
          <t xml:space="preserve">
Regina Vigula CFLA:
Šajā kolonnā nav korekti norādīt stapību starp 13 un 7 kolonnu, jo noslēgtā līguma 3DP/3.4.3.2.0/12/APIA/CFLA/003 summa ir LVL 7 999 059,07. Starpība ir projekta 3DP/3.4.3.2.0/10/APIA/CFLA/014 ietvaros konstatētā neatbilstība LVL 6039 (pirms 08.05.2012.) un pārējā summa - projekta ietvaros radies finasējuma ietaupījums. </t>
        </r>
      </text>
    </comment>
    <comment ref="Y233" authorId="1" shapeId="0">
      <text>
        <r>
          <rPr>
            <b/>
            <sz val="9"/>
            <color indexed="81"/>
            <rFont val="Tahoma"/>
            <family val="2"/>
            <charset val="186"/>
          </rPr>
          <t>Signe Albiņa:</t>
        </r>
        <r>
          <rPr>
            <sz val="9"/>
            <color indexed="81"/>
            <rFont val="Tahoma"/>
            <family val="2"/>
            <charset val="186"/>
          </rPr>
          <t xml:space="preserve">
Loģikas labojums, lai noslgēgto līgumu apjoms nav lielāks par pieejamo virssaistību finansējumu, klas radies neatbilstību un lauzto līgumu rezultātā</t>
        </r>
      </text>
    </comment>
    <comment ref="Y253" authorId="5" shapeId="0">
      <text>
        <r>
          <rPr>
            <b/>
            <sz val="9"/>
            <color indexed="81"/>
            <rFont val="Tahoma"/>
            <family val="2"/>
            <charset val="186"/>
          </rPr>
          <t>VARAM info</t>
        </r>
      </text>
    </comment>
    <comment ref="Y256" authorId="1" shapeId="0">
      <text>
        <r>
          <rPr>
            <b/>
            <sz val="9"/>
            <color indexed="81"/>
            <rFont val="Tahoma"/>
            <family val="2"/>
            <charset val="186"/>
          </rPr>
          <t>Signe Albiņa:</t>
        </r>
        <r>
          <rPr>
            <sz val="9"/>
            <color indexed="81"/>
            <rFont val="Tahoma"/>
            <family val="2"/>
            <charset val="186"/>
          </rPr>
          <t xml:space="preserve">
VARAM info</t>
        </r>
      </text>
    </comment>
  </commentList>
</comments>
</file>

<file path=xl/comments3.xml><?xml version="1.0" encoding="utf-8"?>
<comments xmlns="http://schemas.openxmlformats.org/spreadsheetml/2006/main">
  <authors>
    <author>Signe Albiņa</author>
  </authors>
  <commentList>
    <comment ref="K24" authorId="0" shapeId="0">
      <text>
        <r>
          <rPr>
            <b/>
            <sz val="9"/>
            <color indexed="81"/>
            <rFont val="Tahoma"/>
            <family val="2"/>
            <charset val="186"/>
          </rPr>
          <t>Signe Albiņa:</t>
        </r>
        <r>
          <rPr>
            <sz val="9"/>
            <color indexed="81"/>
            <rFont val="Tahoma"/>
            <family val="2"/>
            <charset val="186"/>
          </rPr>
          <t xml:space="preserve">
IZM V.Dadzīte: 4 projekti (033, 044, 050, 053)</t>
        </r>
      </text>
    </comment>
    <comment ref="L29" authorId="0" shapeId="0">
      <text>
        <r>
          <rPr>
            <b/>
            <sz val="9"/>
            <color indexed="81"/>
            <rFont val="Tahoma"/>
            <family val="2"/>
            <charset val="186"/>
          </rPr>
          <t>Signe Albiņa:</t>
        </r>
        <r>
          <rPr>
            <sz val="9"/>
            <color indexed="81"/>
            <rFont val="Tahoma"/>
            <family val="2"/>
            <charset val="186"/>
          </rPr>
          <t xml:space="preserve">
IZM V.Dadzīte: 2013.gada decembrī 6 otrās kārtas projektu (006, 007, 008, 009, 010, 011) FS nosūtīti IZM lēmumi par projekta iesniegumu apstiprināšanu ar nosacījumu.</t>
        </r>
      </text>
    </comment>
    <comment ref="K31" authorId="0" shapeId="0">
      <text>
        <r>
          <rPr>
            <b/>
            <sz val="9"/>
            <color indexed="81"/>
            <rFont val="Tahoma"/>
            <family val="2"/>
            <charset val="186"/>
          </rPr>
          <t>Signe Albiņa:</t>
        </r>
        <r>
          <rPr>
            <sz val="9"/>
            <color indexed="81"/>
            <rFont val="Tahoma"/>
            <family val="2"/>
            <charset val="186"/>
          </rPr>
          <t xml:space="preserve">
</t>
        </r>
        <r>
          <rPr>
            <b/>
            <sz val="9"/>
            <color indexed="81"/>
            <rFont val="Tahoma"/>
            <family val="2"/>
            <charset val="186"/>
          </rPr>
          <t>Solvita Dokāne:</t>
        </r>
        <r>
          <rPr>
            <sz val="9"/>
            <color indexed="81"/>
            <rFont val="Tahoma"/>
            <family val="2"/>
            <charset val="186"/>
          </rPr>
          <t xml:space="preserve">
Līgums par virssasitību daļu noslēgts 22.01.2013 par summu  7999059.07  lvl</t>
        </r>
      </text>
    </comment>
    <comment ref="K32" authorId="0" shapeId="0">
      <text>
        <r>
          <rPr>
            <sz val="9"/>
            <color indexed="81"/>
            <rFont val="Tahoma"/>
            <family val="2"/>
            <charset val="186"/>
          </rPr>
          <t xml:space="preserve">
</t>
        </r>
        <r>
          <rPr>
            <b/>
            <sz val="9"/>
            <color indexed="81"/>
            <rFont val="Tahoma"/>
            <family val="2"/>
            <charset val="186"/>
          </rPr>
          <t>Solvita Dokāne:</t>
        </r>
        <r>
          <rPr>
            <sz val="9"/>
            <color indexed="81"/>
            <rFont val="Tahoma"/>
            <family val="2"/>
            <charset val="186"/>
          </rPr>
          <t xml:space="preserve">
Aktivitātes 3.kārtas ietvaros Līgums par virssaistību piešķīrumu noslēgts 10.10.2013. par summu 7999059.07 lvl.
Aktivitātes 4.kārtas ietvaros 05.12.2013. apstiptināti 2 līgumi par kopējo summu 164 030 lvl, no kuriem virssaistību atlikums tiks kontraktēts 2014.gada I ceturksnī  104 833 lvl apmērā.</t>
        </r>
      </text>
    </comment>
  </commentList>
</comments>
</file>

<file path=xl/comments4.xml><?xml version="1.0" encoding="utf-8"?>
<comments xmlns="http://schemas.openxmlformats.org/spreadsheetml/2006/main">
  <authors>
    <author>Edmunds Pieķis</author>
    <author>Evelina Bole</author>
    <author>Gatis Meļņiks</author>
    <author>Artūrs Šluburs</author>
    <author>Anda Sile</author>
    <author>Davis Dedumets</author>
    <author>Aivija Stugle</author>
    <author>Reinis Dzelzkalējs</author>
  </authors>
  <commentList>
    <comment ref="E4" authorId="0" shapeId="0">
      <text>
        <r>
          <rPr>
            <b/>
            <sz val="11"/>
            <color indexed="81"/>
            <rFont val="Tahoma"/>
            <family val="2"/>
            <charset val="186"/>
          </rPr>
          <t>Publiskais finansējums - ES + VB (neskaitot valsts budžeta dotāciju pašvaldībām atbilstoši MK not. par akt. ieviešanu)</t>
        </r>
      </text>
    </comment>
    <comment ref="J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M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N4" authorId="0" shapeId="0">
      <text>
        <r>
          <rPr>
            <b/>
            <sz val="9"/>
            <color indexed="81"/>
            <rFont val="Tahoma"/>
            <family val="2"/>
            <charset val="186"/>
          </rPr>
          <t>neskaitot valsts budžeta dotāciju pašvadlībām</t>
        </r>
      </text>
    </comment>
    <comment ref="O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P4" authorId="0" shapeId="0">
      <text>
        <r>
          <rPr>
            <b/>
            <sz val="9"/>
            <color indexed="81"/>
            <rFont val="Tahoma"/>
            <family val="2"/>
            <charset val="186"/>
          </rPr>
          <t>neskaitot valsts budžeta dotāciju pašvadlībām</t>
        </r>
      </text>
    </comment>
    <comment ref="Q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R4" authorId="0" shapeId="0">
      <text>
        <r>
          <rPr>
            <b/>
            <sz val="9"/>
            <color indexed="81"/>
            <rFont val="Tahoma"/>
            <family val="2"/>
            <charset val="186"/>
          </rPr>
          <t>neskaitot valsts budžeta dotāciju pašvadlībām</t>
        </r>
      </text>
    </comment>
    <comment ref="S4" authorId="0" shapeId="0">
      <text>
        <r>
          <rPr>
            <b/>
            <sz val="9"/>
            <color indexed="81"/>
            <rFont val="Tahoma"/>
            <family val="2"/>
            <charset val="186"/>
          </rPr>
          <t>neskaitot valsts budžeta dotāciju pašvadlībām</t>
        </r>
      </text>
    </comment>
    <comment ref="U4" authorId="0" shapeId="0">
      <text>
        <r>
          <rPr>
            <b/>
            <sz val="9"/>
            <color indexed="81"/>
            <rFont val="Tahoma"/>
            <family val="2"/>
            <charset val="186"/>
          </rPr>
          <t>neskaitot valsts budžeta dotāciju pašvadlībām</t>
        </r>
      </text>
    </comment>
    <comment ref="V4" authorId="0" shapeId="0">
      <text>
        <r>
          <rPr>
            <b/>
            <sz val="9"/>
            <color indexed="81"/>
            <rFont val="Tahoma"/>
            <family val="2"/>
            <charset val="186"/>
          </rPr>
          <t>neskaitot valsts budžeta dotāciju pašvadlībām;
Negatīvs lielums nozīmē to, ka laika periodā no š.g. 9.maija līdz 30.jūnijam ir tikusi anulēta kāda no iepriekš fiksētām neatbilstībām</t>
        </r>
      </text>
    </comment>
    <comment ref="W4" authorId="0" shapeId="0">
      <text>
        <r>
          <rPr>
            <b/>
            <sz val="9"/>
            <color indexed="81"/>
            <rFont val="Tahoma"/>
            <family val="2"/>
            <charset val="186"/>
          </rPr>
          <t>neskaitot valsts budžeta dotāciju pašvadlībām</t>
        </r>
      </text>
    </comment>
    <comment ref="X4" authorId="0" shapeId="0">
      <text>
        <r>
          <rPr>
            <b/>
            <sz val="9"/>
            <color indexed="81"/>
            <rFont val="Tahoma"/>
            <family val="2"/>
            <charset val="186"/>
          </rPr>
          <t>neskaitot valsts budžeta dotāciju pašvadlībām</t>
        </r>
      </text>
    </comment>
    <comment ref="Y4" authorId="0" shapeId="0">
      <text>
        <r>
          <rPr>
            <b/>
            <sz val="9"/>
            <color indexed="81"/>
            <rFont val="Tahoma"/>
            <family val="2"/>
            <charset val="186"/>
          </rPr>
          <t>neskaitot valsts budžeta dotāciju pašvadlībām</t>
        </r>
        <r>
          <rPr>
            <sz val="9"/>
            <color indexed="81"/>
            <rFont val="Tahoma"/>
            <family val="2"/>
            <charset val="186"/>
          </rPr>
          <t xml:space="preserve">
</t>
        </r>
      </text>
    </comment>
    <comment ref="Z4" authorId="0" shapeId="0">
      <text>
        <r>
          <rPr>
            <b/>
            <sz val="9"/>
            <color indexed="81"/>
            <rFont val="Tahoma"/>
            <family val="2"/>
            <charset val="186"/>
          </rPr>
          <t>Edmunds Pieķis:</t>
        </r>
        <r>
          <rPr>
            <sz val="9"/>
            <color indexed="81"/>
            <rFont val="Tahoma"/>
            <family val="2"/>
            <charset val="186"/>
          </rPr>
          <t>neskaitot valsts budžeta dotāciju pašvadlībām</t>
        </r>
      </text>
    </comment>
    <comment ref="E34" authorId="1" shapeId="0">
      <text>
        <r>
          <rPr>
            <b/>
            <sz val="9"/>
            <color indexed="81"/>
            <rFont val="Tahoma"/>
            <family val="2"/>
            <charset val="186"/>
          </rPr>
          <t xml:space="preserve">Evelina Bole:
</t>
        </r>
        <r>
          <rPr>
            <sz val="12"/>
            <color indexed="81"/>
            <rFont val="Tahoma"/>
            <family val="2"/>
            <charset val="186"/>
          </rPr>
          <t>Projektos tiek piesaistīts  "Attiecināmais cits publiskais finansējums", kas MKN norādīts kā "nacionālais publiskais finansējums no valsts budžeta līdzekļiem". Attiecīgi mainās arī likme.
S.Feifere (IZM) - ņemot vērā, ka projekta pieteicēji lielākā daļa ir valsts budžeta iestādes, uzskatām, ka piemērojams DPP noteiktais finansējums - LVL 11 564 421</t>
        </r>
      </text>
    </comment>
    <comment ref="Z34" authorId="2" shapeId="0">
      <text>
        <r>
          <rPr>
            <b/>
            <sz val="9"/>
            <color indexed="81"/>
            <rFont val="Tahoma"/>
            <family val="2"/>
            <charset val="186"/>
          </rPr>
          <t>Gatis Meļņiks:</t>
        </r>
        <r>
          <rPr>
            <sz val="9"/>
            <color indexed="81"/>
            <rFont val="Tahoma"/>
            <family val="2"/>
            <charset val="186"/>
          </rPr>
          <t xml:space="preserve">
VIAA: virssaistību apjoms ir LVL 509 500 un tas ir piesaistīts īstenošanā esošajam projektam</t>
        </r>
      </text>
    </comment>
    <comment ref="Z43" authorId="2" shapeId="0">
      <text>
        <r>
          <rPr>
            <b/>
            <sz val="9"/>
            <color indexed="81"/>
            <rFont val="Tahoma"/>
            <family val="2"/>
            <charset val="186"/>
          </rPr>
          <t>Gatis Meļņiks:</t>
        </r>
        <r>
          <rPr>
            <sz val="9"/>
            <color indexed="81"/>
            <rFont val="Tahoma"/>
            <family val="2"/>
            <charset val="186"/>
          </rPr>
          <t xml:space="preserve">
LM 12.04.2013.: Apakšaktivitātei 1.2.2.1.2. faktiski noslēgto līgumu apjoms 51 636 vietā jābūt 0</t>
        </r>
      </text>
    </comment>
    <comment ref="I59" authorId="2" shapeId="0">
      <text>
        <r>
          <rPr>
            <b/>
            <sz val="9"/>
            <color indexed="81"/>
            <rFont val="Tahoma"/>
            <family val="2"/>
            <charset val="186"/>
          </rPr>
          <t>Gatis Meļņiks:</t>
        </r>
        <r>
          <rPr>
            <sz val="9"/>
            <color indexed="81"/>
            <rFont val="Tahoma"/>
            <family val="2"/>
            <charset val="186"/>
          </rPr>
          <t xml:space="preserve">
21.05.2013 labots no 6 978 964 uz 6 976 029</t>
        </r>
      </text>
    </comment>
    <comment ref="Z59" authorId="2" shapeId="0">
      <text>
        <r>
          <rPr>
            <b/>
            <sz val="9"/>
            <color indexed="81"/>
            <rFont val="Tahoma"/>
            <family val="2"/>
            <charset val="186"/>
          </rPr>
          <t>Gatis Meļņiks:</t>
        </r>
        <r>
          <rPr>
            <sz val="9"/>
            <color indexed="81"/>
            <rFont val="Tahoma"/>
            <family val="2"/>
            <charset val="186"/>
          </rPr>
          <t xml:space="preserve">
Anna Vostroiglova NVA:
 līgumā 7 571 089 LVL</t>
        </r>
      </text>
    </comment>
    <comment ref="I68" authorId="2" shapeId="0">
      <text>
        <r>
          <rPr>
            <b/>
            <sz val="9"/>
            <color indexed="81"/>
            <rFont val="Tahoma"/>
            <family val="2"/>
            <charset val="186"/>
          </rPr>
          <t>Gatis Meļņiks:</t>
        </r>
        <r>
          <rPr>
            <sz val="9"/>
            <color indexed="81"/>
            <rFont val="Tahoma"/>
            <family val="2"/>
            <charset val="186"/>
          </rPr>
          <t xml:space="preserve">
Aldis Abelis:
Šobrīd MK noteikumos ESF finansējums ir 13 885 349 LVL.</t>
        </r>
      </text>
    </comment>
    <comment ref="Z68" authorId="2" shapeId="0">
      <text>
        <r>
          <rPr>
            <b/>
            <sz val="9"/>
            <color indexed="81"/>
            <rFont val="Tahoma"/>
            <family val="2"/>
            <charset val="186"/>
          </rPr>
          <t>Gatis Meļņiks:</t>
        </r>
        <r>
          <rPr>
            <sz val="9"/>
            <color indexed="81"/>
            <rFont val="Tahoma"/>
            <family val="2"/>
            <charset val="186"/>
          </rPr>
          <t xml:space="preserve">
LM 12.04.2013: Aktivitātei 1.3.1.5 faktiski noslēgto līgumu apjoms 15 556 285 vietā jābūt 15 553 379</t>
        </r>
      </text>
    </comment>
    <comment ref="Z76" authorId="0" shapeId="0">
      <text>
        <r>
          <rPr>
            <b/>
            <sz val="9"/>
            <color indexed="81"/>
            <rFont val="Tahoma"/>
            <family val="2"/>
            <charset val="186"/>
          </rPr>
          <t>Edmunds Pieķis:</t>
        </r>
        <r>
          <rPr>
            <sz val="9"/>
            <color indexed="81"/>
            <rFont val="Tahoma"/>
            <family val="2"/>
            <charset val="186"/>
          </rPr>
          <t xml:space="preserve">
Formula nav korekta, labots manuāli!</t>
        </r>
      </text>
    </comment>
    <comment ref="Z80" authorId="2" shapeId="0">
      <text>
        <r>
          <rPr>
            <b/>
            <sz val="9"/>
            <color indexed="81"/>
            <rFont val="Tahoma"/>
            <family val="2"/>
            <charset val="186"/>
          </rPr>
          <t>Gatis Meļņiks:</t>
        </r>
        <r>
          <rPr>
            <sz val="9"/>
            <color indexed="81"/>
            <rFont val="Tahoma"/>
            <family val="2"/>
            <charset val="186"/>
          </rPr>
          <t xml:space="preserve">
Anna Vostroiglova NVA:
līgumā 1 194 461 LVL</t>
        </r>
      </text>
    </comment>
    <comment ref="Z81" authorId="2" shapeId="0">
      <text>
        <r>
          <rPr>
            <b/>
            <sz val="9"/>
            <color indexed="81"/>
            <rFont val="Tahoma"/>
            <family val="2"/>
            <charset val="186"/>
          </rPr>
          <t>Gatis Meļņiks:</t>
        </r>
        <r>
          <rPr>
            <sz val="9"/>
            <color indexed="81"/>
            <rFont val="Tahoma"/>
            <family val="2"/>
            <charset val="186"/>
          </rPr>
          <t xml:space="preserve">
Anna Vostroiglova NVA:
līgumā 930 710 LVL</t>
        </r>
      </text>
    </comment>
    <comment ref="P100" authorId="2" shapeId="0">
      <text>
        <r>
          <rPr>
            <b/>
            <sz val="9"/>
            <color indexed="81"/>
            <rFont val="Tahoma"/>
            <family val="2"/>
            <charset val="186"/>
          </rPr>
          <t>Gatis Meļņiks:</t>
        </r>
        <r>
          <rPr>
            <sz val="9"/>
            <color indexed="81"/>
            <rFont val="Tahoma"/>
            <family val="2"/>
            <charset val="186"/>
          </rPr>
          <t xml:space="preserve">
Liene Dorbe VKanc:
44393,67</t>
        </r>
      </text>
    </comment>
    <comment ref="E147" authorId="3" shapeId="0">
      <text>
        <r>
          <rPr>
            <b/>
            <sz val="9"/>
            <color indexed="81"/>
            <rFont val="Tahoma"/>
            <family val="2"/>
            <charset val="186"/>
          </rPr>
          <t>Artūrs Šluburs:</t>
        </r>
        <r>
          <rPr>
            <sz val="9"/>
            <color indexed="81"/>
            <rFont val="Tahoma"/>
            <family val="2"/>
            <charset val="186"/>
          </rPr>
          <t xml:space="preserve">
MK noteikumi par aktivitātes īstenošanu nav apstiprināti, līdz ar to nav zināms arī precīzs finansējuma apjoms</t>
        </r>
      </text>
    </comment>
    <comment ref="J151" authorId="2" shapeId="0">
      <text>
        <r>
          <rPr>
            <b/>
            <sz val="9"/>
            <color indexed="81"/>
            <rFont val="Tahoma"/>
            <family val="2"/>
            <charset val="186"/>
          </rPr>
          <t>Gatis Meļņiks:</t>
        </r>
        <r>
          <rPr>
            <sz val="9"/>
            <color indexed="81"/>
            <rFont val="Tahoma"/>
            <family val="2"/>
            <charset val="186"/>
          </rPr>
          <t xml:space="preserve">
Anda Sile:
Pēc CFLA rīcībā esošās informācijas</t>
        </r>
      </text>
    </comment>
    <comment ref="E157" authorId="2" shapeId="0">
      <text>
        <r>
          <rPr>
            <b/>
            <sz val="9"/>
            <color indexed="81"/>
            <rFont val="Tahoma"/>
            <family val="2"/>
            <charset val="186"/>
          </rPr>
          <t>Gatis Meļņiks:</t>
        </r>
        <r>
          <rPr>
            <sz val="9"/>
            <color indexed="81"/>
            <rFont val="Tahoma"/>
            <family val="2"/>
            <charset val="186"/>
          </rPr>
          <t xml:space="preserve">
VIAA: 69 135 611 DPP</t>
        </r>
      </text>
    </comment>
    <comment ref="Q157" authorId="2" shapeId="0">
      <text>
        <r>
          <rPr>
            <b/>
            <sz val="11"/>
            <color indexed="81"/>
            <rFont val="Tahoma"/>
            <family val="2"/>
            <charset val="186"/>
          </rPr>
          <t>Gatis Meļņiks:</t>
        </r>
        <r>
          <rPr>
            <sz val="11"/>
            <color indexed="81"/>
            <rFont val="Tahoma"/>
            <family val="2"/>
            <charset val="186"/>
          </rPr>
          <t xml:space="preserve">
43 905 965 latu apmērā, t.sk. ERAF līdzfinansējums 37 759 102 latu (saskaņā ar MK 13.03.2012. protokola Nr.14 32.§ 6.punktu lauzto projektu finansējums tiek novirzīts otrās projektu iesniegumu atlases kārtas īstenošanai.) </t>
        </r>
      </text>
    </comment>
    <comment ref="J180" authorId="2" shapeId="0">
      <text>
        <r>
          <rPr>
            <b/>
            <sz val="9"/>
            <color indexed="81"/>
            <rFont val="Tahoma"/>
            <family val="2"/>
            <charset val="186"/>
          </rPr>
          <t>Gatis Meļņiks:</t>
        </r>
        <r>
          <rPr>
            <sz val="9"/>
            <color indexed="81"/>
            <rFont val="Tahoma"/>
            <family val="2"/>
            <charset val="186"/>
          </rPr>
          <t xml:space="preserve">
Davis Dedumets VM:
Pēc CFLA rīcībā esošās informācijas</t>
        </r>
      </text>
    </comment>
    <comment ref="Z182" authorId="0" shapeId="0">
      <text>
        <r>
          <rPr>
            <b/>
            <sz val="9"/>
            <color indexed="81"/>
            <rFont val="Tahoma"/>
            <family val="2"/>
            <charset val="186"/>
          </rPr>
          <t>Edmunds Pieķis:</t>
        </r>
        <r>
          <rPr>
            <sz val="9"/>
            <color indexed="81"/>
            <rFont val="Tahoma"/>
            <family val="2"/>
            <charset val="186"/>
          </rPr>
          <t xml:space="preserve">
Formula nav korekta, labots manuāli!</t>
        </r>
      </text>
    </comment>
    <comment ref="Q188" authorId="2" shapeId="0">
      <text>
        <r>
          <rPr>
            <b/>
            <sz val="9"/>
            <color indexed="81"/>
            <rFont val="Tahoma"/>
            <family val="2"/>
            <charset val="186"/>
          </rPr>
          <t>Gatis Meļņiks:</t>
        </r>
        <r>
          <rPr>
            <sz val="9"/>
            <color indexed="81"/>
            <rFont val="Tahoma"/>
            <family val="2"/>
            <charset val="186"/>
          </rPr>
          <t xml:space="preserve">
2) 3.2.1.1.aktivitāte: 19 016 000 latu un 3.3.1.1.aktivitāte 126 330 222 latu (3.2.1.1.aktivitātē un 3.3.1.1.līgumi lauzti un vienlaikus apstiprināti jauni par lielāku finansējuma atbalsta apjomu pēc š.g. 8.maija, tomēr lēmums par šādu rīcību KDG lemts pirms š.g. 8.maija un lauzto līgumu summa var tikt izmantota jaunu projektu īstenošanai)</t>
        </r>
      </text>
    </comment>
    <comment ref="K197" authorId="4" shapeId="0">
      <text>
        <r>
          <rPr>
            <b/>
            <sz val="9"/>
            <color indexed="81"/>
            <rFont val="Tahoma"/>
            <family val="2"/>
            <charset val="186"/>
          </rPr>
          <t>Anda Sile:</t>
        </r>
        <r>
          <rPr>
            <sz val="9"/>
            <color indexed="81"/>
            <rFont val="Tahoma"/>
            <family val="2"/>
            <charset val="186"/>
          </rPr>
          <t xml:space="preserve">
Vēršam uzmanību, ka CFLA veidotajā pārskatā par neatbilstībām no ES SFKF VIS ir šāda summa. Lūdzam paskatīties vai norādītie dati ir korekti</t>
        </r>
      </text>
    </comment>
    <comment ref="Q206" authorId="2" shapeId="0">
      <text>
        <r>
          <rPr>
            <b/>
            <sz val="9"/>
            <color indexed="81"/>
            <rFont val="Tahoma"/>
            <family val="2"/>
            <charset val="186"/>
          </rPr>
          <t>Gatis Meļņiks:</t>
        </r>
        <r>
          <rPr>
            <sz val="9"/>
            <color indexed="81"/>
            <rFont val="Tahoma"/>
            <family val="2"/>
            <charset val="186"/>
          </rPr>
          <t xml:space="preserve">
2) 3.2.1.1.aktivitāte: 19 016 000 latu un 3.3.1.1.aktivitāte 126 330 222 latu (3.2.1.1.aktivitātē un 3.3.1.1.līgumi lauzti un vienlaikus apstiprināti jauni par lielāku finansējuma atbalsta apjomu pēc š.g. 8.maija, tomēr lēmums par šādu rīcību KDG lemts pirms š.g. 8.maija un lauzto līgumu summa var tikt izmantota jaunu projektu īstenošanai)</t>
        </r>
      </text>
    </comment>
    <comment ref="U206" authorId="0" shapeId="0">
      <text>
        <r>
          <rPr>
            <b/>
            <sz val="12"/>
            <color indexed="81"/>
            <rFont val="Tahoma"/>
            <family val="2"/>
            <charset val="186"/>
          </rPr>
          <t>Edmunds Pieķis:</t>
        </r>
        <r>
          <rPr>
            <sz val="12"/>
            <color indexed="81"/>
            <rFont val="Tahoma"/>
            <family val="2"/>
            <charset val="186"/>
          </rPr>
          <t xml:space="preserve">
labots manuāli pret iepriekšējā mēneša datiem !!! Kaut kas nav pareizi ar izvilkumu, jo izmaiņas teorētiski nav, bet summa nez kāpēc izejas datos samazinās</t>
        </r>
        <r>
          <rPr>
            <sz val="9"/>
            <color indexed="81"/>
            <rFont val="Tahoma"/>
            <family val="2"/>
            <charset val="186"/>
          </rPr>
          <t xml:space="preserve">
</t>
        </r>
      </text>
    </comment>
    <comment ref="Q213" authorId="2" shapeId="0">
      <text>
        <r>
          <rPr>
            <b/>
            <sz val="9"/>
            <color indexed="81"/>
            <rFont val="Tahoma"/>
            <family val="2"/>
            <charset val="186"/>
          </rPr>
          <t>Gatis Meļņiks:</t>
        </r>
        <r>
          <rPr>
            <sz val="9"/>
            <color indexed="81"/>
            <rFont val="Tahoma"/>
            <family val="2"/>
            <charset val="186"/>
          </rPr>
          <t xml:space="preserve">
ar PV lauzto līgumu, kura kopējā summa bija 144 004 540,00 milj. LVL, t.sk. KF līdzfinansējums 100 079 289,00 milj.LVL., EK tika iesniegti priekšlikumi par finansējuma pārdali 3.3.1.2. un 3.3.2.1.aktivitātes potenciālajiem investīciju projektiem</t>
        </r>
      </text>
    </comment>
    <comment ref="J216" authorId="5" shapeId="0">
      <text>
        <r>
          <rPr>
            <b/>
            <sz val="9"/>
            <color indexed="81"/>
            <rFont val="Tahoma"/>
            <family val="2"/>
            <charset val="186"/>
          </rPr>
          <t>Davis Dedumets:</t>
        </r>
        <r>
          <rPr>
            <sz val="9"/>
            <color indexed="81"/>
            <rFont val="Tahoma"/>
            <family val="2"/>
            <charset val="186"/>
          </rPr>
          <t xml:space="preserve">
Pēc CFLA rīcībā esošās informācijas</t>
        </r>
      </text>
    </comment>
    <comment ref="Z230" authorId="2" shapeId="0">
      <text>
        <r>
          <rPr>
            <b/>
            <sz val="9"/>
            <color indexed="81"/>
            <rFont val="Tahoma"/>
            <family val="2"/>
            <charset val="186"/>
          </rPr>
          <t>Gatis Meļņiks:</t>
        </r>
        <r>
          <rPr>
            <sz val="9"/>
            <color indexed="81"/>
            <rFont val="Tahoma"/>
            <family val="2"/>
            <charset val="186"/>
          </rPr>
          <t xml:space="preserve">
Regina Vigula CFLA:
Šajā kolonnā nav korekti norādīt stapību starp 13 un 7 kolonnu, jo noslēgtā līguma 3DP/3.4.3.2.0/12/APIA/CFLA/003 summa ir LVL 7 999 059,07. Starpība ir projekta 3DP/3.4.3.2.0/10/APIA/CFLA/014 ietvaros konstatētā neatbilstība LVL 6039 (pirms 08.05.2012.) un pārējā summa - projekta ietvaros radies finasējuma ietaupījums. </t>
        </r>
      </text>
    </comment>
    <comment ref="H253" authorId="6" shapeId="0">
      <text>
        <r>
          <rPr>
            <b/>
            <sz val="9"/>
            <color indexed="81"/>
            <rFont val="Tahoma"/>
            <family val="2"/>
            <charset val="186"/>
          </rPr>
          <t>Aivija Stugle:</t>
        </r>
        <r>
          <rPr>
            <sz val="9"/>
            <color indexed="81"/>
            <rFont val="Tahoma"/>
            <family val="2"/>
            <charset val="186"/>
          </rPr>
          <t xml:space="preserve">
saskaņā ar 02.10.12 MK protokollēmumu Nr.54, 37.§, 700 088 LVL  novirza Iekšlietu ministrijas radio sakaru tīkla projekta īstenošanai</t>
        </r>
      </text>
    </comment>
    <comment ref="Z253" authorId="7" shapeId="0">
      <text>
        <r>
          <rPr>
            <b/>
            <sz val="9"/>
            <color indexed="81"/>
            <rFont val="Tahoma"/>
            <family val="2"/>
            <charset val="186"/>
          </rPr>
          <t>Reinis Dzelzkalējs:</t>
        </r>
        <r>
          <rPr>
            <sz val="9"/>
            <color indexed="81"/>
            <rFont val="Tahoma"/>
            <family val="2"/>
            <charset val="186"/>
          </rPr>
          <t xml:space="preserve">
</t>
        </r>
        <r>
          <rPr>
            <sz val="11"/>
            <color indexed="81"/>
            <rFont val="Tahoma"/>
            <family val="2"/>
            <charset val="186"/>
          </rPr>
          <t>- Projektu iesniegumu 4.atlase par finansējumu, kas veidojas no aktivitātes atlikuma tika izsludināta 18.06.2012 līdz 28.12.2012 , bet 5.atlase, kas veidojas par virssaistību finansējumu tika izsludināta 19.10.2012 līdz 10.05.2013. Atlases norisinās vienlaicīgi un projektu iesniegumu vērtēšana tiek uzsākta uzreiz pēc projekta iesnieguma saņemšanas, tādejādi, veidojas situācija, ka 5.kārtas ietvaros iesniegtais projekta iesniegums tiek apstiprināts ātrāk nekā 4.atlases kārtā iesniegtais. 2013.gada 1.ceturksnī joprojām turpinās trīs 4.atlases projektu iesniegumu vērtēšana un vēl par 3.projektu iesniegumiem ir dots 4.atlases kārtas pagarinājums projektu iesniegšanai līdz 30.04.2013.</t>
        </r>
      </text>
    </comment>
  </commentList>
</comments>
</file>

<file path=xl/comments5.xml><?xml version="1.0" encoding="utf-8"?>
<comments xmlns="http://schemas.openxmlformats.org/spreadsheetml/2006/main">
  <authors>
    <author>Signe Albiņa</author>
    <author>vdadzite</author>
    <author>Inga</author>
  </authors>
  <commentList>
    <comment ref="J3" authorId="0" shapeId="0">
      <text>
        <r>
          <rPr>
            <b/>
            <sz val="8"/>
            <color indexed="81"/>
            <rFont val="Tahoma"/>
            <family val="2"/>
            <charset val="186"/>
          </rPr>
          <t>Signe Albiņa:</t>
        </r>
        <r>
          <rPr>
            <sz val="8"/>
            <color indexed="81"/>
            <rFont val="Tahoma"/>
            <family val="2"/>
            <charset val="186"/>
          </rPr>
          <t xml:space="preserve">
S:\IEVIEŠANAS UZRAUDZĪBA\Mērķa profils\virssaistības\virssaistibu plans pret izpildi_31.07.2013..xlsx 11.kolonna</t>
        </r>
      </text>
    </comment>
    <comment ref="F14" authorId="0" shapeId="0">
      <text>
        <r>
          <rPr>
            <b/>
            <sz val="8"/>
            <color indexed="81"/>
            <rFont val="Tahoma"/>
            <family val="2"/>
            <charset val="186"/>
          </rPr>
          <t>Signe Albiņa:</t>
        </r>
        <r>
          <rPr>
            <sz val="8"/>
            <color indexed="81"/>
            <rFont val="Tahoma"/>
            <family val="2"/>
            <charset val="186"/>
          </rPr>
          <t xml:space="preserve">
KF</t>
        </r>
      </text>
    </comment>
    <comment ref="I21" authorId="1" shapeId="0">
      <text>
        <r>
          <rPr>
            <b/>
            <sz val="9"/>
            <color indexed="81"/>
            <rFont val="Tahoma"/>
            <family val="2"/>
            <charset val="186"/>
          </rPr>
          <t>vdadzite:</t>
        </r>
        <r>
          <rPr>
            <sz val="9"/>
            <color indexed="81"/>
            <rFont val="Tahoma"/>
            <family val="2"/>
            <charset val="186"/>
          </rPr>
          <t xml:space="preserve">
Ņemts vērā, ka pastāv iespēja, ka 7 FS vienošanos par projektu īstenošanu varētu noslēgt tikai š.g.oktobrī.</t>
        </r>
      </text>
    </comment>
    <comment ref="M27" authorId="0" shapeId="0">
      <text>
        <r>
          <rPr>
            <b/>
            <sz val="8"/>
            <color indexed="81"/>
            <rFont val="Tahoma"/>
            <family val="2"/>
            <charset val="186"/>
          </rPr>
          <t>Signe Albiņa: līgumu plānu neizpilde nepārsniedz 250 tūkst. latu</t>
        </r>
      </text>
    </comment>
    <comment ref="G38" authorId="2" shapeId="0">
      <text>
        <r>
          <rPr>
            <b/>
            <sz val="9"/>
            <color indexed="81"/>
            <rFont val="Tahoma"/>
            <family val="2"/>
            <charset val="186"/>
          </rPr>
          <t>Inga:</t>
        </r>
        <r>
          <rPr>
            <sz val="9"/>
            <color indexed="81"/>
            <rFont val="Tahoma"/>
            <family val="2"/>
            <charset val="186"/>
          </rPr>
          <t xml:space="preserve">
Saskaņā ar MK 20.08.2013. protokollēmumu</t>
        </r>
      </text>
    </comment>
  </commentList>
</comments>
</file>

<file path=xl/comments6.xml><?xml version="1.0" encoding="utf-8"?>
<comments xmlns="http://schemas.openxmlformats.org/spreadsheetml/2006/main">
  <authors>
    <author>Edmunds Pieķis</author>
    <author>Kaļķe Dace</author>
    <author>Gunta Līdaka</author>
    <author>Tetere Dita</author>
    <author>Karīna Virse</author>
    <author>pd-radvi</author>
  </authors>
  <commentList>
    <comment ref="J1" authorId="0" shapeId="0">
      <text>
        <r>
          <rPr>
            <b/>
            <sz val="14"/>
            <color indexed="81"/>
            <rFont val="Tahoma"/>
            <family val="2"/>
            <charset val="186"/>
          </rPr>
          <t>Piešķīrums norādīts neņemot vērā iesniegtos 2DP un 3DP groz. EK</t>
        </r>
      </text>
    </comment>
    <comment ref="L1" authorId="0" shapeId="0">
      <text>
        <r>
          <rPr>
            <b/>
            <sz val="14"/>
            <color indexed="81"/>
            <rFont val="Tahoma"/>
            <family val="2"/>
            <charset val="186"/>
          </rPr>
          <t>Piešķīrums norādīts ņemot vērā iesniegtos 2DP un 3DP groz. EK</t>
        </r>
      </text>
    </comment>
    <comment ref="P1" authorId="0" shapeId="0">
      <text>
        <r>
          <rPr>
            <b/>
            <sz val="12"/>
            <color indexed="81"/>
            <rFont val="Tahoma"/>
            <family val="2"/>
            <charset val="186"/>
          </rPr>
          <t>Atbilstoši iesniegtajiem 2DP un 3 DP groz. EK un piešķīruma izmaiņu ietekmei uz noteikto akt. virssaistību apjomu</t>
        </r>
      </text>
    </comment>
    <comment ref="N106" authorId="1" shapeId="0">
      <text>
        <r>
          <rPr>
            <b/>
            <sz val="9"/>
            <color indexed="81"/>
            <rFont val="Tahoma"/>
            <family val="2"/>
            <charset val="186"/>
          </rPr>
          <t>Kaļķe Dace:</t>
        </r>
        <r>
          <rPr>
            <sz val="9"/>
            <color indexed="81"/>
            <rFont val="Tahoma"/>
            <family val="2"/>
            <charset val="186"/>
          </rPr>
          <t xml:space="preserve">
Labots 11.09.13. atbilstoši Virssaistību reģistra BE kolonnai</t>
        </r>
      </text>
    </comment>
    <comment ref="K120" authorId="2" shapeId="0">
      <text>
        <r>
          <rPr>
            <b/>
            <sz val="8"/>
            <color indexed="81"/>
            <rFont val="Tahoma"/>
            <family val="2"/>
            <charset val="186"/>
          </rPr>
          <t>Gunta Līdaka:</t>
        </r>
        <r>
          <rPr>
            <sz val="8"/>
            <color indexed="81"/>
            <rFont val="Tahoma"/>
            <family val="2"/>
            <charset val="186"/>
          </rPr>
          <t xml:space="preserve">
Nav ar EK saskaņota aktivitātes ieviešana.</t>
        </r>
      </text>
    </comment>
    <comment ref="H123" authorId="3" shapeId="0">
      <text>
        <r>
          <rPr>
            <b/>
            <sz val="9"/>
            <color indexed="81"/>
            <rFont val="Tahoma"/>
            <family val="2"/>
            <charset val="186"/>
          </rPr>
          <t>Tetere Dita:</t>
        </r>
        <r>
          <rPr>
            <sz val="9"/>
            <color indexed="81"/>
            <rFont val="Tahoma"/>
            <family val="2"/>
            <charset val="186"/>
          </rPr>
          <t xml:space="preserve">
Atbilstoši 3007 MK sēdē pieņemtajam, 34 361 331 EUR pārdale no 2.2.prioritātes</t>
        </r>
      </text>
    </comment>
    <comment ref="J123" authorId="3" shapeId="0">
      <text>
        <r>
          <rPr>
            <b/>
            <sz val="9"/>
            <color indexed="81"/>
            <rFont val="Tahoma"/>
            <family val="2"/>
            <charset val="186"/>
          </rPr>
          <t>Tetere Dita:</t>
        </r>
        <r>
          <rPr>
            <sz val="9"/>
            <color indexed="81"/>
            <rFont val="Tahoma"/>
            <family val="2"/>
            <charset val="186"/>
          </rPr>
          <t xml:space="preserve">
Atbilstoši 3007 MK sēdē pieņemtajam, 34 361 331 EUR pārdale no 2.2.prioritātes</t>
        </r>
      </text>
    </comment>
    <comment ref="H124" authorId="2" shapeId="0">
      <text>
        <r>
          <rPr>
            <b/>
            <sz val="10"/>
            <color indexed="81"/>
            <rFont val="Tahoma"/>
            <family val="2"/>
            <charset val="186"/>
          </rPr>
          <t>Gunta Līdaka:</t>
        </r>
        <r>
          <rPr>
            <sz val="10"/>
            <color indexed="81"/>
            <rFont val="Tahoma"/>
            <family val="2"/>
            <charset val="186"/>
          </rPr>
          <t xml:space="preserve">
Valdības š.g. 5.jūlija konceptuāls lēmums par 32 450 000 EUR pārdali 1DP</t>
        </r>
      </text>
    </comment>
    <comment ref="J124" authorId="2" shapeId="0">
      <text>
        <r>
          <rPr>
            <b/>
            <sz val="10"/>
            <color indexed="81"/>
            <rFont val="Tahoma"/>
            <family val="2"/>
            <charset val="186"/>
          </rPr>
          <t>Gunta Līdaka:</t>
        </r>
        <r>
          <rPr>
            <sz val="10"/>
            <color indexed="81"/>
            <rFont val="Tahoma"/>
            <family val="2"/>
            <charset val="186"/>
          </rPr>
          <t xml:space="preserve">
Valdības š.g. 5.jūlija konceptuāls lēmums par 32 450 000 EUR pārdali 1DP</t>
        </r>
      </text>
    </comment>
    <comment ref="E154" authorId="4" shapeId="0">
      <text>
        <r>
          <rPr>
            <b/>
            <sz val="9"/>
            <color indexed="81"/>
            <rFont val="Tahoma"/>
            <family val="2"/>
            <charset val="186"/>
          </rPr>
          <t>Karīna Virse:</t>
        </r>
        <r>
          <rPr>
            <sz val="9"/>
            <color indexed="81"/>
            <rFont val="Tahoma"/>
            <family val="2"/>
            <charset val="186"/>
          </rPr>
          <t xml:space="preserve">
Apstiprināti DP grozījumi</t>
        </r>
      </text>
    </comment>
    <comment ref="I154" authorId="4" shapeId="0">
      <text>
        <r>
          <rPr>
            <b/>
            <sz val="9"/>
            <color indexed="81"/>
            <rFont val="Tahoma"/>
            <family val="2"/>
            <charset val="186"/>
          </rPr>
          <t>Karīna Virse:</t>
        </r>
        <r>
          <rPr>
            <sz val="9"/>
            <color indexed="81"/>
            <rFont val="Tahoma"/>
            <family val="2"/>
            <charset val="186"/>
          </rPr>
          <t xml:space="preserve">
Šobrīd DPP apstiprinātās + EK neapstiprinātās DP pārdales</t>
        </r>
      </text>
    </comment>
    <comment ref="N154" authorId="1" shapeId="0">
      <text>
        <r>
          <rPr>
            <b/>
            <sz val="9"/>
            <color indexed="81"/>
            <rFont val="Tahoma"/>
            <family val="2"/>
            <charset val="186"/>
          </rPr>
          <t>Kaļķe Dace:</t>
        </r>
        <r>
          <rPr>
            <sz val="9"/>
            <color indexed="81"/>
            <rFont val="Tahoma"/>
            <family val="2"/>
            <charset val="186"/>
          </rPr>
          <t xml:space="preserve">
Labots 11.09.13. atbilstoši Virssaistību reģistra BE kolonnai
</t>
        </r>
        <r>
          <rPr>
            <b/>
            <sz val="9"/>
            <color indexed="81"/>
            <rFont val="Tahoma"/>
            <family val="2"/>
            <charset val="186"/>
          </rPr>
          <t xml:space="preserve">
Līga Līce</t>
        </r>
        <r>
          <rPr>
            <sz val="9"/>
            <color indexed="81"/>
            <rFont val="Tahoma"/>
            <family val="2"/>
            <charset val="186"/>
          </rPr>
          <t xml:space="preserve">
Saskaņā ar MK 22.01.2013. p/l  p. 10 virssaistību apjoms ir palielināts, paredzot to ne vairāk kā 43 728 596 lati.</t>
        </r>
      </text>
    </comment>
    <comment ref="E230" authorId="4" shapeId="0">
      <text>
        <r>
          <rPr>
            <b/>
            <sz val="9"/>
            <color indexed="81"/>
            <rFont val="Tahoma"/>
            <family val="2"/>
            <charset val="186"/>
          </rPr>
          <t>Karīna Virse:</t>
        </r>
        <r>
          <rPr>
            <sz val="9"/>
            <color indexed="81"/>
            <rFont val="Tahoma"/>
            <family val="2"/>
            <charset val="186"/>
          </rPr>
          <t xml:space="preserve">
Apstiprināti DP grozījumi</t>
        </r>
      </text>
    </comment>
    <comment ref="J239" authorId="5" shapeId="0">
      <text>
        <r>
          <rPr>
            <b/>
            <sz val="8"/>
            <color indexed="81"/>
            <rFont val="Tahoma"/>
            <family val="2"/>
            <charset val="186"/>
          </rPr>
          <t>pd-radvi:</t>
        </r>
        <r>
          <rPr>
            <sz val="8"/>
            <color indexed="81"/>
            <rFont val="Tahoma"/>
            <family val="2"/>
            <charset val="186"/>
          </rPr>
          <t xml:space="preserve">
Saskaņā ar MK 2010.gada 12.janvāra MK protokollēmumu Nr.2 31.§, 3.4.1.2. aktivitāte tiek finansēta no KF un tiek noteikta kā 3.5.1.3.aktivitāte</t>
        </r>
      </text>
    </comment>
    <comment ref="J240" authorId="5" shapeId="0">
      <text>
        <r>
          <rPr>
            <b/>
            <sz val="8"/>
            <color indexed="81"/>
            <rFont val="Tahoma"/>
            <family val="2"/>
            <charset val="186"/>
          </rPr>
          <t>pd-radvi:</t>
        </r>
        <r>
          <rPr>
            <sz val="8"/>
            <color indexed="81"/>
            <rFont val="Tahoma"/>
            <family val="2"/>
            <charset val="186"/>
          </rPr>
          <t xml:space="preserve">
Saskaņā ar MK 2010.gada 12.janvāra MK protokollēmumu Nr.2 31.§, 3.4.1.6. aktivitāte tiek finansēta no KF un tiek noteikta kā 3.5.1.4.aktivitāte</t>
        </r>
      </text>
    </comment>
    <comment ref="N250" authorId="1" shapeId="0">
      <text>
        <r>
          <rPr>
            <b/>
            <sz val="9"/>
            <color indexed="81"/>
            <rFont val="Tahoma"/>
            <family val="2"/>
            <charset val="186"/>
          </rPr>
          <t>Kaļķe Dace:</t>
        </r>
        <r>
          <rPr>
            <sz val="9"/>
            <color indexed="81"/>
            <rFont val="Tahoma"/>
            <family val="2"/>
            <charset val="186"/>
          </rPr>
          <t xml:space="preserve">
Labots 11.09. atbilstoši Virssaistību reģistra BE kolonnai.</t>
        </r>
      </text>
    </comment>
  </commentList>
</comments>
</file>

<file path=xl/sharedStrings.xml><?xml version="1.0" encoding="utf-8"?>
<sst xmlns="http://schemas.openxmlformats.org/spreadsheetml/2006/main" count="5449" uniqueCount="1434">
  <si>
    <t>ESF</t>
  </si>
  <si>
    <t>-</t>
  </si>
  <si>
    <t>1.1.</t>
  </si>
  <si>
    <t>1.1.1.</t>
  </si>
  <si>
    <t>1.1.1.1.</t>
  </si>
  <si>
    <t>IZM</t>
  </si>
  <si>
    <t>1.1.1.3.</t>
  </si>
  <si>
    <t>1.1.2.</t>
  </si>
  <si>
    <t>1.1.2.1.</t>
  </si>
  <si>
    <t>1.1.2.2.</t>
  </si>
  <si>
    <t>1.1.2.2.1.</t>
  </si>
  <si>
    <t>1.1.2.2.2.</t>
  </si>
  <si>
    <t>1.2.</t>
  </si>
  <si>
    <t>1.2.1.</t>
  </si>
  <si>
    <t>1.2.1.1.</t>
  </si>
  <si>
    <t>1.2.1.2.</t>
  </si>
  <si>
    <t>1.2.2.</t>
  </si>
  <si>
    <t>1.2.2.1.</t>
  </si>
  <si>
    <t>1.2.2.1.1.</t>
  </si>
  <si>
    <t>1.2.2.1.2.</t>
  </si>
  <si>
    <t>1.2.2.1.3.</t>
  </si>
  <si>
    <t>1.2.2.2.</t>
  </si>
  <si>
    <t>1.2.2.2.1.</t>
  </si>
  <si>
    <t>1.2.2.2.2.</t>
  </si>
  <si>
    <t>1.2.2.3.</t>
  </si>
  <si>
    <t>1.2.2.3.1.</t>
  </si>
  <si>
    <t>1.2.2.3.2.</t>
  </si>
  <si>
    <t>1.2.2.4.</t>
  </si>
  <si>
    <t>1.2.2.4.1.</t>
  </si>
  <si>
    <t>1.3.1.</t>
  </si>
  <si>
    <t>1.3.1.1.</t>
  </si>
  <si>
    <t>1.3.1.2.</t>
  </si>
  <si>
    <t>1.3.1.3.</t>
  </si>
  <si>
    <t>1.3.1.6.</t>
  </si>
  <si>
    <t>1.3.1.7.</t>
  </si>
  <si>
    <t>1.3.1.8.</t>
  </si>
  <si>
    <t>1.3.2.</t>
  </si>
  <si>
    <t>1.3.2.1.</t>
  </si>
  <si>
    <t>1.3.2.2.</t>
  </si>
  <si>
    <t>1.3.2.3.</t>
  </si>
  <si>
    <t>1.4.</t>
  </si>
  <si>
    <t>1.4.1.</t>
  </si>
  <si>
    <t>1.4.1.1.</t>
  </si>
  <si>
    <t>1.4.1.2.</t>
  </si>
  <si>
    <t>1.4.1.2.2.</t>
  </si>
  <si>
    <t>1.5.</t>
  </si>
  <si>
    <t>1.5.1.</t>
  </si>
  <si>
    <t>1.5.1.1.</t>
  </si>
  <si>
    <t>1.5.1.1.1.</t>
  </si>
  <si>
    <t>1.5.1.1.2.</t>
  </si>
  <si>
    <t>1.5.1.2.</t>
  </si>
  <si>
    <t>1.5.1.3.</t>
  </si>
  <si>
    <t>1.5.2.</t>
  </si>
  <si>
    <t>1.5.2.2.</t>
  </si>
  <si>
    <t>1.5.3.</t>
  </si>
  <si>
    <t>ERAF</t>
  </si>
  <si>
    <t>2.1.1.</t>
  </si>
  <si>
    <t>2.1.1.3.</t>
  </si>
  <si>
    <t>2.1.1.3.1.</t>
  </si>
  <si>
    <t>2.1.1.3.2.</t>
  </si>
  <si>
    <t>2.1.2.</t>
  </si>
  <si>
    <t>2.1.2.1.</t>
  </si>
  <si>
    <t>2.1.2.1.3.</t>
  </si>
  <si>
    <t>2.1.2.2.</t>
  </si>
  <si>
    <t>2.1.2.3.</t>
  </si>
  <si>
    <t>2.2.</t>
  </si>
  <si>
    <t>2.2.1.</t>
  </si>
  <si>
    <t>2.2.1.1.</t>
  </si>
  <si>
    <t>2.2.1.2.</t>
  </si>
  <si>
    <t>2.2.1.2.1.</t>
  </si>
  <si>
    <t>2.2.1.2.2.</t>
  </si>
  <si>
    <t>2.3.</t>
  </si>
  <si>
    <t>2.3.1.</t>
  </si>
  <si>
    <t>2.3.1.2.</t>
  </si>
  <si>
    <t>2.3.2.</t>
  </si>
  <si>
    <t>2.3.2.1.</t>
  </si>
  <si>
    <t>2.3.2.3.</t>
  </si>
  <si>
    <t>3.1.</t>
  </si>
  <si>
    <t>3.1.1.</t>
  </si>
  <si>
    <t>3.1.1.2.</t>
  </si>
  <si>
    <t>3.1.2.</t>
  </si>
  <si>
    <t>3.1.2.1.1.</t>
  </si>
  <si>
    <t>3.1.2.1.2.</t>
  </si>
  <si>
    <t>3.1.3.</t>
  </si>
  <si>
    <t>3.1.3.2.</t>
  </si>
  <si>
    <t>3.1.3.3.</t>
  </si>
  <si>
    <t>3.1.4.</t>
  </si>
  <si>
    <t>3.1.4.1.</t>
  </si>
  <si>
    <t>3.1.4.1.1.</t>
  </si>
  <si>
    <t>3.1.4.1.2.</t>
  </si>
  <si>
    <t>3.1.4.1.3.</t>
  </si>
  <si>
    <t>3.1.4.1.4.</t>
  </si>
  <si>
    <t>3.1.5.</t>
  </si>
  <si>
    <t>3.1.5.1.</t>
  </si>
  <si>
    <t>3.1.5.3.</t>
  </si>
  <si>
    <t>3.2.</t>
  </si>
  <si>
    <t>3.2.1.</t>
  </si>
  <si>
    <t>3.2.1.3.2.</t>
  </si>
  <si>
    <t>3.2.1.5.</t>
  </si>
  <si>
    <t>3.2.2.</t>
  </si>
  <si>
    <t>3.2.2.1.</t>
  </si>
  <si>
    <t>3.2.2.2.</t>
  </si>
  <si>
    <t>3.2.2.3.</t>
  </si>
  <si>
    <t>3.2.2.4.</t>
  </si>
  <si>
    <t>3.2.2.4.1.</t>
  </si>
  <si>
    <t>3.2.2.4.2.</t>
  </si>
  <si>
    <t>3.3.1.2.</t>
  </si>
  <si>
    <t>3.3.1.4.</t>
  </si>
  <si>
    <t>3.3.2.</t>
  </si>
  <si>
    <t>3.3.2.1.</t>
  </si>
  <si>
    <t>3.4.</t>
  </si>
  <si>
    <t>3.4.1.</t>
  </si>
  <si>
    <t>3.4.1.3.</t>
  </si>
  <si>
    <t>3.4.1.4.</t>
  </si>
  <si>
    <t>3.4.1.5.2.</t>
  </si>
  <si>
    <t>3.4.2.</t>
  </si>
  <si>
    <t>3.4.2.1.</t>
  </si>
  <si>
    <t>3.4.2.1.3.</t>
  </si>
  <si>
    <t>3.4.2.2.</t>
  </si>
  <si>
    <t>3.4.3.</t>
  </si>
  <si>
    <t>3.4.3.1.</t>
  </si>
  <si>
    <t>3.4.4.</t>
  </si>
  <si>
    <t>3.5.</t>
  </si>
  <si>
    <t>3.5.1.</t>
  </si>
  <si>
    <t>3.5.1.2.</t>
  </si>
  <si>
    <t>3.5.2.</t>
  </si>
  <si>
    <t>3.5.2.3.</t>
  </si>
  <si>
    <t>3.5.2.4.</t>
  </si>
  <si>
    <t>3.6.</t>
  </si>
  <si>
    <t>3.6.1.</t>
  </si>
  <si>
    <t>3.6.1.2.</t>
  </si>
  <si>
    <t xml:space="preserve"> -</t>
  </si>
  <si>
    <t>3.6.2.</t>
  </si>
  <si>
    <t>3.6.2.1.</t>
  </si>
  <si>
    <t xml:space="preserve"> - </t>
  </si>
  <si>
    <t>2.1.2.3.1.</t>
  </si>
  <si>
    <t>3.3.1.6.</t>
  </si>
  <si>
    <t>EM</t>
  </si>
  <si>
    <t>LM</t>
  </si>
  <si>
    <t>FM</t>
  </si>
  <si>
    <t>SM</t>
  </si>
  <si>
    <t>KM</t>
  </si>
  <si>
    <t>KF</t>
  </si>
  <si>
    <t>3.5.2.2.</t>
  </si>
  <si>
    <t>3.3.1.3.</t>
  </si>
  <si>
    <t>1.5.2.2.1.</t>
  </si>
  <si>
    <t>2.1.</t>
  </si>
  <si>
    <t>2.3.1.1.</t>
  </si>
  <si>
    <t>3.5.1.2.2.</t>
  </si>
  <si>
    <t>8.1.</t>
  </si>
  <si>
    <t>2.2.1.4.1.</t>
  </si>
  <si>
    <t>2.2.1.4.2.</t>
  </si>
  <si>
    <t>3.8.1.</t>
  </si>
  <si>
    <t>3.7.1.</t>
  </si>
  <si>
    <t>2.4.1.</t>
  </si>
  <si>
    <t>1.6.1.</t>
  </si>
  <si>
    <t>3.2.2.1.1.</t>
  </si>
  <si>
    <t>3.1.5.2.</t>
  </si>
  <si>
    <t>3.5.2.1.2.</t>
  </si>
  <si>
    <t>3.1.5.3.1.</t>
  </si>
  <si>
    <t>3.1.5.3.2.</t>
  </si>
  <si>
    <t>3.4.3.3.</t>
  </si>
  <si>
    <t>2.1.2.1.1.</t>
  </si>
  <si>
    <t>2.1.2.2.4.</t>
  </si>
  <si>
    <t>3.4.2.1.2.</t>
  </si>
  <si>
    <t>1.2.1.2.2.</t>
  </si>
  <si>
    <t>3.3.1.5.</t>
  </si>
  <si>
    <t>3.5.1.1.</t>
  </si>
  <si>
    <t>3.1.4.1.5.</t>
  </si>
  <si>
    <t>3.5.1.3.</t>
  </si>
  <si>
    <t>1.1.1.2.</t>
  </si>
  <si>
    <t>1.3.1.1.3.</t>
  </si>
  <si>
    <t>3.4.3.2.</t>
  </si>
  <si>
    <t>3.1.3.3.2.</t>
  </si>
  <si>
    <t>3.1.4.2.</t>
  </si>
  <si>
    <t>1.2.1.1.1.</t>
  </si>
  <si>
    <t>3.2.2.1.2.</t>
  </si>
  <si>
    <t>1.4.1.1.1.</t>
  </si>
  <si>
    <t>1.3.1.9.</t>
  </si>
  <si>
    <t>1.2.1.2.3.</t>
  </si>
  <si>
    <t>3.1.3.3.1.</t>
  </si>
  <si>
    <t>3.1.3.1.</t>
  </si>
  <si>
    <t>3.4.2.1.1.</t>
  </si>
  <si>
    <t>3.5.1.2.3.</t>
  </si>
  <si>
    <t>3.5.1.4.</t>
  </si>
  <si>
    <t>1.3.1.4.</t>
  </si>
  <si>
    <t>1.2.1.2.1.</t>
  </si>
  <si>
    <t>1.2.1.1.4.</t>
  </si>
  <si>
    <t>1.2.1.1.2.</t>
  </si>
  <si>
    <t>3.1.5.1.1.</t>
  </si>
  <si>
    <t>2.4.</t>
  </si>
  <si>
    <t>2.4.1.1.</t>
  </si>
  <si>
    <t>3.7.</t>
  </si>
  <si>
    <t>3.7.1.1.</t>
  </si>
  <si>
    <t>3.8.</t>
  </si>
  <si>
    <t>3.8.1.1.</t>
  </si>
  <si>
    <t>3.4.4.1.</t>
  </si>
  <si>
    <t>3.1.5.1.2.</t>
  </si>
  <si>
    <t>3.2.1.2.</t>
  </si>
  <si>
    <t>3.2.1.3.</t>
  </si>
  <si>
    <t>3.3.1.1.</t>
  </si>
  <si>
    <t>3.3.1.</t>
  </si>
  <si>
    <t>3.3.</t>
  </si>
  <si>
    <t>1.4.1.1.2.</t>
  </si>
  <si>
    <t>1.2.2.4.2.</t>
  </si>
  <si>
    <t>1.6.</t>
  </si>
  <si>
    <t>2.1.2.1.2.</t>
  </si>
  <si>
    <t>2.1.2.2.3.</t>
  </si>
  <si>
    <t>3.1.4.4.</t>
  </si>
  <si>
    <t>3.4.1.5.1.</t>
  </si>
  <si>
    <t>3.4.1.5.</t>
  </si>
  <si>
    <t>Ministrija</t>
  </si>
  <si>
    <t>6.1.</t>
  </si>
  <si>
    <t>9=5-7</t>
  </si>
  <si>
    <t>10=6+9</t>
  </si>
  <si>
    <t>12=11-8</t>
  </si>
  <si>
    <t>14=13-7</t>
  </si>
  <si>
    <t>11.1.</t>
  </si>
  <si>
    <t>11.2.</t>
  </si>
  <si>
    <t>8.2.</t>
  </si>
  <si>
    <t>1.2.1.1.3.</t>
  </si>
  <si>
    <t>Akt./Apakšakt. Numurs</t>
  </si>
  <si>
    <t>Akt./Apakšakt. Nosaukums</t>
  </si>
  <si>
    <t>Noslēgti līgumi, LVL</t>
  </si>
  <si>
    <t>Cilvēkresursu piesaiste zinātnei</t>
  </si>
  <si>
    <t>1.1.2.1.1.</t>
  </si>
  <si>
    <t>Atbalsts maģistra studiju programmu īstenošanai</t>
  </si>
  <si>
    <t>1.1.2.1.2.</t>
  </si>
  <si>
    <t>Atbalsts doktora studiju programmu īstenošanai</t>
  </si>
  <si>
    <t>Studiju programmu satura un īstenošanas uzlabošana un akadēmiskā personāla kompetences pilnveidošana</t>
  </si>
  <si>
    <t>Nozaru kvalifikāciju sistēmas izveide un profesionālās izglītības pārstrukturizācija</t>
  </si>
  <si>
    <t>Profesionālajā izglītībā iesaistīto pedagogu kompetences paaugstināšana</t>
  </si>
  <si>
    <t>Atbalsts sākotnējās profesionālās izglītības programmu īstenošanas kvalitātes uzlabošanai un īstenošanai</t>
  </si>
  <si>
    <t>Sākotnējās profesionālās izglītības pievilcības veicināšana</t>
  </si>
  <si>
    <t>Vispārējās vidējās izglītības satura reforma, mācību priekšmetu, metodikas un mācību sasniegumu vērtēšanas sistēmas uzlabošana</t>
  </si>
  <si>
    <t>Atbalsts vispārējās izglītības pedagogu nodrošināšanai prioritārajos mācību priekšmetos</t>
  </si>
  <si>
    <t>Vispārējās izglītības pedagogu kompetences paaugstināšana un prasmju atjaunošana</t>
  </si>
  <si>
    <t>Atbalsts Mūžizglītības politikas pamatnostādņu īstenošanai</t>
  </si>
  <si>
    <t>1.2.2.1.5.</t>
  </si>
  <si>
    <t>Pedagogu konkurētspējas veicināšana izglītības sistēmas optimizācijas apstākļos</t>
  </si>
  <si>
    <t>Atbalsts izglītības pētījumiem</t>
  </si>
  <si>
    <t>Iekļaujošas izglītības un sociālās atstumtības riskam pakļauto jauniešu atbalsta sistēmas izveide, nepieciešamā personāla sagatavošana, nodrošināšana un kompetences paaugstināšana</t>
  </si>
  <si>
    <t>Atbalsta pasākumu īstenošana jauniešu sociālās atstumtības riska mazināšanai un jauniešu ar funkcionālajiem traucējumiem integrācijai izglītībā</t>
  </si>
  <si>
    <t>1.3.1.1.1.</t>
  </si>
  <si>
    <t>Atbalsts nodarbināto apmācībām komersantu konkurētspējas veicināšanai - atbalsts partnerībās organizētām apmācībām</t>
  </si>
  <si>
    <t>Bezdarbnieku un darba meklētāju apmācība</t>
  </si>
  <si>
    <t>1.3.1.1.4.</t>
  </si>
  <si>
    <t>Atbalsts nodarbināto apmācībām komersantu konkurētspējas veicināšanai - atbalsts komersantu individuāli organizētām apmācībām</t>
  </si>
  <si>
    <t>1.3.1.1.5.</t>
  </si>
  <si>
    <t>Atbalsts bezdarba riskam pakļauto personu apmācībai</t>
  </si>
  <si>
    <t>Atbalsts pašnodarbinātības un uzņēmējdarbības uzsākšanai</t>
  </si>
  <si>
    <t>1.3.1.3.1.</t>
  </si>
  <si>
    <t>Darba attiecību un darba drošības normatīvo aktu uzraudzības pilnveidošana</t>
  </si>
  <si>
    <t>1.3.1.3.2.</t>
  </si>
  <si>
    <t>Darba attiecību un darba drošības normatīvo aktu praktiska piemērošana nozarēs un uzņēmumos</t>
  </si>
  <si>
    <t>Kapacitātes stiprināšana darba tirgus institūcijām</t>
  </si>
  <si>
    <t>1.3.1.5.</t>
  </si>
  <si>
    <t>Vietējo nodarbinātības veicināšanas pasākumu plānu ieviešanas atbalsts</t>
  </si>
  <si>
    <t>Darba tirgus pieprasījuma īstermiņa un ilgtermiņa prognozēšanas un uzraudzības sistēmas attīstība</t>
  </si>
  <si>
    <t>Augstas kvalifikācijas darbinieku piesaiste</t>
  </si>
  <si>
    <t>Veselības aprūpes un veicināšanas procesā iesaistīto institūciju personāla kompetences, prasmju un iemaņu līmeņa paaugstināšana</t>
  </si>
  <si>
    <t>Kompleksi atbalsta pasākumi iedzīvotāju integrēšanai darba tirgū</t>
  </si>
  <si>
    <t>Atbalstītās nodarbinātības pasākumi mērķgrupu bezdarbniekiem</t>
  </si>
  <si>
    <t>1.4.1.2.1.</t>
  </si>
  <si>
    <t>Darbspēju vērtēšanas sistēmas pilnveidošana</t>
  </si>
  <si>
    <t>Sociālās rehabilitācijas pakalpojumu attīstība personām ar redzes un dzirdes traucējumiem</t>
  </si>
  <si>
    <t>1.4.1.2.4.</t>
  </si>
  <si>
    <t>Sociālās rehabilitācijas un institūcijām alternatīvu sociālās aprūpes pakalpojumu attīstība reģionos</t>
  </si>
  <si>
    <t>Atbalsts strukturālo reformu īstenošanai un analītisko spēju stiprināšanai valsts pārvaldē</t>
  </si>
  <si>
    <t>Administratīvo šķēršļu samazināšana un publisko pakalpojumu kvalitātes uzlabošana</t>
  </si>
  <si>
    <t>1.5.1.3.1.</t>
  </si>
  <si>
    <t>Kvalitātes vadības sistēmas izveide un ieviešana</t>
  </si>
  <si>
    <t>1.5.1.3.2.</t>
  </si>
  <si>
    <t>Publisko pakalpojumu kvalitātes paaugstināšana valsts, reģionālā un vietējā līmenī</t>
  </si>
  <si>
    <t>1.5.2.1.</t>
  </si>
  <si>
    <t>Publiskās pārvaldes cilvēkresursu plānošanas un vadības IT sistēmas izstrāde un ieviešana</t>
  </si>
  <si>
    <t>Sociālo partneru administratīvās kapacitātes stiprināšana</t>
  </si>
  <si>
    <t>1.5.2.2.2.</t>
  </si>
  <si>
    <t>NVO administratīvās kapacitātes stiprināšana</t>
  </si>
  <si>
    <t>1.5.2.2.3.</t>
  </si>
  <si>
    <t>Atbalsts pašvaldībām kapacitātes stiprināšanā  Eiropas Savienības politiku instrumentu un pārējās ārvalstu finanšu palīdzības līdzfinansēto projektu un pasākumu īstenošanai</t>
  </si>
  <si>
    <t>1.5.3.1.</t>
  </si>
  <si>
    <t>Speciālistu piesaiste plānošanas reģioniem, pilsētām un novadiem</t>
  </si>
  <si>
    <t>1.5.3.2.</t>
  </si>
  <si>
    <t>Plānošanas reģionu un vietējo pašvaldību attīstības plānošanas kapacitātes paaugstināšana</t>
  </si>
  <si>
    <t>1.6.1.1.</t>
  </si>
  <si>
    <t>Programmas vadības un atbalsta funkciju nodrošināšana</t>
  </si>
  <si>
    <t>2.1.1.1.</t>
  </si>
  <si>
    <t>Atbalsts zinātnei un pētniecībai</t>
  </si>
  <si>
    <t>2.1.1.2.</t>
  </si>
  <si>
    <t>Atbalsts starptautiskās sadarbības projektiem zinātnē un tehnoloģijās (EUREKA, 7.IP un citi)</t>
  </si>
  <si>
    <t>Zinātnes infrastruktūras attīstība</t>
  </si>
  <si>
    <t>Informācijas tehnoloģiju infrastruktūras un informācijas sistēmu uzlabošana zinātniskajai darbībai</t>
  </si>
  <si>
    <t>Kompetences centri</t>
  </si>
  <si>
    <t>Tehnoloģiju pārneses kontaktpunkti</t>
  </si>
  <si>
    <t>2.1.2.2.1.</t>
  </si>
  <si>
    <t>Jaunu produktu un tehnoloģiju izstrāde</t>
  </si>
  <si>
    <t>2.1.2.2.2.</t>
  </si>
  <si>
    <t>Jaunu produktu un tehnoloģiju izstrāde – atbalsts jaunu produktu un tehnoloģiju ieviešanai ražošanā</t>
  </si>
  <si>
    <t>Jaunu produktu un tehnoloģiju izstrāde - atbalsts rūpnieciskā īpašuma tiesību nostiprināšanai</t>
  </si>
  <si>
    <t>2.1.2.4.</t>
  </si>
  <si>
    <t>Augstas pievienotās vērtības investīcijas</t>
  </si>
  <si>
    <t>Ieguldījumu fonds investīcijām garantijās, paaugstināta riska aizdevumos, riska kapitāla fondos un cita veida finanšu instrumentos</t>
  </si>
  <si>
    <t>2.2.1.3.</t>
  </si>
  <si>
    <t>Garantijas komersantu konkurētspējas uzlabošanai</t>
  </si>
  <si>
    <t>Atbalsts aizdevumu veidā komersantu konkurētspējas uzlabošanai</t>
  </si>
  <si>
    <t>Mezanīna aizdevumi investīcijām komersantu konkurētspējas uzlabošanai</t>
  </si>
  <si>
    <t>2.3.1.1.1.</t>
  </si>
  <si>
    <t>Ārējo tirgu apgūšana – ārējais mārketings</t>
  </si>
  <si>
    <t>2.3.1.1.2</t>
  </si>
  <si>
    <t>Ārējo tirgu apgūšana – nozaru starptautiskās konkurētspējas stiprināšana</t>
  </si>
  <si>
    <t>Pasākumi motivācijas celšanai inovācijām un uzņēmējdarbības uzsākšanai</t>
  </si>
  <si>
    <t>Biznesa inkubatori</t>
  </si>
  <si>
    <t>2.3.2.2.</t>
  </si>
  <si>
    <t>Atbalsts ieguldījumiem mikro, maziem un vidējiem komersantiem  īpaši atbalstāmajās teritorijās (ĪĀT)</t>
  </si>
  <si>
    <t>3.1.1.1.</t>
  </si>
  <si>
    <t>Mācību aprīkojuma modernizācija un infrastruktūras uzlabošana profesionālās izglītības programmu īstenošanai</t>
  </si>
  <si>
    <t>Profesionālās izglītības infrastruktūras attīstība un mācību aprīkojuma modernizācija ieslodzījuma vietās</t>
  </si>
  <si>
    <t>Augstākās izglītības iestāžu telpu un iekārtu modernizēšana studiju programmu kvalitātes uzlabošanai, tajā skaitā, nodrošinot izglītības programmu apgūšanas iespējas arī personām ar funkcionāliem traucējumiem</t>
  </si>
  <si>
    <t>Kvalitatīvai dabaszinātņu apguvei atbilstošas materiālās bāzes nodrošināšana</t>
  </si>
  <si>
    <t>Atbalsts vispārējās izglītības iestāžu tīkla optimizācijai</t>
  </si>
  <si>
    <t>Speciālās izglītības iestāžu infrastruktūras un aprīkojuma uzlabošana</t>
  </si>
  <si>
    <t>Vispārējās izglītības iestāžu infrastruktūras uzlabošana izglītojamajiem ar funkcionāliem traucējumiem</t>
  </si>
  <si>
    <t>Infrastruktūras pilnveidošana un zinātniski tehniskās bāzes nodrošināšana darbspēju un funkcionālo traucējumu izvērtēšanai</t>
  </si>
  <si>
    <t>Infrastruktūras pilnveidošana profesionālās rehabilitācijas pakalpojumu sniegšanai</t>
  </si>
  <si>
    <t>Infrastruktūras pilnveidošana sociālās rehabilitācijas pakalpojumu sniegšanai personām ar redzes un dzirdes traucējumiem</t>
  </si>
  <si>
    <t>Infrastruktūras pilnveidošana sociālās rehabilitācijas pakalpojumu sniegšanai personām ar garīga rakstura traucējumiem</t>
  </si>
  <si>
    <t>Darba tirgus institūciju infrastruktūras pilnveidošana</t>
  </si>
  <si>
    <t>3.1.4.3.</t>
  </si>
  <si>
    <t>Pirmskolas izglītības iestāžu infrastruktūras attīstība nacionālās un reģionālās attīstības centros</t>
  </si>
  <si>
    <t>Atbalsts alternatīvās aprūpes pakalpojumu pieejamības attīstībai</t>
  </si>
  <si>
    <t>Ģimenes ārstu tīkla attīstība</t>
  </si>
  <si>
    <t>Veselības aprūpes centru attīstība</t>
  </si>
  <si>
    <t>Neatliekamas medicīniskās palīdzības attīstība</t>
  </si>
  <si>
    <t>Stacionārās veselības aprūpes attīstība</t>
  </si>
  <si>
    <t>Onkoloģijas slimnieku radioterapijas ārstēšanas attīstība</t>
  </si>
  <si>
    <t>3.2.1.1.</t>
  </si>
  <si>
    <t>Valsts 1.šķiras autoceļu maršrutu sakārtošana</t>
  </si>
  <si>
    <t>Tranzītielu sakārtošana pilsētu teritorijās</t>
  </si>
  <si>
    <t>3.2.1.3.1.</t>
  </si>
  <si>
    <t>Satiksmes drošības uzlabojumi apdzīvotās vietās ārpus Rīgas</t>
  </si>
  <si>
    <t>Satiksmes drošības uzlabojumi Rīgā</t>
  </si>
  <si>
    <t>3.2.1.4.</t>
  </si>
  <si>
    <t>Mazo ostu infrastruktūras uzlabošana</t>
  </si>
  <si>
    <t>Publiskais transports ārpus Rīgas</t>
  </si>
  <si>
    <t>Informācijas sistēmu un elektronisko pakalpojumu attīstība</t>
  </si>
  <si>
    <t>Izglītības iestāžu informatizācija</t>
  </si>
  <si>
    <t>TEN-T autoceļu tīkla uzlabojumi</t>
  </si>
  <si>
    <t>TEN-T dzelzceļa posmu rekonstrukcija un attīstība (Austrumu-Rietumu dzelzceļa koridora infrastruktūras attīstība un Rail Baltica)</t>
  </si>
  <si>
    <t>Lielo ostu infrastruktūras attīstība "Jūras maģistrāļu" ietvaros</t>
  </si>
  <si>
    <t>Lidostu infrastruktūras attīstība</t>
  </si>
  <si>
    <t>Pilsētu infrastruktūras uzlabojumi sasaistei ar TEN-T</t>
  </si>
  <si>
    <t>Ilgtspējīga sabiedriskā transporta sistēmas attīstība</t>
  </si>
  <si>
    <t>3.4.1.1.</t>
  </si>
  <si>
    <t>Ūdenssaimniecības infrastruktūras attīstība apdzīvotās vietās ar iedzīvotāju skaitu līdz 2000</t>
  </si>
  <si>
    <t>Bioloģiskās daudzveidības saglabāšanas ex situ infrastruktūras izveide</t>
  </si>
  <si>
    <t>Vēsturiski piesārņoto vietu sanācija</t>
  </si>
  <si>
    <t>Plūdu risku samazināšana grūti prognozējamu vižņu-ledus parādību gadījumos</t>
  </si>
  <si>
    <t>Hidrotehnisko būvju rekonstrukcija plūdu draudu risku novēršanai un samazināšanai</t>
  </si>
  <si>
    <t>Valsts nozīmes pilsētbūvniecības pieminekļu saglabāšana, atjaunošana un infrastruktūras pielāgošana tūrisma produkta attīstība</t>
  </si>
  <si>
    <t>Nacionālas nozīmes velotūrisma produktu attīstība</t>
  </si>
  <si>
    <t>Nacionālas un reģionālas nozīmes daudzfunkcionālu centru izveide</t>
  </si>
  <si>
    <t>Sociālekonomiski nozīmīgu kultūras mantojuma objektu atjaunošana</t>
  </si>
  <si>
    <t>Atbalsts kultūras pieminekļu privātīpašniekiem kultūras pieminekļu saglabāšanā un to sociālekonomiskā potenciāla efektīvā izmantošanā</t>
  </si>
  <si>
    <t>Daudzdzīvokļu māju siltumnoturības uzlabošanas pasākumi</t>
  </si>
  <si>
    <t>3.4.4.2.</t>
  </si>
  <si>
    <t>Sociālo dzīvojamo māju siltumnoturības uzlabošanas pasākumi</t>
  </si>
  <si>
    <t>Ūdenssaimniecības infrastruktūras attīstība aglomerācijās ar cilvēku ekvivalentu lielāku par 2000</t>
  </si>
  <si>
    <t>3.5.1.2.1.</t>
  </si>
  <si>
    <t>Normatīvo aktu prasībām neatbilstošo izgāztuvju rekultivācija</t>
  </si>
  <si>
    <t>Reģionālu atkritumu apsaimniekošanas sistēmu attīstība</t>
  </si>
  <si>
    <t>Dalītās atkritumu apsaimniekošanas sistēmas attīstība</t>
  </si>
  <si>
    <t>Infrastruktūras izveide Natura 2000 teritorijās</t>
  </si>
  <si>
    <t>Vides monitoringa un kontroles sistēmas attīstība</t>
  </si>
  <si>
    <t>3.5.2.1.1.</t>
  </si>
  <si>
    <t>Pasākumi centralizētās siltumapgādes sistēmu efektivitātes paaugstināšanai</t>
  </si>
  <si>
    <t>Atjaunojamo energoresursu izmantojošu koģenerācijas elektrostaciju attīstība</t>
  </si>
  <si>
    <t>3.6.1.1.</t>
  </si>
  <si>
    <t>Nacionālas un reģionālas nozīmes attīstības centru izaugsmes veicināšana līdzsvarotai valsts attīstībai</t>
  </si>
  <si>
    <t>Rīgas pilsētas ilgtspējīga attīstība</t>
  </si>
  <si>
    <t>Atbalsts novadu pašvaldību kompleksai attīstībai</t>
  </si>
  <si>
    <t>2.3.2.2.2.</t>
  </si>
  <si>
    <t>3.5.2.1.</t>
  </si>
  <si>
    <t>1.3.</t>
  </si>
  <si>
    <t>1.3.1.1.6.</t>
  </si>
  <si>
    <t>2.2.1.4.</t>
  </si>
  <si>
    <t>15=10-12-14</t>
  </si>
  <si>
    <t>16=9-12-14</t>
  </si>
  <si>
    <t>Pārtrauktii līgumi, LVL</t>
  </si>
  <si>
    <t>Aktivitāte/apakšaktivitāte Numurs</t>
  </si>
  <si>
    <t>Aktivitāte/apakšaktivitāte Nosaukums</t>
  </si>
  <si>
    <t>Neatbilstoši veikto izdevumu summa, LVL</t>
  </si>
  <si>
    <t>Koefic. (ES fondi / publiskais fin.)</t>
  </si>
  <si>
    <t>Veiktais maksājums FS, LVL</t>
  </si>
  <si>
    <t>Prioritātes/Pasākuma/ Aktivitātes nosaukums</t>
  </si>
  <si>
    <t>Fonds</t>
  </si>
  <si>
    <t>Kopā VISI fondi</t>
  </si>
  <si>
    <t>Kopā ESF</t>
  </si>
  <si>
    <t>Kopā ERAF</t>
  </si>
  <si>
    <t>Kopā KF</t>
  </si>
  <si>
    <t>I DP</t>
  </si>
  <si>
    <t>II DP</t>
  </si>
  <si>
    <t>III DP</t>
  </si>
  <si>
    <t>I darbības programma  "Cilvēkreursi un nodarbinātība"</t>
  </si>
  <si>
    <t>Prioritāte "Augstākā izglītība un zinātne"</t>
  </si>
  <si>
    <t>Pasākums "Zinātnes un pētniecības potenciāla attīstība"</t>
  </si>
  <si>
    <t>Aktivitāte "Zinātnes un inovāciju politikas veidošanas un administratīvās kapacitātes stiprināšana"</t>
  </si>
  <si>
    <t>Aktivitāte "Cilvēkresursu piesaiste zinātnei"</t>
  </si>
  <si>
    <t>Aktivitāte "Motivācijas veicināšana zinātniskajai darbībai"</t>
  </si>
  <si>
    <t>Pasākums "Augstākās izglītības attīstība"</t>
  </si>
  <si>
    <t>Aktivitāte "Atbalsts doktora un maģistra studiju īstenošanai"</t>
  </si>
  <si>
    <t>Apakšaktivitāte "Atbalsts maģistra studiju programmu īstenošanai"</t>
  </si>
  <si>
    <t>Apakšaktivitāte "Atbalsts doktora studiju programmu īstenošanai"</t>
  </si>
  <si>
    <t>Aktivitāte "Atbalsts augstākās izglītības studiju uzlabošanai"</t>
  </si>
  <si>
    <t>Apakšaktivitāte "Studiju programmu satura un īstenošanas uzlabošana un akadēmiskā personāla kompetences pilnveidošana"</t>
  </si>
  <si>
    <t> Apakšaktivitāte "Boloņas procesa principu ieviešana augstākajā izglītībā"</t>
  </si>
  <si>
    <t>Prioritāte "Izglītība un prasmes"</t>
  </si>
  <si>
    <t>Pasākums "Profesionālās izglītības un vispārējo prasmju attīstība"</t>
  </si>
  <si>
    <t>Aktivitāte "Profesionālās izglītības sistēmas attīstība, kvalitātes, atbilstības un pievilcības uzlabošana"</t>
  </si>
  <si>
    <t>Apakšaktivitāte "Nozaru kvalifikāciju sistēmas izveide un profesionālās izglītības pārstrukturizācija"</t>
  </si>
  <si>
    <t>Apakšaktivitāte "Profesionālajā izglītībā iesaistīto pedagogu kompetences paaugstināšana"</t>
  </si>
  <si>
    <t>Apakšaktivitāte "Atbalsts sākotnējās profesionālās izglītības programmu īstenošanas kvalitātes uzlabošanai un īstenošanai"</t>
  </si>
  <si>
    <t>Apakšaktivitāte "Sākotnējās profesionālās izglītības pievilcības veicināšana"</t>
  </si>
  <si>
    <t>Aktivitāte "Vispārējo zināšanu un prasmju uzlabošana"</t>
  </si>
  <si>
    <t>Apakšaktivitāte "Vispārējās vidējās izglītības satura reforma, mācību priekšmetu, metodikas un mācību sasniegumu vērtēšanas sistēmas uzlabošana"</t>
  </si>
  <si>
    <t>Apakšaktivitāte "Atbalsts vispārējās izglītības pedagogu nodrošināšanai prioritārajos mācību priekšmetos"</t>
  </si>
  <si>
    <t>Apakšaktivitāte "Vispārējās izglītības pedagogu kompetences paaugstināšana un prasmju atjaunošana"</t>
  </si>
  <si>
    <t>Pasākums "Mūžizglītības attīstība un izglītībā un mūžizglītībā iesaistīto institūciju rīcībspējas un sadarbības uzlabošana"</t>
  </si>
  <si>
    <t>Aktivitāte "Mūžizglītības attīstība"</t>
  </si>
  <si>
    <t>Apakšaktivitāte " Mūžizglītības pārvaldes struktūras izveide nacionālā līmenī un inovatīvu mūžizglītības politikas instrumentu izstrāde"</t>
  </si>
  <si>
    <t>Apakšaktivitāte "Atbalsts Mūžizglītības politikas pamatnostādņu īstenošanai"</t>
  </si>
  <si>
    <t>Apakšaktivitāte „Īpašu mūžizglītības politikas jomu atbalsts</t>
  </si>
  <si>
    <t>Apakšaktivitāte "Pedagogu konkurētspējas veicināšana izglītības sistēmas optimizācijas apstākļos"</t>
  </si>
  <si>
    <t>Aktivitāte "Profesionālās orientācijas un karjeras izglītības attīstība, profesionāli orientētās izglītības attīstība"</t>
  </si>
  <si>
    <t>Apakšaktivitāte "Profesionālās orientācijas un karjeras izglītības attīstība izglītības sistēmā"</t>
  </si>
  <si>
    <t>Apakšaktivitāte "Profesionālās orientācijas un karjeras izglītības pieejamības palielināšana jauniešiem, profesionāli orientētās izglītības attīstība"</t>
  </si>
  <si>
    <t>Aktivitāte "Par izglītības un mūžizglītības politiku atbildīgo institūciju rīcībspējas un sadarbības stiprināšana"</t>
  </si>
  <si>
    <t>Apakšaktivitāte „Atbalsts izglītības pētījumiem”</t>
  </si>
  <si>
    <t>Aktivitāte "Izglītības pieejamības nodrošināšana sociālās atstumtības riskam pakļautajiem jauniešiem un iekļaujošas izglītības attīstība"</t>
  </si>
  <si>
    <t>Apakšaktivitāte "Iekļaujošas izglītības un sociālās atstumtības riskam pakļauto jauniešu atbalsta sistēmas izveide, nepieciešamā personāla sagatavošana, nodrošināšana un kompetences paaugstināšana"</t>
  </si>
  <si>
    <t>Apakšaktivitāte "Atbalsta pasākumu īstenošana jauniešu sociālās atstumtības riska mazināšanai un jauniešu ar funkcionālajiem traucējumiem integrācijai izglītībā"</t>
  </si>
  <si>
    <t>Prioritāte "Nodarbinātības veicināšana un veselība darbā"</t>
  </si>
  <si>
    <t>Pasākums "Nodarbinātība"</t>
  </si>
  <si>
    <t>Aktivitāte "Darbaspējas vecuma iedzīvotāju konkurētspējas paaugstināšana darba tirgū, t.sk., nodarbināto pārkvalifikācija un aktīvie nodarbinātības pasākumi"</t>
  </si>
  <si>
    <t>Apakšaktivitāte "Atbalsts nodarbināto apmācībām komersantu konkurētspējas veicināšanai - atbalsts partnerībās organizētām apmācībām "</t>
  </si>
  <si>
    <t>Apakšaktivitāte "Bezdarbnieku un darba meklētāju apmācība"</t>
  </si>
  <si>
    <t>Apakšaktivitāte "Atbalsts nodarbināto apmācībām komersantu konkurētspējas veicināšanai - atbalsts komersantu individuāli organizētām apmācībām"</t>
  </si>
  <si>
    <t>Apakšaktivitāte "Atbalsts potenciālo bezdarbnieku apmācībai"</t>
  </si>
  <si>
    <t>Aktivitāte "Atbalsts darba vietu radīšanai"</t>
  </si>
  <si>
    <t>Aktivitāte "Atbalsts pašnodarbinātības un uzņēmējdarbības uzsākšanai"</t>
  </si>
  <si>
    <t>Aktivitāte "Darba attiecību un darba drošības normatīvo aktu  praktiska piemērošana un uzraudzības pilnveidošana"</t>
  </si>
  <si>
    <t>Apakšaktivitāte "Darba attiecību un darba drošības normatīvo aktu uzraudzības pilnveidošana"</t>
  </si>
  <si>
    <t>Apakšaktivitāte "Darba attiecību un darba drošības normatīvo aktu praktiska piemērošana nozarēs un uzņēmumos"</t>
  </si>
  <si>
    <t>Aktivitāte "Kapacitātes stiprināšana darba tirgus institūcijām"</t>
  </si>
  <si>
    <t>Aktivitāte "Vietējo nodarbinātības veicināšanas pasākumu plānu ieviešanas atbalsts"</t>
  </si>
  <si>
    <t>Aktivitāte "Atbalsts dzimumu līdztiesības veicināšanai darba tirgū"</t>
  </si>
  <si>
    <t>Aktivitāte "Darba tirgus pieprasījuma īstermiņa un ilgtermiņa prognozēšanas un uzraudzības sistēmas attīstība"</t>
  </si>
  <si>
    <t>Aktivitāte "Atbalsts labāko inovatīvo risinājumu meklējumiem un labas prakses piemēru integrēšanai darba tirgus politikās un ieviešanas instrumentārijos"</t>
  </si>
  <si>
    <t>Aktivitāte "Augstas kvalifikācijas darbinieku piesaiste"</t>
  </si>
  <si>
    <t>Pasākums "Veselība darbā"</t>
  </si>
  <si>
    <t>Aktivitāte "Veselības uzlabošana darbavietā, veicinot ilgtspējīgu nodarbinātību"</t>
  </si>
  <si>
    <t>Aktivitāte "Pētījumi un aptaujas par veselību darbā"</t>
  </si>
  <si>
    <t>Aktivitāte "Veselības aprūpes un veicināšanas procesā iesaistīto institūciju personāla kompetences, prasmju un iemaņu līmeņa paaugstināšana"</t>
  </si>
  <si>
    <t>Prioritāte "Sociālās iekļaušanas veicināšana"</t>
  </si>
  <si>
    <t>Pasākums "Sociālā iekļaušana"</t>
  </si>
  <si>
    <t>Aktivitāte "Iedzīvotāju ekonomiskās aktivitātes stimulēšana"</t>
  </si>
  <si>
    <t>Apakšaktivitāte "Kompleksi atbalsta pasākumi iedzīvotāju integrēšanai darba tirgū"</t>
  </si>
  <si>
    <t>Apakšaktivitāte "Atbalstītās nodarbinātības pasākumi mērķgrupu bezdarbniekiem"</t>
  </si>
  <si>
    <t>Aktivitāte "Darbspēju vērtēšanas sistēmas un sociālo pakalpojumu ieviešanas sistēmas pilnveidošana"</t>
  </si>
  <si>
    <t>Apakšaktivitāte "Darbspēju vērtēšanas sistēmas pilnveidošana"</t>
  </si>
  <si>
    <t>Apakšaktivitāte "Sociālās rehabilitācijas pakalpojumu attīstība personām ar redzes un dzirdes traucējumiem"</t>
  </si>
  <si>
    <t>Prioritāte "Administratīvās kapacitātes stiprināšana"</t>
  </si>
  <si>
    <t>Pasākums "Labāka regulējuma politika"</t>
  </si>
  <si>
    <t>Aktivitāte "Politikas ietekmes novērtēšana un politikas pētījumu veikšana"</t>
  </si>
  <si>
    <t>Apakšaktivitāte "Atbalsts strukturālo reformu īstenošanai un analītisko spēju stiprināšanai valsts pārvaldē"</t>
  </si>
  <si>
    <t>Apakšaktivitāte "Politikas pētījumu veikšana"</t>
  </si>
  <si>
    <t>Aktivitāte "Administratīvo šķēršļu samazināšana un publisko pakalpojumu kvalitātes uzlabošana"</t>
  </si>
  <si>
    <t>Aktivitāte "Publisko varu realizējošo institūciju darbības kvalitātes un efektivitātes paaugstināšana"</t>
  </si>
  <si>
    <t>Apakšaktivitāte "Kvalitātes vadības sistēmas izveide un ieviešana"</t>
  </si>
  <si>
    <t>Apakšaktivitāte "Publisko pakalpojumu kvalitātes paaugstināšana valsts, reģionālā un vietējā līmenī"</t>
  </si>
  <si>
    <t>Pasākums "Cilvēkresursu kapacitātes stiprināšana"</t>
  </si>
  <si>
    <t>Aktivitāte "Publiskās pārvaldes cilvēkresursu plānošanas un vadības IT sistēmas izstrāde un ieviešana"</t>
  </si>
  <si>
    <t>Aktivitāte "Sociālo partneru, nevalstisko organizāciju un pašvaldību kapacitātes stiprināšana"</t>
  </si>
  <si>
    <t>Apakšaktivitāte "Sociālo partneru administratīvās kapacitātes stiprināšana"</t>
  </si>
  <si>
    <t>Apakšaktivitāte "NVO administratīvās kapacitātes stiprināšana"</t>
  </si>
  <si>
    <t>Apakšaktivitāte "Atbalsts pašvaldībām kapacitātes stiprināšanā Eiropas Savienības struktūrfondu finansēto pasākumu ieviešanā"</t>
  </si>
  <si>
    <t>Pasākums "Plānošanas reģionu un vietējo pašvaldību administratīvās un attīstības plānošanas kapacitātes stiprināšana"</t>
  </si>
  <si>
    <t>Aktivitāte "Speciālistu piesaiste plānošanas reģioniem, pilsētām un novadiem"</t>
  </si>
  <si>
    <t>Aktivitāte "Plānošanas reģionu un vietējo pašvaldību attīstības plānošanas kapacitātes paaugstināšana"</t>
  </si>
  <si>
    <t>Prioritāte "Tehniskā palīdzība"</t>
  </si>
  <si>
    <t>Pasākums "Atbalsts darbības programmas "Cilvēkresursi un nodarbinātība" vadībai"</t>
  </si>
  <si>
    <t>Aktivitāte "Programmas vadības un atbalsta funkciju nodrošināšana"</t>
  </si>
  <si>
    <t>Darbības programma "Uzņēmējdarbība un inovācijas"</t>
  </si>
  <si>
    <t>Prioritāte "Zinātne un inovācijas"</t>
  </si>
  <si>
    <t>Pasākums "Zinātne, pētniecība un attīstība"</t>
  </si>
  <si>
    <t>Aktivitāte "Atbalsts zinātnei un pētniecībai"</t>
  </si>
  <si>
    <t>Aktivitāte "Atbalsts starptautiskās sadarbības projektiem zinātnē un tehnoloģijās (EUREKA, 7.IP un citi)"</t>
  </si>
  <si>
    <t>Aktivitāte "Zinātnes un pētniecības infrastruktūras attīstība"</t>
  </si>
  <si>
    <t>Apakšaktivitāte "Zinātnes infrastruktūras attīstība"</t>
  </si>
  <si>
    <t>Apakšaktivitāte "Informācijas tehnoloģiju infrastruktūras un informācijas sistēmu uzlabošana zinātniskajai darbībai"</t>
  </si>
  <si>
    <t>Pasākums "Inovācijas"</t>
  </si>
  <si>
    <t xml:space="preserve"> Aktivitāte "Zinātnes komercializācija un tehnoloģiju pārnese"</t>
  </si>
  <si>
    <t>Apakšaktivitāte "Kompetences centri"</t>
  </si>
  <si>
    <t>Apakšaktivitāte "Tehnoloģiju pārneses kontaktpunkti"</t>
  </si>
  <si>
    <t>Apakšaktivitāte "Tehnoloģiju pārneses centri"</t>
  </si>
  <si>
    <t>Aktivitāte "Jaunu produktu un tehnoloģiju izstrāde"</t>
  </si>
  <si>
    <t>Apakšaktivitāte "Jaunu produktu un tehnoloģiju izstrāde"</t>
  </si>
  <si>
    <t>Apakšaktivitāte "Jaunu produktu un tehnoloģiju izstrāde - atbalsts jaunu produktu un tehnoloģiju ieviešanai ražošanā"</t>
  </si>
  <si>
    <t>Apakšaktivitāte "Jaunu produktu un tehnoloģiju izstrāde - atbalsts rūpnieciskā īpašuma tiesību nostiprināšanai"</t>
  </si>
  <si>
    <t>Apakšaktivitāte "MVK jaunu produktu un tehnoloģiju attīstības programma"</t>
  </si>
  <si>
    <t>Aktivitāte "Zinātnes un tehnoloģiju parks"</t>
  </si>
  <si>
    <t>Apakšaktivitāte "Rīgas zinātnes un tehnoloģiju parka (ZTP) attīstība"</t>
  </si>
  <si>
    <t>Aktivitāte "Augstas pievienotās vērtības investīcijas"</t>
  </si>
  <si>
    <t>Prioritāte "Finanšu pieejamība"</t>
  </si>
  <si>
    <t>Pasākums "Finanšu resursu pieejamība"</t>
  </si>
  <si>
    <t xml:space="preserve"> Aktivitāte "Ieguldījumu fonds investīcijām garantijās, paaugstināta riska aizdevumos, riska kapitāla fondos un cita veida finanšu instrumentos"</t>
  </si>
  <si>
    <t>Aktivitāte "Stratēģisko investoru piesaiste"</t>
  </si>
  <si>
    <t>Apakšaktivitāte "Biznesa eņģeļu tīkls"</t>
  </si>
  <si>
    <t>Apakšaktivitāte "Vērtspapīru birža MVK"</t>
  </si>
  <si>
    <t>Aktivitāte "Garantijas komersantu konkurētspējas uzlabošanai"</t>
  </si>
  <si>
    <t>Aktivitāte "Aizdevumi komersantu konkurētspējas uzlabošanai"</t>
  </si>
  <si>
    <t>Apakšaktivitāte "Atbalsts aizdevumu veidā komersantu konkurētspējas uzlabošanai"</t>
  </si>
  <si>
    <t>Apakšaktivitāte "Mezanīna aizdevumi investīcijām komersantu konkurētspējas uzlabošanai"</t>
  </si>
  <si>
    <t>Prioritāte "Uzņēmējdarbības veicināšana"</t>
  </si>
  <si>
    <t>Pasākums "Uzņēmējdarbības atbalsta aktivitātes"</t>
  </si>
  <si>
    <t>Aktivitāte "Ārējo tirgu apgūšana"</t>
  </si>
  <si>
    <t>Apakšaktivitāte „Ārējo tirgu apgūšana - ārējais mārketings”</t>
  </si>
  <si>
    <t>Apakšaktivitāte „Ārējo tirgu apgūšana – nozaru starptautiskās konkurētspējas stiprināšana”</t>
  </si>
  <si>
    <t>Aktivitāte "Pasākumi motivācijas celšanai inovācijām un uzņēmējdarbības uzsākšanai"</t>
  </si>
  <si>
    <t>Pasākums "Uzņēmējdarbības infrastruktūras un aprīkojuma uzlabojumi"</t>
  </si>
  <si>
    <t>Aktivitāte "Biznesa inkubatori"</t>
  </si>
  <si>
    <t>Aktivitāte "Atbalsts ieguldījumiem mikro, maziem un vidējiem komersantiem īpaši atbalstāmajās teritorijās (ĪAT)"</t>
  </si>
  <si>
    <t>Apakšaktivitāte "Atbalsts ieguldījumiem ražošanas telpu izveidei vai rekonstrukcijai"</t>
  </si>
  <si>
    <t>Aktivitāte "Klasteru programma"</t>
  </si>
  <si>
    <t>Pasākums "Atbalsts darbības programmas "Uzņēmējdarbība un inovācijas" vadībai"</t>
  </si>
  <si>
    <t>III darbības programma "Infrastruktūra un pakalpojumi"</t>
  </si>
  <si>
    <t>III DP - ERAF</t>
  </si>
  <si>
    <t>III DP - KF</t>
  </si>
  <si>
    <t>Prioritāte "Infrastruktūra cilvēku kapitāla nostiprināšanai"</t>
  </si>
  <si>
    <t>Pasākums "Profesionālās izglītības infrastruktūra"</t>
  </si>
  <si>
    <t>Aktivitāte "Profesionālās izglītības infrastruktūras attīstība un mācību aprīkojuma modernizācija ieslodzījuma vietās"</t>
  </si>
  <si>
    <t>Pasākums "Augstākās izglītības infrastruktūra"</t>
  </si>
  <si>
    <t>Apakšaktivitāte "Jaunu koledžas studiju programmu attīstība aviācijas nozarē"</t>
  </si>
  <si>
    <t>Pasākums "Izglītības infrastruktūra vispārējo prasmju nodrošināšanai"</t>
  </si>
  <si>
    <t>Aktivitāte "Atbalsts vispārējās izglītības iestāžu tīkla optimizācijai"</t>
  </si>
  <si>
    <t>Aktivitāte "Speciālās izglītības iestāžu un vispārējās izglītības iestāžu infrastruktūras uzlabošana izglītojamajiem ar speciālām vajadzībām"</t>
  </si>
  <si>
    <t>Apakšaktivitāte "Speciālās izglītības iestāžu infrastruktūras un aprīkojuma uzlabošana"</t>
  </si>
  <si>
    <t>Apakšaktivitāte "Vispārējās izglītības iestāžu infrastruktūras uzlabošana izglītojamajiem ar funkcionāliem traucējumiem"</t>
  </si>
  <si>
    <t>Pasākums "Nodarbinātības un sociālo pakalpojumu infrastruktūra"</t>
  </si>
  <si>
    <t>Aktivitāte "Darbspēju vērtēšanas un sociālo pakalpojumu ieviešanas institūciju infrastruktūras pilnveidošana"</t>
  </si>
  <si>
    <t>Apakšaktivitāte "Infrastruktūras pilnveidošana un zinātniski tehniskās bāzes nodrošināšana darbspēju un funkcionālo traucējumu izvērtēšanai"</t>
  </si>
  <si>
    <t>Aktivitāte "Infrastruktūras pilnveidošana profesionālās rehabilitācijas pakalpojumu sniegšanai"</t>
  </si>
  <si>
    <t>Apakšaktivitāte "Infrastruktūras pilnveidošana sociālās rehabilitācijas pakalpojumu sniegšanai personām ar redzes un dzirdes traucējumiem"</t>
  </si>
  <si>
    <t>Apakšaktivitāte "Jaunu filiāļu izveide tehnisko palīglīdzekļu nodrošināšanai"</t>
  </si>
  <si>
    <t>Apakšaktivitāte "Infrastruktūras pilnveidošana sociālās rehabilitācijas pakalpojumu sniegšanai personām ar garīga rakstura traucējumiem"</t>
  </si>
  <si>
    <t>Aktivitāte "Pirmsskolas izglītības iestāžu infrastruktūras attīstība nacionālas un reģionālas nozīmes attīstības centros"</t>
  </si>
  <si>
    <t>Aktivitāte "Atbalsts alternatīvās aprūpes pakalpojumu pieejamības attīstībai"</t>
  </si>
  <si>
    <t>Pasākums "Veselības aprūpes infrastruktūra"</t>
  </si>
  <si>
    <t>Neatliekamās medicīniskās palīdzības attīstība</t>
  </si>
  <si>
    <t>Stacionārās veselības aprūpes pakalpojumu sniedzēju attīstība</t>
  </si>
  <si>
    <t>Prioritāte "Teritoriju pieejamības un sasniedzamības veicināšana"</t>
  </si>
  <si>
    <t>Pasākums "Pieejamības un transporta sistēmas attīstība"</t>
  </si>
  <si>
    <t>Aktivitāte "Tranzītielu sakārtošana pilsētu teritorijās"</t>
  </si>
  <si>
    <t>Aktivitāte "Satiksmes drošības uzlabojumi apdzīvotās vietās un Rīgā"</t>
  </si>
  <si>
    <t>Apakšaktivitāte "Satiksmes drošības uzlabojumi Rīgā"</t>
  </si>
  <si>
    <t>Aktivitāte "Mazo ostu infrastruktūras uzlabošana"</t>
  </si>
  <si>
    <t>Aktivitāte "Publiskais transports ārpus Rīgas"</t>
  </si>
  <si>
    <t>Pasākums "IKT infrastruktūra un pakalpojumi"</t>
  </si>
  <si>
    <t>Aktivitāte "Publiskās pārvaldes elektronisko pakalpojumu un informācijas sistēmu attīstība"</t>
  </si>
  <si>
    <t>Apakšaktivitāte "Informācijas sistēmu un elektronisko pakalpojumu attīstība"</t>
  </si>
  <si>
    <t>Apakšaktivitāte "Izglītības iestāžu informatizācija"</t>
  </si>
  <si>
    <t>Aktivitāte "Publisko interneta pieejas punktu attīstība"</t>
  </si>
  <si>
    <t>Aktivitāte "Elektronisko sakaru pakalpojumu vienlīdzīgas pieejamības nodrošināšana visā valsts teritorijā (platjoslas tīkla attīstība)"</t>
  </si>
  <si>
    <t>Aktivitāte "Valsts nozīmes elektronisko sakaru tīklu izveide, attīstība un pilnveidošana, informācijas datu pārraides drošības nodrošināšana"</t>
  </si>
  <si>
    <t>Apakšaktivitāte "Valsts nozīmes elektronisko sakaru tīklu izveide, attīstība un pilnveidošana"</t>
  </si>
  <si>
    <t>Apakšaktivitāte "Informācijas datu pārraides drošības nodrošināšana"</t>
  </si>
  <si>
    <t>Prioritāte "Eiropas nozīmes transporta tīklu attīstība un ilgtspējīga transporta veicināšana"</t>
  </si>
  <si>
    <t>Pasākums "Liela mēroga transporta infrastruktūras uzlabojumi un attīstība"</t>
  </si>
  <si>
    <t>Aktivitāte "TEN-T autoceļu tīkla uzlabojumi"</t>
  </si>
  <si>
    <t>Aktivitāte "TEN-T dzelzceļa posmu rekonstrukcija un attīstība (Austrumu-Rietumu dzelzceļa koridora infrastruktūras attīstība un Rail Baltica)"</t>
  </si>
  <si>
    <t>Aktivitāte "Lielo ostu infrastruktūras attīstība „Jūras maģistrāļu” ietvaros"</t>
  </si>
  <si>
    <t>Aktivitāte "Lidostu infrastruktūras attīstība"</t>
  </si>
  <si>
    <t>Aktivitāte "Pilsētu infrastruktūras uzlabojumi sasaistei ar TEN-T"</t>
  </si>
  <si>
    <t>Aktvitiāte "Liepājas Karostas ilgtspējīgas attīstības priekšnoteikumu nodrošināšana"</t>
  </si>
  <si>
    <t>Pasākums "Ilgtspējīgas transporta sistēmas attīstība"</t>
  </si>
  <si>
    <t>Aktivitāte "Ilgtspējīga sabiedriskā transporta sistēmas attīstība"</t>
  </si>
  <si>
    <t>Aktivitāte "Ūdenssaimniecības infrastruktūras attīstība apdzīvotās vietās ar iedzīvotāju skaitu līdz 2000"</t>
  </si>
  <si>
    <t>Aktivitāte "Bioloģiskās daudzveidības saglabāšanas ex situ infrastruktūras izveide"</t>
  </si>
  <si>
    <t>Aktivitāte "Vēsturiski piesārņoto vietu sanācija"</t>
  </si>
  <si>
    <t>Aktivitāte "Vides risku samazināšana"</t>
  </si>
  <si>
    <t>Apakšaktivitāte "Plūdu risku samazināšana grūti prognozējamu vižņu-ledus parādību gadījumos"</t>
  </si>
  <si>
    <t>Apakšaktivitāte "Hidrotehnisko būvju rekonstrukcija plūdu draudu risku novēršanai un samazināšanai"</t>
  </si>
  <si>
    <t>Pasākums "Tūrisms"</t>
  </si>
  <si>
    <t>Apakšaktivitāte "Nacionālās nozīmes velotūrisma produkta attīstība"</t>
  </si>
  <si>
    <t>Apakšaktivitāte "Nacionālās nozīmes kultūras, aktīvā, veselības un rekreatīvā tūrisma produkta attīstība"</t>
  </si>
  <si>
    <t>Aktivitāte "Tūrisma informācijas sistēmas attīstība"</t>
  </si>
  <si>
    <t>Pasākums "Kultūrvides sociālekonomiskā ietekme"</t>
  </si>
  <si>
    <t>Aktivitāte "Atbalsts kultūras pieminekļu privātīpašniekiem kultūras pieminekļu saglabāšanā un to sociālekonomiskā potenciāla efektīvā izmantošanā"</t>
  </si>
  <si>
    <t>Pasākums "Mājokļa energoefektivitāte"</t>
  </si>
  <si>
    <t>Aktivitāte "Daudzdzīvokļu māju siltumnoturības uzlabošanas pasākumi"</t>
  </si>
  <si>
    <t>Prioritāte "Vides infrastruktūras un videi draudzīgas enerģētikas veicināšana"</t>
  </si>
  <si>
    <t>Pasākums "Vides aizsardzības infrastruktūra"</t>
  </si>
  <si>
    <t>Aktivitāte "Ūdenssaimniecības infrastruktūras attīstība aglomerācijās ar cilvēku ekvivalentu lielāku par 2000"</t>
  </si>
  <si>
    <t>Aktivitāte "Reģionālu atkritumu apsaimniekošanas sistēmu attīstība"</t>
  </si>
  <si>
    <t>Apakšaktivitāte "Normatīvo aktu prasībām neatbilstošo izgāztuvju rekultivācija"</t>
  </si>
  <si>
    <t>Apakšaktivitāte "Reģionālu atkritumu apsaimniekošanas sistēmu attīstība"</t>
  </si>
  <si>
    <t>Apakšaktivitāte "Dalītās atkritumu apsaimniekošanas sistēmas attīstība"</t>
  </si>
  <si>
    <t>Aktivitāte "Infrastruktūras izveide Natura 2000 teritorijās"</t>
  </si>
  <si>
    <t>Aktivitāte "Vides monitoringa un kontroles sistēmas attīstība"</t>
  </si>
  <si>
    <t>Pasākums "Enerģētika"</t>
  </si>
  <si>
    <t>Aktivitāte "Pasākumi siltumapgādes sistēmu efektivitātes paaugstināšanai"</t>
  </si>
  <si>
    <t>Apakšaktivitāte "Pasākumi centralizētās siltumapgādes sistēmu efektivitātes paaugstināšanai"</t>
  </si>
  <si>
    <t>Apakšaktivitāte "Pasākumi uzņēmumu siltumapgādes sistēmu efektivitātes paaugstināšanai"</t>
  </si>
  <si>
    <t>Aktivitāte "Atjaunojamo energoresursu izmantojošu koģenerācijas elektrostaciju attīstība"</t>
  </si>
  <si>
    <t>Aktivitāte "Vēja elektrostaciju attīstība"</t>
  </si>
  <si>
    <t>Aktivitāte "Daugavas hidroelektrostaciju aizsprostu pārgāžņu rekonstrukcija"</t>
  </si>
  <si>
    <t>Prioritāte "Policentriska attīstība"</t>
  </si>
  <si>
    <t>Pasākums "Atbalsts ilgtspējīgai pilsētvides un pilsētreģionu attīstībai"</t>
  </si>
  <si>
    <t>Aktivitāte "Nacionālas un reģionālas nozīmes attīstības centru izaugsmes veicināšana līdzsvarotai valsts attīstībai"</t>
  </si>
  <si>
    <t>Pasākums "Komplekss atbalsts novadu pašvaldību izaugsmes sekmēšanai"</t>
  </si>
  <si>
    <t>Aktivitāte "Atbalsts novadu pašvaldību kompleksai attīstībai"</t>
  </si>
  <si>
    <t>Prioritāte "Tehniskā palīdzība ERAF ieviešanai"</t>
  </si>
  <si>
    <t>Pasākums "Atbalsts darbības programmas "Infrastruktūra un pakalpojumi" vadībai"</t>
  </si>
  <si>
    <t>Prioritāte "Tehniskā palīdzība KF ieviešanai"</t>
  </si>
  <si>
    <t>Pasākums "Atbalsts Kohēzijas fonda vadībai"</t>
  </si>
  <si>
    <t>ERAF / KF</t>
  </si>
  <si>
    <t>VeM</t>
  </si>
  <si>
    <t>Vkanceleja</t>
  </si>
  <si>
    <t>VARAM</t>
  </si>
  <si>
    <t>Aktivitāte "Kvalitatīvai dabaszinātņu apguvei atbilstošas materiālās bāzes nodrošināšana"</t>
  </si>
  <si>
    <t>Aktivitāte "Sociālo dzīvojamo māju siltumnoturības uzlabošanas pasākumi"</t>
  </si>
  <si>
    <t>Prioritātes/Pasākuma/Aktivitātes Nr.</t>
  </si>
  <si>
    <t>Pasākums "Vide"</t>
  </si>
  <si>
    <t>Prioritāte "Kvalitatīvas vides dzīvei un ekonomiskai aktivitātei nodrošināšana"</t>
  </si>
  <si>
    <t>Piešķirtās virssaistības līdz 08.05.2012.</t>
  </si>
  <si>
    <t>Kopā:</t>
  </si>
  <si>
    <t>Aktivitāte "Rīgas pilsētas ilgtspējīga attīstība"*</t>
  </si>
  <si>
    <t>Aktivitāte "Nacionālās nozīmes tūrisma produkta attīstība"*</t>
  </si>
  <si>
    <t>Apakšaktivitāte "Valsts nozīmes pilsētbūvniecības pieminekļu saglabāšana, atjaunošana un infrastruktūras pielāgošana tūrisma produkta attīstībai"*</t>
  </si>
  <si>
    <t>Aktivitāte "Nacionālas un reģionālas nozīmes daudzfunkcionālu centru izveide"*</t>
  </si>
  <si>
    <t>Aktivitāte "Sociālekonomiski nozīmīgu kultūras mantojuma objektu atjaunošana"*</t>
  </si>
  <si>
    <t>Apakšaktivitāte "Satiksmes drošības uzlabojumi apdzīvotās vietās ārpus Rīgas"*</t>
  </si>
  <si>
    <t>Apakšaktivitāte "Augstākās izglītības iestāžu telpu un iekārtu modernizēšana studiju programmu kvalitātes uzlabošanai, tajā skaitā, nodrošinot izglītības programmu apgūšanas iespējas arī personām ar funkcionāliem traucējumiem"*</t>
  </si>
  <si>
    <t>Aktivitāte "Valsts 1.šķiras autoceļu maršrutu sakārtošana"**</t>
  </si>
  <si>
    <t>Aktivitāte "Mācību aprīkojuma modernizācija un infrastruktūras uzlabošana profesionālās izglītības programmu īstenošanai"**</t>
  </si>
  <si>
    <t>Report Filter:</t>
  </si>
  <si>
    <t>View Filter:</t>
  </si>
  <si>
    <t>Total</t>
  </si>
  <si>
    <t>({Valsts stratēģiskais ietvardokuments} = 2007LV161NS001:Valsts stratēģiskais ietvardokuments 2007.-2013.gada periodam) And ({Projekta statuss} = Pārtraukts uzraudzības periodā, Pārtraukts)</t>
  </si>
  <si>
    <t>Eiropas Reģionālās attīstības fonds</t>
  </si>
  <si>
    <t>Eiropas Sociālais fonds</t>
  </si>
  <si>
    <t>Valsts budžeta finansējums</t>
  </si>
  <si>
    <t>Kohēzijas fonds</t>
  </si>
  <si>
    <t>({Valsts stratēģiskais ietvardokuments} = 2007LV161NS001:Valsts stratēģiskais ietvardokuments 2007.-2013.gada periodam) And ({Projekta statuss} = Līgums/Lēmums:Līgums/Lēmums, Pabeigts:Pabeigts)</t>
  </si>
  <si>
    <t>6.2.</t>
  </si>
  <si>
    <t>5.1.</t>
  </si>
  <si>
    <r>
      <t>Virssaistību finansējums (ES fondu daļa) atbilstoši apst. MK p/l, LVL</t>
    </r>
    <r>
      <rPr>
        <b/>
        <vertAlign val="superscript"/>
        <sz val="14"/>
        <rFont val="Times New Roman"/>
        <family val="1"/>
        <charset val="186"/>
      </rPr>
      <t>2</t>
    </r>
  </si>
  <si>
    <t>Apakšaktivitāte "Sociālās rehabilitācijas un institūcijām alternatīvu sociālās aprūpes pakalpojumu attīstība reģionos"</t>
  </si>
  <si>
    <t>Aktivitāte "Darba tirgus institūciju infrastruktūras pilnveidošana"</t>
  </si>
  <si>
    <t>Aktivitāte "Ambulatorās veselības aprūpes attīstība"</t>
  </si>
  <si>
    <t>Apakšaktivitāte "Ģimenes ārstu tīkla attīstība"</t>
  </si>
  <si>
    <t>({Valsts stratēģiskais ietvardokuments} = 2007LV161NS001:Valsts stratēģiskais ietvardokuments 2007.-2013.gada periodam) And ({Maksājuma veids} = AM:avansa maksājums, SM:starpposma maksājums, NM:noslēguma maksājums, AMD:Deklarējams avansa maksājums) And ({Pieprasījuma statuss} = 05PSTAT:Daļēji samaksāts, 04PSTAT:Samaksāts)</t>
  </si>
  <si>
    <t>Elektronisko sakaru pakalpojumu vienlīdzīgas pieejamības nodrošināšana visā valsts teritorijā (platjoslas tīkla attīstība)</t>
  </si>
  <si>
    <t xml:space="preserve">Brīvais finansējums  uz 08.05.2012., LVL </t>
  </si>
  <si>
    <t xml:space="preserve">Pieejamais publiskais finansējums un virssaistību finansējums kopā uz 08.05.2012., LVL </t>
  </si>
  <si>
    <t>Virssaistību finansējums atbilstoši apst. MK p/l, LVL</t>
  </si>
  <si>
    <t>Publiskais finansējums (ES +VB (neskaitot valsts budžeta dotāciju pašvaldībām)) atbilstoši konceptuāli apst. MK p/l, LVL</t>
  </si>
  <si>
    <t>Metrics</t>
  </si>
  <si>
    <t>Finansējuma avots</t>
  </si>
  <si>
    <t>({Valsts stratēģiskais ietvardokuments} = 2007LV161NS001:Valsts stratēģiskais ietvardokuments 2007.-2013.gada periodam) And ({Projekta statuss} = Pabeigts, Līgums/Lēmums) And ({Neatbilstības veids (novērtējums)} &lt;&gt; Kļūda (izdevumi ir deklarēti), Kļūda (izdevumi nav deklarēti), Anulēta neatbilstība, Flat-rate korekcija) And ({Finansējuma avots} = ERAF:ERAF:ERAF:Eiropas Reģionālās attīstības fonds:1, ESF:ESF:ESF:Eiropas Sociālais fonds:2, KF:KF:KF:Kohēzijas fonds:5, VB:Attiecināmais valsts budžeta finansējums:VBF:Valsts budžeta finansējums:6)</t>
  </si>
  <si>
    <t>Liepājas Karostas ilgtspējīgas attīstības priekšnoteikumu nodrošināšana</t>
  </si>
  <si>
    <t>JĀ / NĒ</t>
  </si>
  <si>
    <t>Klasteru programma</t>
  </si>
  <si>
    <t>Akt./Apakšakt.</t>
  </si>
  <si>
    <t>Finansējums, LVL</t>
  </si>
  <si>
    <t>VBF</t>
  </si>
  <si>
    <t>Zinātnes un inovāciju politikas veidošanas un administratīvās kapacitātes stiprināšana</t>
  </si>
  <si>
    <t>Motivācijas veicināšana zinātniskajai darbībai</t>
  </si>
  <si>
    <t>Boloņas procesa principu ieviešana augstākajā izglītībā</t>
  </si>
  <si>
    <t>Mūžizglītības pārvaldes struktūras izveide nacionālā līmenī un inovatīvu mūžizglītības politikas instrumentu izstrāde</t>
  </si>
  <si>
    <t>Īpašu mūžizglītības politikas jomu atbalsts</t>
  </si>
  <si>
    <t>Profesionālās orientācijas un karjeras izglītības attīstība izglītības sistēmā</t>
  </si>
  <si>
    <t>Profesionālās orientācijas un karjeras izglītības pieejamības palielināšana jauniešiem, profesionāli orientētās izglītības attīstība</t>
  </si>
  <si>
    <t>Par izglītības un mūžizglītības politiku atbildīgo institūciju rīcībspējas un sadarbības stiprināšana</t>
  </si>
  <si>
    <t>Atbalsts darba vietu radīšanai</t>
  </si>
  <si>
    <t>Atbalsts dzimumu līdztiesības veicināšanai darba tirgū</t>
  </si>
  <si>
    <t>Atbalsts labāko inovatīvo risinājumu meklējumiem un labas prakses piemēru integrēšanai darba tirgus politikās un ieviešanas instrumentārijos</t>
  </si>
  <si>
    <t>Veselības uzlabošana darbavietā, veicinot ilgtspējīgu nodarbinātību</t>
  </si>
  <si>
    <t>Pētījumi un aptaujas par veselību darbā</t>
  </si>
  <si>
    <t>Politikas pētījumu veikšana</t>
  </si>
  <si>
    <t>Tehnoloģiju pārneses centri</t>
  </si>
  <si>
    <t>MVK jaunu produktu un tehnoloģiju attīstības programma</t>
  </si>
  <si>
    <t>Rīgas zinātnes un tehnoloģiju parka (ZTP) attīstība</t>
  </si>
  <si>
    <t>Biznesa eņģeļu tīkls</t>
  </si>
  <si>
    <t>Vērtspapīru birža MVK</t>
  </si>
  <si>
    <t>Jaunu koledžas studiju programmu attīstība aviācijas nozarē</t>
  </si>
  <si>
    <t>Jaunu filiāļu izveide tehnisko palīglīdzekļu nodrošināšanai</t>
  </si>
  <si>
    <t>Publisko interneta pieejas punktu attīstība</t>
  </si>
  <si>
    <t>Valsts nozīmes elektronisko sakaru tīklu izveide, attīstība un pilnveidošana</t>
  </si>
  <si>
    <t>Informācijas datu pārraides drošības nodrošināšana</t>
  </si>
  <si>
    <t>Nacionālas nozīmes kultūras, aktīvā un rekreatīvā tūrisma produkta attīstība</t>
  </si>
  <si>
    <t>Tūrisma informācijas sistēmas attīstība</t>
  </si>
  <si>
    <t>Pasākumi uzņēmumu siltumapgādes sistēmu efektivitātes paaugstināšanai</t>
  </si>
  <si>
    <t>Vēja elektrostaciju attīstība</t>
  </si>
  <si>
    <t>Daugavas hidroelektrostaciju aizsprostu pārgāžņu rekonstrukcija</t>
  </si>
  <si>
    <t>13072012_neatbilstības</t>
  </si>
  <si>
    <t>13072012_pārtraukti_līgumi</t>
  </si>
  <si>
    <t>13072012_noslēgti_līgumi</t>
  </si>
  <si>
    <t>13072012_veiktais_maksājums</t>
  </si>
  <si>
    <t>17=10-15</t>
  </si>
  <si>
    <t>19=18/6</t>
  </si>
  <si>
    <t>Noslēgto virssaistību finansējuma līguma % pret virssaistību piešķīrumu</t>
  </si>
  <si>
    <t>Februāris</t>
  </si>
  <si>
    <t>Marts</t>
  </si>
  <si>
    <t>Aprīlis</t>
  </si>
  <si>
    <t>Maijs</t>
  </si>
  <si>
    <t>Jūnijs</t>
  </si>
  <si>
    <t>Jūlijs</t>
  </si>
  <si>
    <t>Augusts</t>
  </si>
  <si>
    <t>Septembris</t>
  </si>
  <si>
    <t>Oktobris</t>
  </si>
  <si>
    <t>Novembris</t>
  </si>
  <si>
    <t>Prognoze lauztajiem līgumiem un neatbilstībām 09.05.2012.-31.12.2015. (publiskais fin.)</t>
  </si>
  <si>
    <t>publiskais finansējums</t>
  </si>
  <si>
    <t>Privāt. fin.</t>
  </si>
  <si>
    <t>LV fin.</t>
  </si>
  <si>
    <t>PBF</t>
  </si>
  <si>
    <t>ES fondi</t>
  </si>
  <si>
    <t>Piešķirtais finansējums aktivitātei/apakšaktivitātei, LVL</t>
  </si>
  <si>
    <t>Aktivitāte/apakšaktivitāte</t>
  </si>
  <si>
    <t>Neatbilstību un lauzto līgumu summa (publiskā fin.daļa) no 09.05.2012. līdz 31.12.2012., LVL</t>
  </si>
  <si>
    <t>18=13-5+11-8</t>
  </si>
  <si>
    <t>2.3.2.2.1.</t>
  </si>
  <si>
    <t>Neatbilstība ({Neatbilstības ziņojuma sagatavošanas datums}) &lt;= 31.07.2013</t>
  </si>
  <si>
    <t>(Projekts ({Statusa izmaiņas datums}) &lt;= 31.07.2013) And ({Finansējuma avots} = ERAF:ERAF:ERAF:Eiropas Reģionālās attīstības fonds:1, ESF:ESF:ESF:Eiropas Sociālais fonds:2, KF:KF:KF:Kohēzijas fonds:5, VB:Attiecināmais valsts budžeta finansējums:VBF:Valsts budžeta finansējums:6)</t>
  </si>
  <si>
    <t>Atbalsts ieguldījumiem ražošanas telpu izveidei vai rekonstrukcijai</t>
  </si>
  <si>
    <t>({Maksājuma veikšanas datums} (Datums) &lt;= 31.07.2013) And ({Maksājuma veikšanas datums} (Datums) &gt;= 01.01.2013) And ({Finansējuma avots} = ERAF:ERAF:ERAF:Eiropas Reģionālās attīstības fonds:1, ESF:ESF:ESF:Eiropas Sociālais fonds:2, KF:KF:KF:Kohēzijas fonds:5, VB:Attiecināmais valsts budžeta finansējums:VBF:Valsts budžeta finansējums:6)</t>
  </si>
  <si>
    <r>
      <t>2007.-2013.gada plānošanas perioda virssaistību ieviešanas statuss (publiskais finansējums</t>
    </r>
    <r>
      <rPr>
        <b/>
        <vertAlign val="superscript"/>
        <sz val="16"/>
        <rFont val="Times New Roman"/>
        <family val="1"/>
        <charset val="186"/>
      </rPr>
      <t>1</t>
    </r>
    <r>
      <rPr>
        <b/>
        <sz val="16"/>
        <rFont val="Times New Roman"/>
        <family val="1"/>
        <charset val="204"/>
      </rPr>
      <t xml:space="preserve"> uz 31.07.2013.)</t>
    </r>
  </si>
  <si>
    <t>Lauzto līgumu summa (publiskā fin.daļa) līdz 31.12.2013, LVL</t>
  </si>
  <si>
    <t>Neatbilstību un lauzto līgumu summa (publiskā fin.daļa) līdz 31.12.2013., LVL</t>
  </si>
  <si>
    <t>Neatbilstību un lauzto līgumu summa (publiskā fin.daļa) no 09.05.2012. līdz 31.12.2013., LVL</t>
  </si>
  <si>
    <t>Noslēgtie līgumi (publiskā fin.daļa) līdz 31.12.2013., LVL</t>
  </si>
  <si>
    <t>Noslēgtie līgumi (publiskā fin.daļa) no 09.05.2012. līdz 31.12.2013., LVL</t>
  </si>
  <si>
    <r>
      <t>Atlikušais finansējums (brīvais un virssaistību) (publiskā fin.daļa) uz 31.12.2013., LVL</t>
    </r>
    <r>
      <rPr>
        <b/>
        <vertAlign val="superscript"/>
        <sz val="14"/>
        <rFont val="Times New Roman"/>
        <family val="1"/>
        <charset val="186"/>
      </rPr>
      <t>5</t>
    </r>
  </si>
  <si>
    <r>
      <t>Atlikušais brīvais finansējums (publiskā fin.daļa) uz 31.12.2013., LVL</t>
    </r>
    <r>
      <rPr>
        <b/>
        <vertAlign val="superscript"/>
        <sz val="14"/>
        <rFont val="Times New Roman"/>
        <family val="1"/>
        <charset val="186"/>
      </rPr>
      <t>6</t>
    </r>
  </si>
  <si>
    <r>
      <t>Izmantotais brīvā finansējuma un virssaistību finansējuma apjoms (publiskā fin.daļa) uz 31.12.2013., LVL</t>
    </r>
    <r>
      <rPr>
        <b/>
        <vertAlign val="superscript"/>
        <sz val="14"/>
        <rFont val="Times New Roman"/>
        <family val="1"/>
        <charset val="186"/>
      </rPr>
      <t>7</t>
    </r>
  </si>
  <si>
    <r>
      <t>Noslēgti līgumi par virssaistību finansējumu (publiskā fin.daļa) uz 31.12.2013., LVL</t>
    </r>
    <r>
      <rPr>
        <b/>
        <vertAlign val="superscript"/>
        <sz val="14"/>
        <rFont val="Times New Roman"/>
        <family val="1"/>
        <charset val="186"/>
      </rPr>
      <t>8</t>
    </r>
  </si>
  <si>
    <t>Provizoriska informācija pēc vadības informācijas sistēmas datiem  (pārskati veidoti 16.01.2014.)</t>
  </si>
  <si>
    <r>
      <t>Noslēgtie līgumi (publiskā fin.daļa) līdz 08.05.2012., LVL</t>
    </r>
    <r>
      <rPr>
        <b/>
        <vertAlign val="superscript"/>
        <sz val="14"/>
        <color theme="4"/>
        <rFont val="Times New Roman"/>
        <family val="1"/>
        <charset val="186"/>
      </rPr>
      <t>3</t>
    </r>
  </si>
  <si>
    <r>
      <t>Neatbilstību summa (publiskā fin.daļa) līdz 08.05.2012., LVL</t>
    </r>
    <r>
      <rPr>
        <b/>
        <vertAlign val="superscript"/>
        <sz val="14"/>
        <color theme="4"/>
        <rFont val="Times New Roman"/>
        <family val="1"/>
        <charset val="186"/>
      </rPr>
      <t>3, 4</t>
    </r>
  </si>
  <si>
    <r>
      <t>Lauzto līgumu summa (publiskā fin.daļa) līdz 08.05.2012., LVL</t>
    </r>
    <r>
      <rPr>
        <b/>
        <vertAlign val="superscript"/>
        <sz val="14"/>
        <color theme="4"/>
        <rFont val="Times New Roman"/>
        <family val="1"/>
        <charset val="186"/>
      </rPr>
      <t>3</t>
    </r>
  </si>
  <si>
    <t>Finanšu apguves mērķa sasniegšana 2013.gada mēnešiem / Target profile implementation 2013</t>
  </si>
  <si>
    <t>2013.gada AI mērķis / Target for 2013</t>
  </si>
  <si>
    <t>Izmaksāts  finansējuma saņēmējam 
(ES fondu fin.), LVL uz 31.12.12.</t>
  </si>
  <si>
    <t>AI mērķis 01.01.2013 - 28.02.2013. / Target for  01.01.2013 - 28.02.2013</t>
  </si>
  <si>
    <t>Izmaksāts  finansējuma saņēmējam 
(ES fondu fin.), LVL uz 28.02.2013.</t>
  </si>
  <si>
    <t xml:space="preserve">Faktiski maksājumi FS 01.01.2013 - 28.02.2013. / Payments to FB  01.01.2013 - 28.02.2013. </t>
  </si>
  <si>
    <t>2013.gada AI mērķa izpilde / Reaching the target for 2013 uz 28.02.2013.</t>
  </si>
  <si>
    <t>AI mērķa izpilde 01.01.2013 - 28.02.2013 / Reaching the target for 01.01.2013 - 28.02.2013</t>
  </si>
  <si>
    <t>AI mērķis 01.01.2013 - 31.03.2013. / Target for  01.01.2013 - 31.03.2013</t>
  </si>
  <si>
    <t>Izmaksāts  finansējuma saņēmējam 
(ES fondu fin.), LVL uz 31.03.2013.</t>
  </si>
  <si>
    <t xml:space="preserve">Faktiski maksājumi FS 01.01.2013 - 31.03.2013. / Payments to FB  01.01.2013 - 31.03.2013. </t>
  </si>
  <si>
    <t>2013.gada AI mērķa izpilde / Reaching the target for 2013</t>
  </si>
  <si>
    <t>AI mērķa izpilde 01.01.2013 - 31.03.2013 / Reaching the target for 01.01.2013 - 31.03.2013</t>
  </si>
  <si>
    <t>AI mērķis 01.01.2013 - 30.04.2013. / Target for  01.01.2013 - 30.04.2013</t>
  </si>
  <si>
    <t>Izmaksāts  finansējuma saņēmējam 
(ES fondu fin.), LVL uz 30.04.2013.</t>
  </si>
  <si>
    <t xml:space="preserve">Faktiski maksājumi FS 01.01.2013 - 30.04.2013. / Payments to FB  01.01.2013 - 30.04.2013. </t>
  </si>
  <si>
    <t>AI mērķa izpilde 01.01.2013 - 30.04.2013 / Reaching the target for 01.01.2013 - 30.04.2013</t>
  </si>
  <si>
    <t>AI mērķis 01.01.2013 - 31.05.2013. / Target for  01.01.2013 - 31.05.2013</t>
  </si>
  <si>
    <t>Izmaksāts  finansējuma saņēmējam 
(ES fondu fin.), LVL uz 31.05.2013.</t>
  </si>
  <si>
    <t xml:space="preserve">Faktiski maksājumi FS 01.01.2013 - 31.05.2013. / Payments to FB  01.01.2013 - 31.05.2013. </t>
  </si>
  <si>
    <t>AI mērķa izpilde 01.01.2013 - 31.05.2013 / Reaching the target for 01.01.2013 - 31.05.2013</t>
  </si>
  <si>
    <t>AI mērķis 01.01.2013 - 30.06.2013. / Target for  01.01.2013 - 30.06.2013</t>
  </si>
  <si>
    <t>Izmaksāts  finansējuma saņēmējam (ES fondu fin.), LVL uz 30.06.2013.</t>
  </si>
  <si>
    <t xml:space="preserve">Faktiski maksājumi FS 01.01.2013 - 30.06.2013. / Payments to FB  01.01.2013 - 30.06.2013. </t>
  </si>
  <si>
    <t>AI mērķa izpilde 01.01.2013 - 30.06.2013 / Reaching the target for 01.01.2013 - 30.06.2013</t>
  </si>
  <si>
    <t>AI mērķis 01.01.2013 - 31.07.2013. / Target for  01.01.2013 - 31.07.2013</t>
  </si>
  <si>
    <t>Izmaksāts  finansējuma saņēmējam (ES fondu fin.), LVL uz 31.07.2013.</t>
  </si>
  <si>
    <t xml:space="preserve">Faktiski maksājumi FS 01.01.2013 - 31.07.2013. / Payments to FB  01.01.2013 - 31.07.2013. </t>
  </si>
  <si>
    <t>AI mērķa izpilde 01.01.2013 - 31.07.2013 / Reaching the target for 01.01.2013 - 31.07.2013</t>
  </si>
  <si>
    <t>AI mērķis 01.01.2013 - 31.08.2013. / Target for  01.01.2013 - 31.08.2013</t>
  </si>
  <si>
    <t>Izmaksāts  finansējuma saņēmējam (ES fondu fin.), LVL uz 31.08.2013.</t>
  </si>
  <si>
    <t xml:space="preserve">Faktiski maksājumi FS 01.01.2013 - 31.08.2013. / Payments to FB  01.01.2013 - 31.08.2013. </t>
  </si>
  <si>
    <t>AI mērķa izpilde 01.01.2013 - 31.08.2013 / Reaching the target for 01.01.2013 - 31.08.2013</t>
  </si>
  <si>
    <t>AI mērķa neizpilde uz 31.08.2013. (neizpildes ir ar mīnus zīmi)</t>
  </si>
  <si>
    <t>AI mērķis 01.01.2013 - 30.09.2013. / Target for  01.01.2013 - 30.09.2013</t>
  </si>
  <si>
    <t>Izmaksāts  finansējuma saņēmējam (ES fondu fin.), LVL uz 30.09.2013.</t>
  </si>
  <si>
    <t xml:space="preserve">Faktiski maksājumi FS 01.01.2013 - 30.09.2013. / Payments to FB  01.01.2013 - 30.09.2013. </t>
  </si>
  <si>
    <t>AI mērķa izpilde 01.01.2013 - 30.09.2013 / Reaching the target for 01.01.2013 - 30.09.2013</t>
  </si>
  <si>
    <t>AI mērķis 01.01.2013 - 31.10.2013. / Target for  01.01.2013 - 31.10.2013</t>
  </si>
  <si>
    <t>Izmaksāts  finansējuma saņēmējam (ES fondu fin.), LVL uz 31.10.2013.</t>
  </si>
  <si>
    <t xml:space="preserve">Faktiski maksājumi FS 01.01.2013 - 31.10.2013. / Payments to FB  01.01.2013 - 31.10.2013. </t>
  </si>
  <si>
    <t>AI mērķa izpilde 01.01.2013 - 31.10.2013 / Reaching the target for 01.01.2013 - 31.10.2013</t>
  </si>
  <si>
    <t>AI mērķis 01.01.2013 - 30.11.2013. / Target for  01.01.2013 - 30.11.2013</t>
  </si>
  <si>
    <t>Izmaksāts  finansējuma saņēmējam (ES fondu fin.), LVL uz 30.11.2013.</t>
  </si>
  <si>
    <t xml:space="preserve">Faktiski maksājumi FS 01.01.2013 - 30.11.2013. / Payments to FB  01.01.2013 - 30.11.2013. </t>
  </si>
  <si>
    <t>AI mērķa izpilde 01.01.2013 - 30.11.2013 / Reaching the target for 01.01.2013 - 30.11.2013</t>
  </si>
  <si>
    <t>Izmaksāts  finansējuma saņēmējam (ES fondu fin.), LVL uz 31.12.2013.</t>
  </si>
  <si>
    <t>Faktiski maksājumi FS 2013.gadā / Payments to FB in 2013</t>
  </si>
  <si>
    <t>5=4/3</t>
  </si>
  <si>
    <t>8=7/6</t>
  </si>
  <si>
    <t>11=10/9</t>
  </si>
  <si>
    <t>14=13/12</t>
  </si>
  <si>
    <t>17=16/15</t>
  </si>
  <si>
    <t>26=25/24</t>
  </si>
  <si>
    <t>29=28/27</t>
  </si>
  <si>
    <t>32=31/30</t>
  </si>
  <si>
    <t>35=34/2</t>
  </si>
  <si>
    <t>Decembris</t>
  </si>
  <si>
    <t>4=3/1</t>
  </si>
  <si>
    <t>5=3/2</t>
  </si>
  <si>
    <t>Eiropas Sociālais fonds / European Social Fund</t>
  </si>
  <si>
    <t xml:space="preserve">EM / MoE </t>
  </si>
  <si>
    <t>FM / MoF</t>
  </si>
  <si>
    <t>IZM / MoES</t>
  </si>
  <si>
    <t>LM / MoW</t>
  </si>
  <si>
    <t>VARAM / MoEPRD</t>
  </si>
  <si>
    <t xml:space="preserve">VeM / MoH </t>
  </si>
  <si>
    <t>Valsts Kanceleja / State Chancellery</t>
  </si>
  <si>
    <t>Eiropas Reģionālās attīstības fonds / European Regional Development Fund</t>
  </si>
  <si>
    <t xml:space="preserve">IZM / MoES </t>
  </si>
  <si>
    <t>KM / MoC</t>
  </si>
  <si>
    <t>SaM / MoT</t>
  </si>
  <si>
    <t>VeM / MoH</t>
  </si>
  <si>
    <t>Kohēzijas fonds / Cohesion Fund</t>
  </si>
  <si>
    <t xml:space="preserve"> Kopā / Total:</t>
  </si>
  <si>
    <t>Summary by ministries</t>
  </si>
  <si>
    <t>Total:</t>
  </si>
  <si>
    <t>MAZAJAI TABULAI</t>
  </si>
  <si>
    <r>
      <t>Neatbilstību un lauzto līgumu summa (publiskā fin.daļa) līdz 08.05.2012., LVL</t>
    </r>
    <r>
      <rPr>
        <b/>
        <vertAlign val="superscript"/>
        <sz val="14"/>
        <rFont val="Times New Roman"/>
        <family val="1"/>
        <charset val="186"/>
      </rPr>
      <t>3</t>
    </r>
  </si>
  <si>
    <r>
      <t xml:space="preserve"> Neatbilstību summa (publiskā fin.daļa) līdz 31.12.2013., LVL</t>
    </r>
    <r>
      <rPr>
        <b/>
        <vertAlign val="superscript"/>
        <sz val="14"/>
        <rFont val="Times New Roman"/>
        <family val="1"/>
        <charset val="186"/>
      </rPr>
      <t>4</t>
    </r>
  </si>
  <si>
    <t>11=11.1+11.2</t>
  </si>
  <si>
    <r>
      <t>Virssaistību finansējums (ES fondu daļa) atbilstoši apst. MK p/l, LVL</t>
    </r>
    <r>
      <rPr>
        <b/>
        <vertAlign val="superscript"/>
        <sz val="14"/>
        <color theme="4"/>
        <rFont val="Times New Roman"/>
        <family val="1"/>
        <charset val="186"/>
      </rPr>
      <t>2</t>
    </r>
  </si>
  <si>
    <t>Prioritātes/Pasākuma/Aktivitātes numurs</t>
  </si>
  <si>
    <t xml:space="preserve">Prioritātes/Pasākuma/ Aktivitātes nosaukums </t>
  </si>
  <si>
    <t xml:space="preserve">Fonds </t>
  </si>
  <si>
    <r>
      <t>Ministrija</t>
    </r>
    <r>
      <rPr>
        <b/>
        <sz val="13"/>
        <rFont val="Times New Roman"/>
        <family val="1"/>
        <charset val="204"/>
      </rPr>
      <t/>
    </r>
  </si>
  <si>
    <t>Noslēgtie līgumi  līdz II cet.</t>
  </si>
  <si>
    <t>Faktiski noslēgie līgumi III cet. (AI informācija)</t>
  </si>
  <si>
    <t xml:space="preserve">Noslēgto līgumu apjoms (INDIKATĪVI) līdz 2012.gada beigām </t>
  </si>
  <si>
    <t>Salīdzinājums ar iepriekš apstiprināto plānu III cet.   - plāns</t>
  </si>
  <si>
    <t xml:space="preserve">Plāns III cet.  </t>
  </si>
  <si>
    <t>IV cet.</t>
  </si>
  <si>
    <t>7.1</t>
  </si>
  <si>
    <t>7.2</t>
  </si>
  <si>
    <t>8.1</t>
  </si>
  <si>
    <t>9</t>
  </si>
  <si>
    <t>Ekonomikas ministrija</t>
  </si>
  <si>
    <t>Virssaistības samazinātas 20.08.2013.</t>
  </si>
  <si>
    <t>Šobrīd aktivitātes ietvaros ir noslēgti līgumi par visu pieejamo finansējumu (3 000 000 LVL ESF + 1 544 126 LVL virssaistības) Notiek projektu īstenošana.</t>
  </si>
  <si>
    <t>Ir izsludināta projektu iesniegumu pieņemšana līdz 30.09.2013. par visu pieejamo finansējumu 6 615 525 LVL ERAF, 6 000 000 LVL virssaistību finansējums.</t>
  </si>
  <si>
    <t>Izglītības un zinātnes ministrija</t>
  </si>
  <si>
    <t xml:space="preserve">Aktivitāte "Cilvēkresursu piesaiste zinātnei" </t>
  </si>
  <si>
    <t>Plānots, ka 1.1.1.2.aktivitātes MK noteikumu grozījumi stāsies spēkā š.g.oktobra mēnesī. Plānojot ņemts vērā laiks, kas nepieciešams papildu apstiprināmo projektu nosacījumu izpildei, kā arī vienošanās par projektu īstenošanu noslēgšanai.</t>
  </si>
  <si>
    <t>Precizēts 6.kolonnā "Noslēgtie līgumi līdz II cet." norādītais virssaistību finansējums atbilstoši faktam, tai skaitā 1.2.1.1.3.apakšaktivitātes 2.kārtas MK noteikumos noteiktajam.</t>
  </si>
  <si>
    <t>Plānots, ka 1.2.1.1.4.apakšaktivitātes MK noteikumu grozījumi stāsies spēkā š.g.oktobrī, tādējādi, projekta vienošanās grozījumus pieejamā virssaistību finansējuma piesaistei projektā plānots veikt š.g. IV cet.</t>
  </si>
  <si>
    <t>Virssaistību finansējumu paredzēts piesaistīt 2.1.1.1.aktivitātes projektu iesniegumu trešās atlases kārtas ietvaros.</t>
  </si>
  <si>
    <t>Aktivitāte "Mācību aprīkojuma modernizācija un infrastruktūras uzlabošana profesionālās izglītības programmu īstenošanai"</t>
  </si>
  <si>
    <t>Precizēts atbilstoši MK 22.01.2013. protokollēmuma (prot. Nr.5, 24.paragr.) 4.punktā noteiktajam, t.i., ka jānodrošina līgumu un vienošanos par projektu īstenošanu slēgšanu līdz 31.12.2013..</t>
  </si>
  <si>
    <t>Kultūras ministrija</t>
  </si>
  <si>
    <t>Aktivitāte "Sociālekonomiski nozīmīgu kultūras mantojuma objektu atjaunošana"</t>
  </si>
  <si>
    <t>Ir noslēgts līgums par 7 999 059, virssasitību atlikums ir 941 Ls, jaunas atlases kārtas nav plānotās.</t>
  </si>
  <si>
    <t>līgums par projektu īstenošanu par 3 895 167 ir noslēgts l0.10.2013. Par virssaistību atlikumu Ls 104 833 ir izsludināta projektu 4. atlases kārta, pieteikumu iesniegšanas termiņš 17.10.2013. līgumu plānots slēgt 2014. gada 1.cet.</t>
  </si>
  <si>
    <t>Labklājības ministrija</t>
  </si>
  <si>
    <t xml:space="preserve">Virssaistību finansējums 622 893 LVL apmērā 2014.gadam plānots saskaņā ar MK 20.08.2013. sēdes lēmumu (protokols Nr.45 97.§ 10.3.apakšpunkts). 
Virssaistību finansējuma izlietojuma plāns noslēgto līgumu un vienošanās par projektu īstenošanu apjomam ietver tikai attiecināmo saistību apjomu. MK noteikumu līmenī jārisina jautājums par 22 824 LVL novirzīšanai neattiecināmo izmaksu segšanai - projekta administrēšanas personāla atlīdzībai - sakarā ar projekta termiņa pagarināšanu līdz 2014.gada beigām.
</t>
  </si>
  <si>
    <t xml:space="preserve">Virssaistību finansējums 7 009 239 LVL apmērā iekļauts aktivitātes pirmās kārtas projektā, kurš ir noslēdzies 2011.gadā. Vienošanās par 2. kārtas projektu īstenošanu virssaistību finansējums 8 544 140 LVL apmērā iekļauts 2012.gada 3.ceturksnī. Virssaistību finansējums 2.kārtas projektam 2014.gadā 3 181 575 LVL apmērā plānots saskaņā ar MK 20.08.2013. sēdes lēmumu (protokols Nr.45 97.§ 10.3.apakšpunkts). 
Virssaistību finansējuma izlietojuma plāns noslēgto līgumu un vienošanās par projektu īstenošanu apjomam ietver tikai attiecināmo saistību apjomu. MK noteikumu līmenī jārisina jautājums par 54 870 LVL novirzīšanai neattiecināmo izmaksu segšanai - projekta administrēšanas personāla atlīdzībai - sakarā ar projekta termiņa pagarināšanu līdz 2014.gada beigām.
</t>
  </si>
  <si>
    <t>Vienošanās par projektu īstenošanu virssaistību finansējums 1 194 461 LVL apmērā iekļauts 2013.gada 1.ceturksnī un 325 000 LVL apmērā 2013.gada 3.ceturksnī. Kolona "Kopā 2012-2015" koriģēta, lai novērstu 2013.gadā noslēgto līgumu divkāršu ieskaitīšanu kopsummā.</t>
  </si>
  <si>
    <t>Apakšaktivitāti "Infrastruktūras pilnveidošana sociālās rehabilitācijas pakalpojumu sniegšanai personām ar garīga rakstura traucējumiem"</t>
  </si>
  <si>
    <t>Virssaistību finansējums plānots saskaņā ar MK 30.07.2013. sēdes lēmumu (protokols Nr.41 64.§ 2.1.apakšpunkts). 
Projekta grozījumi, kas paredz virssaistību finansējumu valsts sociālās aprūpes centra "Rīga" īstenotajā projektā, šobrīd ir saskaņošanas procesā.</t>
  </si>
  <si>
    <t>Satiksmes ministrija</t>
  </si>
  <si>
    <t xml:space="preserve">Saskaņā ar MK 17.09.2013. protokollemuma Nr.49 84.§ 2.punktu ir atbalstīta finase'juma pārdale 3.2.1.3.2.apakšaktivitātei "Satiksmes drošības uzlabojumi Rīgā" no Satiksmes ministrijas pārziņā esošās 3.2.1.2.aktivitātes "Tranzītielu sakārtošana pilsētu teritorijās" virssaistību finansējuma 679 237 latu apmērā. Virssaistību apjoms samazināts par konstaēto neatbilstību summu 264 014,03 Ls apmērā.
Lai nodrošinātu nepieciešamos finanšu līdzekļus 3.3.1.3.aktivtātes projekta „Liepājas ostas padziļināšana” īstenošanai, Satiksmes ministrija  22.10.2013 MK sēdē ir ierosinājusi papildu Eiropas Savienības fondu finansējuma piešķiršanu 3.3.1.3.aktivitātei  683 417 latu apmērā no 3.2.1.2.aktivitātes virssaistību KF finanšu līdzekļiem, attiecīgi virssaistību summa samazināsies uz 20 616 189 latiem. </t>
  </si>
  <si>
    <t>Sadarbības līgumu ar Rīgas domi par projekta īstenošanu planots noslēgt 2013.gada 4.ceturksnī</t>
  </si>
  <si>
    <t>Virssaistību apjoms samazināts par konstaēto neatbilstību summu 144 023,20 Ls apmērā. Sadarbības lgumu grozījumus par projektu īstenošanu ar VAS "Latvijas Valsts ceļi" plānots noslēgt 2013.gada 4.ceturksnī.</t>
  </si>
  <si>
    <t>Veselības ministrija</t>
  </si>
  <si>
    <t>n/a</t>
  </si>
  <si>
    <t>Aktivitāte Neatliekamās medicīniskās palīdzības attīstība"</t>
  </si>
  <si>
    <t>Vides aizsardzības un reģionālās attīstības ministrija</t>
  </si>
  <si>
    <t>Precizēta informācija atbilstoši plānotajai virssaistību finansējuma apguvei 2013.gadā.</t>
  </si>
  <si>
    <t>2013.gada 16.septembrī noslēdzās projektu iesniegumu iesniegšana piektās projektu iesniegumu atlases kārtas ietvaros. Notiek projektu iesniegumu vērtēšana. Līdz ar to, līgumu slēgšana par projektu īstenošanu plānota 2014.gada 1.ceturksnī.</t>
  </si>
  <si>
    <t>Jauna projektu iesniegumu atlases kārta 2013.gadā netiek plānota.</t>
  </si>
  <si>
    <t>Aktuālās konceptuāli pielemtās virssaistības (ES fondu fin. + valsts budžeta daļa (neskaitot pašvaldību līdzifn.) atbilstoši apst. MK p/l, LVL uz 31.12.2013.</t>
  </si>
  <si>
    <r>
      <t>2007.-2013.gada plānošanas perioda virssaistību ieviešanas statuss (publiskais finansējums</t>
    </r>
    <r>
      <rPr>
        <b/>
        <vertAlign val="superscript"/>
        <sz val="16"/>
        <rFont val="Times New Roman"/>
        <family val="1"/>
        <charset val="186"/>
      </rPr>
      <t>1</t>
    </r>
    <r>
      <rPr>
        <b/>
        <sz val="16"/>
        <rFont val="Times New Roman"/>
        <family val="1"/>
        <charset val="204"/>
      </rPr>
      <t xml:space="preserve"> uz 31.12.2013.)</t>
    </r>
  </si>
  <si>
    <t>VM</t>
  </si>
  <si>
    <t>AI maksājumu mērķa neizpilde novembris/decembris (konkrētā fonda)/neizpilde ar mīnus zīmi</t>
  </si>
  <si>
    <t>Mērķu neizpildes virssaistību analīzei</t>
  </si>
  <si>
    <t>N/A</t>
  </si>
  <si>
    <t>Noslēgto virssaistību līgumu plāns 2013.gada IV ceturksnim</t>
  </si>
  <si>
    <t>Kopā 2012-2015</t>
  </si>
  <si>
    <t>Komentāri/piezīmes</t>
  </si>
  <si>
    <t>Virssaistību līgumu plāns ceturksnī</t>
  </si>
  <si>
    <t>I cet.</t>
  </si>
  <si>
    <t>II cet.</t>
  </si>
  <si>
    <t>III cet.</t>
  </si>
  <si>
    <t xml:space="preserve">Noslēgto līgumu apjoms 2014.gadā </t>
  </si>
  <si>
    <t>Noslēgto līgumu apjoms</t>
  </si>
  <si>
    <t>Konceptuāli pielemtās virssaistības (ES fondu fin. + valsts budžeta daļa (neskaitot pašvaldību līdzifn.) atbilstoši apst. MK p/l, LVL*</t>
  </si>
  <si>
    <t>AI maksājumu mērķa neizpilde (konkrētā fonda)/neizpilde ar mīnus zīmi</t>
  </si>
  <si>
    <t>Pārbaude</t>
  </si>
  <si>
    <t>Līguma plānu neizpilde III ceturksnī</t>
  </si>
  <si>
    <t>Kopējā plānu neizpilde</t>
  </si>
  <si>
    <t>6.1</t>
  </si>
  <si>
    <t>10</t>
  </si>
  <si>
    <t>17=11+15+16</t>
  </si>
  <si>
    <t xml:space="preserve">
Aktivitātē brīvais finansējums  2 398 013,12 LVL (1 916 063 LVL ESF un 481 950 LVL virssaistības) ir paredzēt  projektiem, kuriem ir nepieciešams finansējums papildu apmācību veikšanai.</t>
  </si>
  <si>
    <t>Šobrīd aktivitātē ir noslēgti kopā līgumi par kopējo finansējumu 73 254 884,55 LVL ERAF. Kopējais pieejamais finansējums 145 626 554 LVL (97 891 188 LVL ERAF, 6 926 234 LVL Valsts budžets, 40 809 132 LVL virssaistības). Šobrīd brīvais finansējums ņemot vērā grozījumus ir 72 371 669,4 LVL, kas tiek rezervēts 3., un 4.atlases kārtas īstenošanai. 
Virsasitību finansējums 40 809 132 LVL apmē tiek izdalīts 7 232 354 LVL apmērā 2.projektu atlases kārtai, 8 838 324  LVL apmērā 3.projektu atlases kārtai, 24 738 454 LVL apmērā 4.projektu atlases kārtai.</t>
  </si>
  <si>
    <t>Aktivitāte "Daudzdzīvokļu māju siltumnoturības uzlabošanas pasākumi" **</t>
  </si>
  <si>
    <t>Aktivitātes ietvaros kopējais noslēgto līgumu apjoms ir 53 178 467,66 LVL. Kopā ar projektiem vērtēšanā un apstiprinātajiem projektiem plānotā nepieciešamā summa sastāda 59 449 823,56 LVL. Kopā pieejamais finansējums sastāda 62759948, 92 LVL (54759948,92 LVL ERAF + 8 000 000 LVL virssaistības - atbilstoši MK saskaņotajiem DP grozījumiem). 
Pieejamais brīvais virssaistību apjoms sastāda 3 310 125,36 LVL, kas šīs aktivitātes ietvaros netiks apgūts. Tiek apsvērts pārdalīt pārpalikumu 3.5.2.1.1.apakšaktivitātei, kur pietrūkst līdzekļi 5.kārtas projektu apstiprināšanai.</t>
  </si>
  <si>
    <t>Aktivitāte "Mācību aprīkojuma modernizācija un infrastruktūras uzlabošana profesionālās izglītības programmu īstenošanai" **</t>
  </si>
  <si>
    <t xml:space="preserve"> Virssaistību finansējums 666 918 LVL apmērā 2014.gadam plānots saskaņā ar MK 18.06.2013. sēdes lēmumu (protokols Nr.35 55.§) un MK 20.08.2013. sēdes lēmumu (protokols Nr.45 97.§ 10.1.apakšpunkts). Virssaistību finansējumu plānots izmantot, ja AS "Liepājas metalurgs" tiesiskās aizsardzības vai maksātnespējas procesa ietvararos notiek darbinieku atlaišana. Ja minētā situācija neiestāsies, LM sniegs priekšlikumu par finansējuma pārdali citai ES fondu aktivitātei vai šis aktivitātes (1.3.1.1.3.apakšaktivitāte) atbalstāmo darbību īstenošanai. </t>
  </si>
  <si>
    <r>
      <t xml:space="preserve">Vienošanās par projektu īstenošanu virssaistību finansējums 930 710 LVL apmērā iekļauts 2013.gada 1.ceturksnī. Virssaistību finansējums 2014.gadā 873 214 LVL apmērā plānots saskaņā ar MK 18.06.2013. sēdes lēmumu (protokols Nr.35 55.§) un MK 20.08.2013. sēdes lēmumu (protokols Nr.45 97.§ 10.1. un </t>
    </r>
    <r>
      <rPr>
        <sz val="13"/>
        <rFont val="Times New Roman"/>
        <family val="1"/>
        <charset val="186"/>
      </rPr>
      <t>10.3.apakšpunkts). Virssaistību finansējuma daļu (173</t>
    </r>
    <r>
      <rPr>
        <sz val="13"/>
        <color theme="1"/>
        <rFont val="Times New Roman"/>
        <family val="1"/>
        <charset val="186"/>
      </rPr>
      <t xml:space="preserve"> 214 LVL) plānots izmantot, ja AS "Liepājas metalurgs" tiesiskās aizsardzības vai maksātnespējas procesa ietvaros notiek darbinieku atlaišana. Ja minētā situācija neiestāsies, LM sniegs priekšlikumu par finansējuma pārdali citai ES fondu aktivitātei vai šīs aktivitātes (1.4.1.1.2.apakšaktivitāte) atbalstāmo darbību īstenošanai. 
</t>
    </r>
  </si>
  <si>
    <t>9 084 096***</t>
  </si>
  <si>
    <t>* Virssaistību finansējums norādīts indikatīvi</t>
  </si>
  <si>
    <t>** Virssaistību finansējums norādīts atbilstoši Ministru kabineta 2013.gada 24.septemebra sēdē konceptuāli pieņemtajam lēmumuma, virssaistību finansējuma pārdales stāsies spēkā pēc Eiropas Komisijas pozitīva lēmuma par ierosinātājam ERAF finansējuma pārdalēm</t>
  </si>
  <si>
    <t>*** 2014.gada janvāris</t>
  </si>
  <si>
    <t xml:space="preserve">Finanšu ministra vietā - </t>
  </si>
  <si>
    <t>A.Šluburs</t>
  </si>
  <si>
    <t>satiksmes ministrs</t>
  </si>
  <si>
    <t>A.Matīss</t>
  </si>
  <si>
    <t>Arturs.Sluburs@fm.gov.lv</t>
  </si>
  <si>
    <t xml:space="preserve">Faktiski noslēgie līgumi 2013.gada IV ceturksnī </t>
  </si>
  <si>
    <t>Prioritātes/Pasākuma/Aktivitātes numurs / Priority/Measure/Activity No.</t>
  </si>
  <si>
    <t>Prioritātes/Pasākuma/ Aktivitātes nosaukums / Priority/Measure/Activity</t>
  </si>
  <si>
    <t>Fonds / Fund</t>
  </si>
  <si>
    <r>
      <t>Ministrija</t>
    </r>
    <r>
      <rPr>
        <b/>
        <vertAlign val="superscript"/>
        <sz val="13"/>
        <rFont val="Times New Roman"/>
        <family val="1"/>
        <charset val="204"/>
      </rPr>
      <t>2</t>
    </r>
    <r>
      <rPr>
        <b/>
        <sz val="13"/>
        <rFont val="Times New Roman"/>
        <family val="1"/>
        <charset val="204"/>
      </rPr>
      <t>/ Ministry</t>
    </r>
    <r>
      <rPr>
        <b/>
        <vertAlign val="superscript"/>
        <sz val="13"/>
        <rFont val="Times New Roman"/>
        <family val="1"/>
        <charset val="204"/>
      </rPr>
      <t>2</t>
    </r>
  </si>
  <si>
    <t>ES fonda finansējums atbilstoši EK apstiprinātajai DP, EUR</t>
  </si>
  <si>
    <t>ES fonda finansējums atbilstoši EK apstiprinātajai DP, LVL / EU funding according to EC approved OP, LVL</t>
  </si>
  <si>
    <t>ES fonda finansējums atbilstoši MK apstiprinātajam DPP, EUR</t>
  </si>
  <si>
    <t xml:space="preserve">ES fonda finansējums atbilstoši MK apstiprinātajam DPP, LVL  </t>
  </si>
  <si>
    <t>ES fonda finansējums atbilstoši konceptuāli apst. MK p/liem, LVL2 / EU funding 2 , EUR</t>
  </si>
  <si>
    <r>
      <t>ES fonda finansējums atbilstoši konceptuāli apst. MK p/l, LVL</t>
    </r>
    <r>
      <rPr>
        <b/>
        <vertAlign val="superscript"/>
        <sz val="13"/>
        <rFont val="Times New Roman"/>
        <family val="1"/>
        <charset val="204"/>
      </rPr>
      <t xml:space="preserve">3 / </t>
    </r>
    <r>
      <rPr>
        <b/>
        <sz val="13"/>
        <rFont val="Times New Roman"/>
        <family val="1"/>
        <charset val="204"/>
      </rPr>
      <t xml:space="preserve">EU funding according to decisions of Cabinet of Ministers </t>
    </r>
    <r>
      <rPr>
        <b/>
        <vertAlign val="superscript"/>
        <sz val="13"/>
        <rFont val="Times New Roman"/>
        <family val="1"/>
        <charset val="204"/>
      </rPr>
      <t xml:space="preserve">3 </t>
    </r>
    <r>
      <rPr>
        <b/>
        <sz val="13"/>
        <rFont val="Times New Roman"/>
        <family val="1"/>
        <charset val="204"/>
      </rPr>
      <t>, LVL</t>
    </r>
  </si>
  <si>
    <t>Skaidrojums par atšķirību starp DP un MK konceptuāli apst. finansējumu / Explanation about differences of EU Funding</t>
  </si>
  <si>
    <t>ES fonda finansējums, ņemot vērā iespējamās, bet  NEAPSTIPRINĀTĀS pārdales (atbilstoši KDG), LVL</t>
  </si>
  <si>
    <t>Skaidrojums par atšķirību starp DP un MK aktuālajām NEAPSTIPRINĀTAJĀM  pārdalēm (atbilstoši KDG)</t>
  </si>
  <si>
    <t>Konceptuāli pielemtās virssaistības (ES fondu fin. + valsts budžeta daļa (neskaitot pašvaldību līdzfin.) atbilstoši apst. MK p/l, LVL</t>
  </si>
  <si>
    <t>Konceptuāli pielemtās virssaistības (ES fondu finansējums - indikatīvi) atbilstoši apst. MK p/l, LVL</t>
  </si>
  <si>
    <r>
      <t xml:space="preserve">Konceptuāli pielemtās virssaistības,     ņemot vērā iespējamās bet vēl </t>
    </r>
    <r>
      <rPr>
        <b/>
        <sz val="12"/>
        <rFont val="Times New Roman"/>
        <family val="1"/>
        <charset val="186"/>
      </rPr>
      <t>NEAPSTIPRINĀTĀS</t>
    </r>
    <r>
      <rPr>
        <b/>
        <sz val="13"/>
        <rFont val="Times New Roman"/>
        <family val="1"/>
        <charset val="204"/>
      </rPr>
      <t xml:space="preserve"> pārdales                    (ES fondu fin. + valsts budžeta daļa) (neskaitot pašvaldību līdzfin.)</t>
    </r>
  </si>
  <si>
    <t>Kopā piešķīrums (ES fonda finansējums atbilstoši konceptuāli apst. MK p/l + virssaistību ES fondu daļa), LVL / Total available financing, incl. overcommittments, LVL</t>
  </si>
  <si>
    <t>Kopā piešķīrums pret ES fondu finansējumu atbilstoši konceptuāli apst. MK p/l, % / Total available financing % of EU funding</t>
  </si>
  <si>
    <t>Aktivitātēm piešķirtais budžets 2007.-2013.gadā LVL / Available budget 2007-2013, LVL ****</t>
  </si>
  <si>
    <t>Apstiprinātie projekti 
(ES fondu fin.), LVL / Approved projects (EU funding), LVL</t>
  </si>
  <si>
    <t>Apstiprinātie projekti , % no ES fondu fin., % / Approved projects (EU funding), % of EU funding, %</t>
  </si>
  <si>
    <t>Apstiprinātie projekti , % no ES fondu fin. / Approved projects, % of EU funding</t>
  </si>
  <si>
    <t>Progress par apstiprin. projektiem, % no ES fondu fin. / Approved projects, % of EU funding (progress), %</t>
  </si>
  <si>
    <t>Apstiprinātie projekti , % no kopējā piešķīruma, % / Approved projects (EU funding), % of Total available financing, %</t>
  </si>
  <si>
    <t>Noslēgtie līgumi (ES fondu fin.), 
LVL / Contracted 
(EU funding), 
LVL</t>
  </si>
  <si>
    <t>Noslēgtie līgumi , % no ES fondu fin., % / Contracted, % of EU funding, %</t>
  </si>
  <si>
    <t>Progress par noslēgtajiem līgumiem, % no ES fondu fin., % / Contracted, % of EU funding (progress), %</t>
  </si>
  <si>
    <t>Noslēgtie līgumi , % no kopējā piešķīruma, % / Contracted, % of Total available financing, %</t>
  </si>
  <si>
    <r>
      <t xml:space="preserve">Izmaksāts  finansējuma saņēmējam 
(starpposma/gala maksājumi), LVL </t>
    </r>
    <r>
      <rPr>
        <b/>
        <vertAlign val="superscript"/>
        <sz val="13"/>
        <rFont val="Times New Roman"/>
        <family val="1"/>
        <charset val="186"/>
      </rPr>
      <t xml:space="preserve"> / </t>
    </r>
    <r>
      <rPr>
        <b/>
        <sz val="13"/>
        <rFont val="Times New Roman"/>
        <family val="1"/>
        <charset val="186"/>
      </rPr>
      <t xml:space="preserve">Interim/final payments to final beneficiaries 
(EU funding), 
LVL </t>
    </r>
    <r>
      <rPr>
        <sz val="12"/>
        <color theme="1"/>
        <rFont val="Times New Roman"/>
        <family val="2"/>
        <charset val="186"/>
      </rPr>
      <t/>
    </r>
  </si>
  <si>
    <r>
      <t>Izmaksāts  finansējuma saņēmējam 
(deklarējamie avansa maks.), LVL</t>
    </r>
    <r>
      <rPr>
        <b/>
        <vertAlign val="superscript"/>
        <sz val="13"/>
        <rFont val="Times New Roman"/>
        <family val="1"/>
        <charset val="186"/>
      </rPr>
      <t xml:space="preserve"> / </t>
    </r>
    <r>
      <rPr>
        <b/>
        <sz val="13"/>
        <rFont val="Times New Roman"/>
        <family val="1"/>
        <charset val="186"/>
      </rPr>
      <t xml:space="preserve">Advanced payments to final beneficiaries, that can be declared 
(EU funding), 
LVL </t>
    </r>
    <r>
      <rPr>
        <sz val="12"/>
        <color theme="1"/>
        <rFont val="Times New Roman"/>
        <family val="2"/>
        <charset val="186"/>
      </rPr>
      <t/>
    </r>
  </si>
  <si>
    <r>
      <t>Izmaksāts  finansējuma saņēmējam 
(nedeklarējamie avansa maks.), LVL</t>
    </r>
    <r>
      <rPr>
        <b/>
        <vertAlign val="superscript"/>
        <sz val="13"/>
        <rFont val="Times New Roman"/>
        <family val="1"/>
        <charset val="186"/>
      </rPr>
      <t xml:space="preserve"> / </t>
    </r>
    <r>
      <rPr>
        <b/>
        <sz val="13"/>
        <rFont val="Times New Roman"/>
        <family val="1"/>
        <charset val="186"/>
      </rPr>
      <t xml:space="preserve">Advance payments to final beneficiaries that can not be declared
(EU funding), 
LVL </t>
    </r>
    <r>
      <rPr>
        <sz val="12"/>
        <color theme="1"/>
        <rFont val="Times New Roman"/>
        <family val="2"/>
        <charset val="186"/>
      </rPr>
      <t/>
    </r>
  </si>
  <si>
    <t>Dzēstie avansi / Discharged advance payments</t>
  </si>
  <si>
    <t>Atgūtie maksājumi</t>
  </si>
  <si>
    <t>Izmaksāts finansējuma saņēmējiem (ES fondu fin.), atņemot atgūtos maksājumus, LVL / Payments to the final beneficiaries (EU funding) minus recovered amount, LVL</t>
  </si>
  <si>
    <t>EK deklarējamie maksājumi finansējuma saņēmējiem (neņemot vērā korekciju) / Payments to final beneficiaries that can be declared to EC (without correction) **</t>
  </si>
  <si>
    <r>
      <t xml:space="preserve">Izmaksāts  finansējuma saņēmējam 
(ES fondu fin.), neatņemot atgūtos maksājumus, LVL </t>
    </r>
    <r>
      <rPr>
        <b/>
        <vertAlign val="superscript"/>
        <sz val="13"/>
        <rFont val="Times New Roman"/>
        <family val="1"/>
        <charset val="186"/>
      </rPr>
      <t xml:space="preserve">4 / </t>
    </r>
    <r>
      <rPr>
        <b/>
        <sz val="13"/>
        <rFont val="Times New Roman"/>
        <family val="1"/>
        <charset val="186"/>
      </rPr>
      <t xml:space="preserve">Payments to final beneficiaries 
(EU funding) incl. recovered amount, 
LVL </t>
    </r>
    <r>
      <rPr>
        <b/>
        <vertAlign val="superscript"/>
        <sz val="13"/>
        <rFont val="Times New Roman"/>
        <family val="1"/>
        <charset val="186"/>
      </rPr>
      <t>4</t>
    </r>
  </si>
  <si>
    <t>Izmaksāts  finansējuma saņēmējam, % no ES fondu fin., % / Payments to final beneficiaries, % of EU funding, 
%</t>
  </si>
  <si>
    <t>Progress par izmaksāto  finansējuma saņēmējam, % no ES fondu fin., % / Payments to final beneficiaries, % of EU funding, (progress)
%</t>
  </si>
  <si>
    <t>Izmaksāts  finansējuma saņēmējam, % no kopējā piešķīruma / Payments to final beneficiaries, % of Total available EU financing</t>
  </si>
  <si>
    <t>Eiropas Komisijā iesniegtie starpposma pieprasījumi, LVL / Interrim payment claims submited to EC (EU funding), 
LVL</t>
  </si>
  <si>
    <t>EK iesniegtie starpposma pieprasījumi , % no ES fondu fin., 
% / Interrim payment claims submited to EC, % of EU funding, 
%</t>
  </si>
  <si>
    <t>Eiropas Komisijā iesniegtie starpposma pieprasījumi , % no ES fondu fin., 
% / Interrim payment claims submited to EC, % of EU funding, 
%</t>
  </si>
  <si>
    <t>Progress par EK iesniegtajiem starpposma pieprasījumiem, % no ES fondu fin., 
% / Interrim payment claims submited to EC, % of EU funding (progress), 
%</t>
  </si>
  <si>
    <t>Saņemtie maksājumi no EK (avansi + starpposma), LVL / Received advance and interim payments from EC, LVL</t>
  </si>
  <si>
    <t>Saņemtie maksājumi no EK (avansi + starpposma), % / Received advance and interim payments from EC, % of EU funding, 
%</t>
  </si>
  <si>
    <t>Saņemtie maksājumi no Eiropas Komisijas (avansi + starpposma), % / Received advance and interim payments from EC, % of EU funding, 
%</t>
  </si>
  <si>
    <t>Progress par saņemtajiem maksājumiem no EK (avansi + starpposma), % / Received advance and interim payments from EC, % of EU funding (progress), 
%</t>
  </si>
  <si>
    <t>5a</t>
  </si>
  <si>
    <t>5b</t>
  </si>
  <si>
    <t>5.2.</t>
  </si>
  <si>
    <t>5c</t>
  </si>
  <si>
    <t>6a</t>
  </si>
  <si>
    <t>6.2.=5.1.+6.1.</t>
  </si>
  <si>
    <t>6.3.=6.2./5.1.</t>
  </si>
  <si>
    <t>8.1.=8/5.1.</t>
  </si>
  <si>
    <t>8.3.=8/6.2.</t>
  </si>
  <si>
    <t>9.1.=9/5.1.</t>
  </si>
  <si>
    <t>9.2.</t>
  </si>
  <si>
    <t>9.3.=9/6.2.</t>
  </si>
  <si>
    <t>10.1.</t>
  </si>
  <si>
    <t>10.2.</t>
  </si>
  <si>
    <t>10.3.</t>
  </si>
  <si>
    <t>10.4.</t>
  </si>
  <si>
    <t>10.5.</t>
  </si>
  <si>
    <t>12.1.=12/5.1.</t>
  </si>
  <si>
    <t>12.2.</t>
  </si>
  <si>
    <t>12.3.=12/6.2.</t>
  </si>
  <si>
    <t>9.1=9/5</t>
  </si>
  <si>
    <t>10.1=10/5</t>
  </si>
  <si>
    <t>Kopā VISI fondi / Total funds</t>
  </si>
  <si>
    <t>Kopā ESF /Total ESF **</t>
  </si>
  <si>
    <t>Kopā ERAF/Total ERDF</t>
  </si>
  <si>
    <t>Kopā KF/Total CF</t>
  </si>
  <si>
    <t>I DP / I OP **</t>
  </si>
  <si>
    <t xml:space="preserve">II DP / II OP </t>
  </si>
  <si>
    <t>III DP / III OP</t>
  </si>
  <si>
    <r>
      <t xml:space="preserve">I darbības programma  "Cilvēkreursi un nodarbinātība" </t>
    </r>
    <r>
      <rPr>
        <b/>
        <i/>
        <vertAlign val="superscript"/>
        <sz val="13"/>
        <rFont val="Times New Roman"/>
        <family val="1"/>
        <charset val="186"/>
      </rPr>
      <t>5</t>
    </r>
    <r>
      <rPr>
        <b/>
        <i/>
        <sz val="13"/>
        <rFont val="Times New Roman"/>
        <family val="1"/>
        <charset val="204"/>
      </rPr>
      <t xml:space="preserve">/ I Operational programme  "Human resources and employment" </t>
    </r>
    <r>
      <rPr>
        <b/>
        <i/>
        <vertAlign val="superscript"/>
        <sz val="13"/>
        <rFont val="Times New Roman"/>
        <family val="1"/>
        <charset val="186"/>
      </rPr>
      <t>5</t>
    </r>
  </si>
  <si>
    <t>Prioritāte "Augstākā izglītība un zinātne" / Priority "Higher Education and Science"</t>
  </si>
  <si>
    <t>Pasākums "Zinātnes un pētniecības potenciāla attīstība" / Measure "Development of Scientific and Research Potential"</t>
  </si>
  <si>
    <t>Aktivitāte "Zinātnes un inovāciju politikas veidošanas un administratīvās kapacitātes stiprināšana" / Activity "Strengthening of Research and Innovation Policy Development and Administrative Capacity"</t>
  </si>
  <si>
    <t>1.1.1.2.*</t>
  </si>
  <si>
    <t>Aktivitāte "Cilvēkresursu piesaiste zinātnei" / Activity "Attraction of Human Resources to Science"</t>
  </si>
  <si>
    <t>Aktivitāte "Motivācijas veicināšana zinātniskajai darbībai"/ Activity "Reinforcing Motivation for Scientific Activities"</t>
  </si>
  <si>
    <t>Pasākums "Augstākās izglītības attīstība"/ Measure "Development of Tertiary (Higher) Education"</t>
  </si>
  <si>
    <t>Aktivitāte "Atbalsts doktora un maģistra studiju īstenošanai" / Activity "Support to Doctor’s and Master’s study programmes"</t>
  </si>
  <si>
    <t>Apakšaktivitāte "Atbalsts maģistra studiju programmu īstenošanai" / Sub-activity "Support to master’s studies"</t>
  </si>
  <si>
    <t>Apakšaktivitāte "Atbalsts doktora studiju programmu īstenošanai" / Sub-activity "Support to doctor’s studies"</t>
  </si>
  <si>
    <t>Aktivitāte "Atbalsts augstākās izglītības studiju uzlabošanai"/ Activity "Support to improvement of tertiary education studies"</t>
  </si>
  <si>
    <t xml:space="preserve">Apakšaktivitāte "Studiju programmu satura un īstenošanas uzlabošana un akadēmiskā personāla kompetences pilnveidošana"/Sub-activity "Improvement of Study Programme Contents, Its Implementation and Competence of Academic Personnel" </t>
  </si>
  <si>
    <t> Apakšaktivitāte "Boloņas procesa principu ieviešana augstākajā izglītībā" / Sub-activity "Implementation of Bologna Process Principles in Tertiary Education"</t>
  </si>
  <si>
    <t>Prioritāte "Izglītība un prasmes" / Priority "Education and Skills"</t>
  </si>
  <si>
    <t xml:space="preserve">Pasākums "Profesionālās izglītības un vispārējo prasmju attīstība"/ Measure "Development of Vocational Education and General Skills" </t>
  </si>
  <si>
    <t xml:space="preserve">Aktivitāte "Profesionālās izglītības sistēmas attīstība, kvalitātes, atbilstības un pievilcības uzlabošana"/ Activity "Development of vocational educational system, improvement of quality, conformity and attraction" </t>
  </si>
  <si>
    <t xml:space="preserve">Apakšaktivitāte "Nozaru kvalifikāciju sistēmas izveide un profesionālās izglītības pārstrukturizācija"/ Sub-activity "Improvement of National Qualification System, Vocational Education Contents and Cooperation among the Bodies Involved in Vocational Education" </t>
  </si>
  <si>
    <t>Apakšaktivitāte "Profesionālajā izglītībā iesaistīto pedagogu kompetences paaugstināšana"/ Sub-activity "Competence Promotion of the Educators Involved in Vocational Education"</t>
  </si>
  <si>
    <t>1.2.1.1.3.*</t>
  </si>
  <si>
    <t xml:space="preserve">Apakšaktivitāte "Atbalsts sākotnējās profesionālās izglītības programmu īstenošanas kvalitātes uzlabošanai un īstenošanai"/ Sub-activity "Support to improvement and Implementation of Primary Vocational Education Programme Quality" </t>
  </si>
  <si>
    <t>Apakšaktivitāte "Sākotnējās profesionālās izglītības pievilcības veicināšana" / Sub-activity "Promotion of Primary Vocational Education Attraction"</t>
  </si>
  <si>
    <t>Aktivitāte "Vispārējo zināšanu un prasmju uzlabošana" / Activity "Improvement of general knowledge and skills"</t>
  </si>
  <si>
    <t>Apakšaktivitāte "Vispārējās vidējās izglītības satura reforma, mācību priekšmetu, metodikas un mācību sasniegumu vērtēšanas sistēmas uzlabošana" / Sub-activity "Reform of General Secondary Education Contents, Improvement of Study Subjects, Methodology and Evaluation System"</t>
  </si>
  <si>
    <t>Apakšaktivitāte "Atbalsts vispārējās izglītības pedagogu nodrošināšanai prioritārajos mācību priekšmetos" / Sub-activity "Support to Ensure Sufficiency of General Secondary Education Educators in Priority Subjects"</t>
  </si>
  <si>
    <t>Apakšaktivitāte "Vispārējās izglītības pedagogu kompetences paaugstināšana un prasmju atjaunošana" / Sub-activity "Competence Promotion of General Educators and Renewal of Skills"</t>
  </si>
  <si>
    <t>Pasākums "Mūžizglītības attīstība un izglītībā un mūžizglītībā iesaistīto institūciju rīcībspējas un sadarbības uzlabošana" / Measure "Development of Lifelong Learning and Cooperation and Capacity Strengthening of Institutions responsible for Education and Lifelong Learning Policy"</t>
  </si>
  <si>
    <t>Aktivitāte "Mūžizglītības attīstība"/ Activity "Development of lifelong education"</t>
  </si>
  <si>
    <t>Apakšaktivitāte " Mūžizglītības pārvaldes struktūras izveide nacionālā līmenī un inovatīvu mūžizglītības politikas instrumentu izstrāde"/ Sub-activity "Lifelong learning administrating system foundation on national level and output of  innovative lifelong learning policy instruments"</t>
  </si>
  <si>
    <t xml:space="preserve">Apakšaktivitāte "Atbalsts Mūžizglītības politikas pamatnostādņu īstenošanai"/ Sub-activity "Support to Implement Lifelong Learning Policy Guidelines" </t>
  </si>
  <si>
    <t xml:space="preserve">Apakšaktivitāte „Īpašu mūžizglītības politikas jomu atbalsts/ Sub-activity „Support for specific spheres of lifelong Learning Policy” </t>
  </si>
  <si>
    <t>1.2.2.1.5</t>
  </si>
  <si>
    <t xml:space="preserve">Apakšaktivitāte "Pedagogu konkurētspējas veicināšana izglītības sistēmas optimizācijas apstākļos" / Sub-activity "Promotion of Educators’ Competitiveness within the Optimization of Educational System" </t>
  </si>
  <si>
    <t>Aktivitāte "Profesionālās orientācijas un karjeras izglītības attīstība, profesionāli orientētās izglītības attīstība" / Sub-activity "Support to Implement Lifelong Learning Policy Guidelines"</t>
  </si>
  <si>
    <t>Apakšaktivitāte "Profesionālās orientācijas un karjeras izglītības attīstība izglītības sistēmā" / Sub-activity "Development of Professional Orientation and Career-Related Education in the Educational System"</t>
  </si>
  <si>
    <t xml:space="preserve">Apakšaktivitāte "Profesionālās orientācijas un karjeras izglītības pieejamības palielināšana jauniešiem, profesionāli orientētās izglītības attīstība"/ Sub-activity "Increase of Youth Access to Professional Orientation and Career Education, Development of Profession-Related Education" </t>
  </si>
  <si>
    <t>Aktivitāte "Par izglītības un mūžizglītības politiku atbildīgo institūciju rīcībspējas un sadarbības stiprināšana" / Improvement of cooperation and capacity strengthening of institutions responsible for the education and lifelong learning policy</t>
  </si>
  <si>
    <t>Aktivitāte "Par izglītības un mūžizglītības politiku atbildīgo institūciju rīcībspējas un sadarbības stiprināšana"/ Activity "Improvement of cooperation and capacity strengthening of institutions responsible for the education and lifelong learning policy"</t>
  </si>
  <si>
    <t>Apakšaktivitāte „Atbalsts izglītības pētījumiem” / Sub-activity „Support for education research”</t>
  </si>
  <si>
    <t>Aktivitāte "Izglītības pieejamības nodrošināšana sociālās atstumtības riskam pakļautajiem jauniešiem un iekļaujošas izglītības attīstība"/ Activity "Improvement of education accessibility for young people groups at risk of social exclusion and development of inclusive education"</t>
  </si>
  <si>
    <t>Apakšaktivitāte "Iekļaujošas izglītības un sociālās atstumtības riskam pakļauto jauniešu atbalsta sistēmas izveide, nepieciešamā personāla sagatavošana, nodrošināšana un kompetences paaugstināšana" / Sub-activity "Formation of Support System for Inclusive Education and Youth at Risk of Social Exclusion, Training, Ensuring and Competence Promoting of the Necessary Personnel"</t>
  </si>
  <si>
    <t>Apakšaktivitāte "Atbalsta pasākumu īstenošana jauniešu sociālās atstumtības riska mazināšanai un jauniešu ar funkcionālajiem traucējumiem integrācijai izglītībā"/ Sub-activity "Implementation of Support Measures for Social Exclusion Decrease of Youth and Integration of Disabled Youth into Education"</t>
  </si>
  <si>
    <t>Prioritāte "Nodarbinātības veicināšana un veselība darbā" / Priority "Promotion of Employment and Health at Work"</t>
  </si>
  <si>
    <t>Pasākums "Nodarbinātība" / Measure "Employment"</t>
  </si>
  <si>
    <t>Aktivitāte "Darbaspējas vecuma iedzīvotāju konkurētspējas paaugstināšana darba tirgū, t.sk., nodarbināto pārkvalifikācija un aktīvie nodarbinātības pasākumi / Activity "Enhancement of the competitiveness of residents in working age, including retraining and active employment measures"</t>
  </si>
  <si>
    <t>Apakšaktivitāte "Atbalsts nodarbināto apmācībām komersantu konkurētspējas veicināšanai - atbalsts partnerībās organizētām apmācībām "/ Sub-activity "Support to training for employed in partnership"</t>
  </si>
  <si>
    <t>EM / MoE</t>
  </si>
  <si>
    <t>Apakšaktivitāte "Bezdarbnieku un darba meklētāju apmācība"/ Sub-activity "Training of unemployed and job seekers"</t>
  </si>
  <si>
    <t>1.3.1.1.4.*</t>
  </si>
  <si>
    <t>Apakšaktivitāte "Atbalsts nodarbināto apmācībām komersantu konkurētspējas veicināšanai - atbalsts komersantu individuāli organizētām apmācībām"/ Sub-activity - "Support to training for employed for enhancing competitiveness of enterprises - support to individually organized training by enterprises"</t>
  </si>
  <si>
    <t xml:space="preserve">1.3.1.1.5. </t>
  </si>
  <si>
    <t>Apakšaktivitāte "Atbalsts potenciālo bezdarbnieku apmācībai" / Sub-activity "Support to people at risk of unemployment"</t>
  </si>
  <si>
    <t>Aktivitāte "Atbalsts darba vietu radīšanai" / Activity "Support to create new jobs"</t>
  </si>
  <si>
    <t>1.3.1.2.*</t>
  </si>
  <si>
    <t>Aktivitāte "Atbalsts pašnodarbinātības un uzņēmējdarbības uzsākšanai"/ Activity "Support for self-employment and business start-ups"</t>
  </si>
  <si>
    <t>Aktivitāte "Darba attiecību un darba drošības normatīvo aktu  praktiska piemērošana un uzraudzības pilnveidošana"/ Activity "Practical application of the legislation on labour relations, occupational safety and health, and improvement of supervision"</t>
  </si>
  <si>
    <t>1.3.1.3.1.*</t>
  </si>
  <si>
    <t>Apakšaktivitāte "Darba attiecību un darba drošības normatīvo aktu uzraudzības pilnveidošana" / Sub-activity "Improvement of supervision of labour relations and occupational safety and health legislation implementation"</t>
  </si>
  <si>
    <t>Apakšaktivitāte "Darba attiecību un darba drošības normatīvo aktu praktiska piemērošana nozarēs un uzņēmumos" / Sub-activity "Practical application of the legislation on occupational safety and health and labour relations in sectors and enterprises"</t>
  </si>
  <si>
    <t>Aktivitāte "Kapacitātes stiprināšana darba tirgus institūcijām"/ Activity "Capacity building of labour market institutions"</t>
  </si>
  <si>
    <t>Aktivitāte "Vietējo nodarbinātības veicināšanas pasākumu plānu ieviešanas atbalsts" / Activity "Support for the implementation of regional action plans for promotion of employment"</t>
  </si>
  <si>
    <t xml:space="preserve">Aktivitāte "Atbalsts dzimumu līdztiesības veicināšanai darba tirgū"/ Activity "Promotion of gender equality in the labour market" </t>
  </si>
  <si>
    <t>Aktivitāte "Darba tirgus pieprasījuma īstermiņa un ilgtermiņa prognozēšanas un uzraudzības sistēmas attīstība"/ Activity "Forecasting short-term and long-term labour market demands and the development of a monitoring system"</t>
  </si>
  <si>
    <t>Aktivitāte "Atbalsts labāko inovatīvo risinājumu meklējumiem un labas prakses piemēru integrēšanai darba tirgus politikās un ieviešanas instrumentārijos" / Activity "Support for seeking the best innovative solutions and for integrating the best practices in the labour market policies and implementation instruments"</t>
  </si>
  <si>
    <t>Aktivitāte "Augstas kvalifikācijas darbinieku piesaiste" / Activity "Attraction of highly qualified employees"</t>
  </si>
  <si>
    <t>Pasākums "Veselība darbā"/ Measure "Health at work"</t>
  </si>
  <si>
    <t>Aktivitāte "Veselības uzlabošana darbavietā, veicinot ilgtspējīgu nodarbinātību"/ Activity "Better Health at Work and Sustaining Employment"</t>
  </si>
  <si>
    <t>Aktivitāte "Pētījumi un aptaujas par veselību darbā"/ Activity "Studies and surveys in health at work"</t>
  </si>
  <si>
    <t>Aktivitāte "Veselības aprūpes un veicināšanas procesā iesaistīto institūciju personāla kompetences, prasmju un iemaņu līmeņa paaugstināšana"/ Activitity "Enhancement of competencies, qualification and skills of health care and health promotion professionals"</t>
  </si>
  <si>
    <t>Prioritāte "Sociālās iekļaušanas veicināšana"/ Priority "Promotion of Social Inclusion"</t>
  </si>
  <si>
    <t>Pasākums "Sociālā iekļaušana"/ Measure "Social Inclusion"</t>
  </si>
  <si>
    <t xml:space="preserve">Aktivitāte "Iedzīvotāju ekonomiskās aktivitātes stimulēšana"/ Activity "Stimulating economic activity of the population" </t>
  </si>
  <si>
    <t>LM /MoW</t>
  </si>
  <si>
    <t>Apakšaktivitāte "Kompleksi atbalsta pasākumi iedzīvotāju integrēšanai darba tirgū"/ Sub-activity „Complex supporting activities for inhabitants’ integration in labour market”</t>
  </si>
  <si>
    <t>Apakšaktivitāte "Atbalstītās nodarbinātības pasākumi mērķgrupu bezdarbniekiem"/ Activity "Supported employment measures for unemployed persons from specific target groups"</t>
  </si>
  <si>
    <t>Aktivitāte "Darbspēju vērtēšanas sistēmas un sociālo pakalpojumu ieviešanas sistēmas pilnveidošana"/ Activity "Improvement of the working capacity evaluation system and the system of introducing social services"</t>
  </si>
  <si>
    <t xml:space="preserve">1.4.1.2.1. </t>
  </si>
  <si>
    <t>Apakšaktivitāte "Darbspēju vērtēšanas sistēmas pilnveidošana"/ Sub-activity „Development of the system for working ability assesment”</t>
  </si>
  <si>
    <t>Apakšaktivitāte "Sociālās rehabilitācijas pakalpojumu attīstība personām ar redzes un dzirdes traucējumiem"/ Sub-activity „The development of social rehabilitation services for persons with sight and hearing disorders”</t>
  </si>
  <si>
    <t>Sociālās rehabilitācijas un institūcijām alternatīvu sociālās aprūpes pakalpojumu attīstība reģionos/ Sub-activity „Development of social rehabilitation and alternative social care services in regions“</t>
  </si>
  <si>
    <t xml:space="preserve">Prioritāte "Administratīvās kapacitātes stiprināšana"/ Priority "Administrative Capacity Building" </t>
  </si>
  <si>
    <t>Pasākums "Labāka regulējuma politika"/ Measure "Better Regulation Policy"</t>
  </si>
  <si>
    <t>Aktivitāte "Politikas ietekmes novērtēšana un politikas pētījumu veikšana"/ Activity "Policy Impact Assessment and Conducting Policy Research"</t>
  </si>
  <si>
    <t>Apakšaktivitāte "Atbalsts strukturālo reformu īstenošanai un analītisko spēju stiprināšanai valsts pārvaldē"/ Sub-activity "Improvement of Policy Planning, Policy Implementation and Policy Impact Assessment"</t>
  </si>
  <si>
    <t>FM/MoF</t>
  </si>
  <si>
    <t>Apakšaktivitāte "Politikas pētījumu veikšana"/ Sub-activity "Conducting Policy Research"</t>
  </si>
  <si>
    <t>Vkanceleja/State Chancellery</t>
  </si>
  <si>
    <t>Aktivitāte "Administratīvo šķēršļu samazināšana un publisko pakalpojumu kvalitātes uzlabošana"/ Activity "Reduction of Administrative Barriers and Quality Improvement of Public Services"</t>
  </si>
  <si>
    <t>Aktivitāte "Publisko varu realizējošo institūciju darbības kvalitātes un efektivitātes paaugstināšana"/ Activity "Increasing Operational Quality and Efficiency of Public Administration Institutions"</t>
  </si>
  <si>
    <t>1.5.1.3.1.*</t>
  </si>
  <si>
    <t>Apakšaktivitāte "Kvalitātes vadības sistēmas izveide un ieviešana"/ Sub-activity "Development and Introduction of the Quality Management System"</t>
  </si>
  <si>
    <t>1.5.1.3.2.*</t>
  </si>
  <si>
    <t>Apakšaktivitāte "Publisko pakalpojumu kvalitātes paaugstināšana valsts, reģionālā un vietējā līmenī"/ Sub-activity "Improvement of Quality of Public Services at the National, Regional and Local Level"</t>
  </si>
  <si>
    <t>Pasākums "Cilvēkresursu kapacitātes stiprināšana" / Measure "Capacity Building of Human Resources"   </t>
  </si>
  <si>
    <t>Aktivitāte "Publiskās pārvaldes cilvēkresursu plānošanas un vadības IT sistēmas izstrāde un ieviešana" / Activity "Development of Human Resource Planning and Management System in Public Administration"</t>
  </si>
  <si>
    <t>Aktivitāte "Sociālo partneru, nevalstisko organizāciju un pašvaldību kapacitātes stiprināšana"/ Activity "Capacity Building of Social Partners, Non-Governmental Organisations and Municipalities"</t>
  </si>
  <si>
    <t>Apakšaktivitāte "Sociālo partneru administratīvās kapacitātes stiprināšana"/ Sub-activity "Administrative Capacity Building of Social Partners"</t>
  </si>
  <si>
    <t>1.5.2.2.2.*</t>
  </si>
  <si>
    <t>Apakšaktivitāte "NVO administratīvās kapacitātes stiprināšana"/ Sub-activity "Administrative Capacity Building of NGOs"</t>
  </si>
  <si>
    <t>Apakšaktivitāte "Atbalsts pašvaldībām kapacitātes stiprināšanā Eiropas Savienības struktūrfondu finansēto pasākumu ieviešanā" / Sub-activity "Support to Municipalities in Building their Capacities to Implement Measures financed by the Structural Funds"</t>
  </si>
  <si>
    <t xml:space="preserve">Pasākums "Plānošanas reģionu un vietējo pašvaldību administratīvās un attīstības plānošanas kapacitātes stiprināšana"/ Measure "Administrative Capacity and Development Planning Capacity Building of Planning Regions and Local Governments" </t>
  </si>
  <si>
    <t>VARAM/ MoEPRD</t>
  </si>
  <si>
    <t>Aktivitāte "Speciālistu piesaiste plānošanas reģioniem, pilsētām un novadiem" / Activity "Attracting Specialists to Planning Regions, Towns and Amalgamated Municipalities"</t>
  </si>
  <si>
    <t>1.5.3.2.*</t>
  </si>
  <si>
    <t>Aktivitāte "Plānošanas reģionu un vietējo pašvaldību attīstības plānošanas kapacitātes paaugstināšana" / Activity "Development Planning Capacity Building of Planning Regions and Local Governments"</t>
  </si>
  <si>
    <t>Prioritāte "Tehniskā palīdzība"/ Technical Assistance</t>
  </si>
  <si>
    <t xml:space="preserve">Pasākums "Atbalsts darbības programmas "Cilvēkresursi un nodarbinātība" vadībai"/ Measure “Assistance for the Management of the Operational Programme „Human Resources and Employment”” </t>
  </si>
  <si>
    <t xml:space="preserve">1.6.1.1. </t>
  </si>
  <si>
    <t>Aktivitāte "Programmas vadības un atbalsta funkciju nodrošināšana"/ Activity "Assistance for the Management of the Operational Programme"</t>
  </si>
  <si>
    <r>
      <t xml:space="preserve">Darbības programma "Uzņēmējdarbība un inovācijas" </t>
    </r>
    <r>
      <rPr>
        <b/>
        <i/>
        <vertAlign val="superscript"/>
        <sz val="13"/>
        <rFont val="Times New Roman"/>
        <family val="1"/>
        <charset val="204"/>
      </rPr>
      <t>6</t>
    </r>
    <r>
      <rPr>
        <b/>
        <i/>
        <vertAlign val="superscript"/>
        <sz val="13"/>
        <rFont val="Times New Roman"/>
        <family val="1"/>
        <charset val="186"/>
      </rPr>
      <t xml:space="preserve"> * </t>
    </r>
    <r>
      <rPr>
        <b/>
        <i/>
        <sz val="13"/>
        <rFont val="Times New Roman"/>
        <family val="1"/>
        <charset val="204"/>
      </rPr>
      <t xml:space="preserve">/ II Operational programme "Entrepreneurship and Innovations" </t>
    </r>
    <r>
      <rPr>
        <b/>
        <i/>
        <vertAlign val="superscript"/>
        <sz val="13"/>
        <rFont val="Times New Roman"/>
        <family val="1"/>
        <charset val="204"/>
      </rPr>
      <t xml:space="preserve">6 </t>
    </r>
    <r>
      <rPr>
        <b/>
        <i/>
        <vertAlign val="superscript"/>
        <sz val="13"/>
        <rFont val="Times New Roman"/>
        <family val="1"/>
        <charset val="186"/>
      </rPr>
      <t>*</t>
    </r>
  </si>
  <si>
    <t>ERAF / ERDF</t>
  </si>
  <si>
    <t>Atšķirības DP un  DPP finanšu plānos ir izskaidrojamas ar to, ka grozījumi DP, kas ir veikti, vēl nav saskaņoti ar EK.</t>
  </si>
  <si>
    <t>Prioritāte "Zinātne un inovācijas"/ Priority „Science and Innovations”</t>
  </si>
  <si>
    <t>Since October 30, 2009 there is discussion with EC going on about the necessity of OP amendments and amount.</t>
  </si>
  <si>
    <t>Pasākums "Zinātne, pētniecība un attīstība"/ Measure „Science, Research and Development”</t>
  </si>
  <si>
    <t xml:space="preserve">Decrease of funding within the measure 2.1.1. “Science, Research and Development”,  is due to reduced funding from the sub-activity 2.1.1.3.2.“Improvement of IT Infrastructure and IT System for the Research Needs”. </t>
  </si>
  <si>
    <t>2.1.1.1.*</t>
  </si>
  <si>
    <t>Aktivitāte "Atbalsts zinātnei un pētniecībai"/ Activity "Support to Science and Research"</t>
  </si>
  <si>
    <t>Reallocated from the activity 2.1.1.2.</t>
  </si>
  <si>
    <t>2.1.1.2.*</t>
  </si>
  <si>
    <t>Aktivitāte "Atbalsts starptautiskās sadarbības projektiem zinātnē un tehnoloģijās (EUREKA, 7.IP un citi)" / Activity "Support to International Cooperation Projects in Research and Technologies (EUREKA, 7th FP, etc.)"</t>
  </si>
  <si>
    <t>Community funding available within the activity 2.1.1.2. was reduced and at the same time reallocated to the activity 2.1.1.1. “Support to Science and Research” in order to implement second call of project proposals</t>
  </si>
  <si>
    <t>2.1.1.3.*</t>
  </si>
  <si>
    <t>Aktivitāte "Zinātnes un pētniecības infrastruktūras attīstība"/ Activity "Development of the scientific and research infrastructure"</t>
  </si>
  <si>
    <t>Please see coments for the sub-activities 2.1.1.3.1. and 2.1.1.3.2.</t>
  </si>
  <si>
    <t>2.1.1.3.1.*</t>
  </si>
  <si>
    <t>Apakšaktivitāte "Zinātniskās infrastruktūras attīstība"/ Sub-activity "Development of  Research Infrastructure"</t>
  </si>
  <si>
    <t>Funding was re-allocated from the activity 2.1.1.3.2.</t>
  </si>
  <si>
    <t>Apakšaktivitāte "Informācijas tehnoloģiju infrastruktūras un informācijas sistēmu uzlabošana zinātniskajai darbībai" / Sub-activity "Improvement of IT Infrastructure and IT System for the Research Needs"</t>
  </si>
  <si>
    <t xml:space="preserve">Due to the budged consolidation in year 2010 there was reduction of national public funding. Community funding did not change. </t>
  </si>
  <si>
    <t>Pasākums "Inovācijas"/Measure „Innovations”</t>
  </si>
  <si>
    <t xml:space="preserve">Re-allocation of the funding among the activities within the same measure - 2.1.2.“Innovations”, and reallocation  of the funding available within the measure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</si>
  <si>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 xml:space="preserve"> Aktivitāte "Zinātnes komercializācija un tehnoloģiju pārnese"/ Activity "Commercialisation of science and transfer of technologies"</t>
  </si>
  <si>
    <t>Re-allocation of the funding from the activity 2.1.2.2.</t>
  </si>
  <si>
    <t>Apakšaktivitāte "Kompetences centri" / Sub-activity "Competence centres"</t>
  </si>
  <si>
    <t>Re-allocation of the free funding from the sub-activity 2.1.2.1.2., sub-activity 2.1.2.2.1. and sub-activity 2.1.2.2.3. to the sub-activity 2.1.2.1.1.</t>
  </si>
  <si>
    <t>Apakšaktivitāte "Tehnoloģiju pārneses kontaktpunkti"/ Sub-activity "Contact Points of Transfer of Technologies"</t>
  </si>
  <si>
    <t>Re-allocation of the funding from the subactivity 2.1.2.1.2. to the activity 2.1.2.4.</t>
  </si>
  <si>
    <t>Apakšaktivitāte "Tehnoloģiju pārneses centri"/ Sub-activity "Centres of transfer of Technologies"</t>
  </si>
  <si>
    <t>2.1.2.2.*</t>
  </si>
  <si>
    <t>Aktivitāte "Jaunu produktu un tehnoloģiju izstrādei"/ Activity "Development of new products and technologies "</t>
  </si>
  <si>
    <t>2.1.2.2.1.*</t>
  </si>
  <si>
    <t>Apakšaktivitāte "Jaunu produktu un tehnoloģiju izstrāde" / Sub-activity "Development of new products and technologies"</t>
  </si>
  <si>
    <t>Reallocation of funding not committed within 2.1.2.2. “Development of new products and technologies” activity, firstly, to the activity 2.1.2.4. “High-value investments”; secondly, to the sub-activity 2.1.2.2.4. “New product and technology development in SME’s”.</t>
  </si>
  <si>
    <t>2.1.2.2.2. *</t>
  </si>
  <si>
    <t xml:space="preserve">Apakšaktivitāte "Jaunu produktu un tehnoloģiju izstrāde - atbalsts jaunu produktu un tehnoloģiju ieviešanai ražošanā"/Sub-activity "Development of new products and technologies - aid for implementation of new products and Technologies in production" </t>
  </si>
  <si>
    <t>Apakšaktivitāte "Jaunu produktu un tehnoloģiju izstrāde - atbalsts rūpnieciskā īpašuma tiesību nostiprināšanai" /Sub-activity "Development of new products and technologies -  aid for industrial property rights"</t>
  </si>
  <si>
    <t>Apakšaktivitāte "MVK jaunu produktu un tehnoloģiju attīstības programma"/ Sub-activity "New product and technology development in SMEs"</t>
  </si>
  <si>
    <t>Activity was created in 2011.</t>
  </si>
  <si>
    <t>Aktivitāte "Zinātnes un tehnoloģiju parks" /Activity "Science and Technology park"</t>
  </si>
  <si>
    <t xml:space="preserve">Activity 2.1.2.3.“Science and Technology Park” was suspended due to the overlapping with the sub-activity 2.1.2.3.1.“Development of Research Infrastructure”. </t>
  </si>
  <si>
    <t>Apakšaktivitāte "Rīgas zinātnes un tehnoloģiju parka (ZTP) attīstība"/Sub-activity "Development of Science and Technology park of Riga"</t>
  </si>
  <si>
    <t>2.1.2.4. *</t>
  </si>
  <si>
    <t xml:space="preserve">Aktivitāte "Augstas pievienotās vērtības investīcijas"/Activity "High value-added investments" </t>
  </si>
  <si>
    <t>Increase of funding within the avtivity was done by several re-allocations: 1) from activity 2.1.2.3.; 2) several mutual amendments from and to activity 2.1.2.2.2. 3)  from activities 2.1.2.2.1. and 2.1.2.2.3. from OP "Infrastructure and services.</t>
  </si>
  <si>
    <t>Prioritāte "Finanšu pieejamība"/Priority “Access to Finances”</t>
  </si>
  <si>
    <t xml:space="preserve">Reallocation  of the funding available within the measure 2.1.2.“Innovations”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</si>
  <si>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Pasākums "Finanšu resursu pieejamība"/Measure „Accessability of Financial Resources”</t>
  </si>
  <si>
    <t xml:space="preserve">Reallocation  of the funding available within the measure 2.1.2.“Innovations” to the priority 2.2 “Access to Finances”. </t>
  </si>
  <si>
    <t xml:space="preserve"> Aktivitāte "Ieguldījumu fonds investīcijām garantijās, paaugstināta riska aizdevumos, riska kapitāla fondos un cita veida finanšu instrumentos"/Activity "Holding fund for the investment in guarantee, high-risk loans, and venture capital funds and other financial instruments" </t>
  </si>
  <si>
    <t xml:space="preserve">Reallocation  of the funding available within the measure 2.1.2.“Innovations” to the  activity 2.2.1.1. “Holding fund for the investment in guarantee, high-risk loans, and venture capital funds and other financial instruments” </t>
  </si>
  <si>
    <t>Aktivitāte "Stratēģisko investoru piesaiste"/Activity "Attraction of strategic investors"</t>
  </si>
  <si>
    <t>Apakšaktivitāte "Biznesa eņģeļu tīkls"/Sub-activity "Business angels network"</t>
  </si>
  <si>
    <t>Apakšaktivitāte "Vērtspapīru birža MVK"/Sub-activity "Stock Exchange for SMEs"</t>
  </si>
  <si>
    <t xml:space="preserve">2.2.1.3. </t>
  </si>
  <si>
    <t xml:space="preserve">Aktivitāte "Garantijas komersantu konkurētspējas uzlabošanai" /Activity "Guarantees for development of enterprise competitiveness" </t>
  </si>
  <si>
    <t xml:space="preserve">2.2.1.4. </t>
  </si>
  <si>
    <t xml:space="preserve">Aktivitāte "Aizdevumi komersantu konkurētspējas uzlabošanai"/Activity "Loans for development of enterprise competitiveness" </t>
  </si>
  <si>
    <t>Reallocation  of the funding available within the measure 2.1.2.“Innovations” to the sub-activity 2.2.1.4.2.“Mezzanine investment loans for development of enterprise competitiveness”</t>
  </si>
  <si>
    <t>2.2.1.4.1.*</t>
  </si>
  <si>
    <t>Apakšaktivitāte "Atbalsts aizdevumu veidā komersantu konkurētspējas uzlabošanai"/Sub-activity "Support in a way of loans for development of enterprise competitiveness"</t>
  </si>
  <si>
    <t>Apakšaktivitāte "Mezanīna aizdevumi investīcijām komersantu konkurētspējas uzlabošanai"/ Sub-activity "Mezzanine investment loans for development of enterprise copmpetitiveness"</t>
  </si>
  <si>
    <t>Activity was introduced in 2011 and funding was re-allocated by reducing funding from activity 2.2.1.3."Guarantees for development of enterprise competitiveness" (due to the fact tha the EC did not approve the increase of funding within the Guarantee programme).</t>
  </si>
  <si>
    <t>Prioritāte "Uzņēmējdarbības veicināšana"/Priority “Promotion of Entrepreneurship”</t>
  </si>
  <si>
    <t>Pasākums "Uzņēmējdarbības atbalsta aktivitātes"/Measure „Business Support Activities”</t>
  </si>
  <si>
    <t>Realocation of the funding form the measure 2.3.2. to the measure 2.3.1.</t>
  </si>
  <si>
    <t>Aktivitāte "Ārējo tirgu apgūšana"/Activity "Access to international trade markets"</t>
  </si>
  <si>
    <t xml:space="preserve">Apakšaktivitāte „Ārējo tirgu apgūšana - ārējais mārketings” /Sub-activity  ”Access to international trade markets-external marketing” </t>
  </si>
  <si>
    <t xml:space="preserve">Reallocation of the financing available within 2.3.2.2.2. activity to the sub-activity 2.3.1.1.1.“Access to international trade markets” and sub-activity 2.3.1.1.2.“Access to international trade markets-strengthening international competitiveness of industry sector” </t>
  </si>
  <si>
    <t xml:space="preserve">2.3.1.1.2. </t>
  </si>
  <si>
    <t>Apakšaktivitāte „Ārējo tirgu apgūšana – nozaru starptautiskās konkurētspējas stiprināšana” /Sub-activity “Access to international trade markets-strengthening international competitiveness  of industry sector”</t>
  </si>
  <si>
    <t>Aktivitāte "Pasākumi motivācijas celšanai inovācijām un uzņēmējdarbības uzsākšanai"/Activity "Measures to encourage innovations and business start-ups"</t>
  </si>
  <si>
    <t>Pasākums "Uzņēmējdarbības infrastruktūras un aprīkojuma uzlabojumi"/Measure „Business Infrastructure and Improvements to Equipment”</t>
  </si>
  <si>
    <t>Aktivitāte "Biznesa inkubatori"/Activity "Business incubators"</t>
  </si>
  <si>
    <t>Aktivitāte "Atbalsts ieguldījumiem mikro, maziem un vidējiem komersantiem"/Activity "Co-financing to the investments in micro, small and medium-sized entreprises"</t>
  </si>
  <si>
    <t>Reallocation of the financing available within 2.3.2.2.2. activity to the sub-activity 2.3.1.1.1.“Access to international trade markets” and sub-activity 2.3.1.1.2.“Access to international trade markets-strengthening international competitiveness of industry sector” , as well as to the activity 2.3.2.3.</t>
  </si>
  <si>
    <t>Apakšaktivitāte "Atbalsts ieguldījumiem mikro, maziem un vidējiem komersantiem īpaši atbalstāmajās teritorijās"/Activity "Co-financing to the investments in micro, small and medium-sized entreprises operating in the specially assisted arears"</t>
  </si>
  <si>
    <t>Reallocation of the financing available within 2.3.2.2.1. Activity "Co-financing to the investments in micro, small and medium-sized entreprises operating in the specially assisted areas" creating new sub-activity Activity "Co-financing to the investments in reconstruction or development of industrial premises" 6615526 lats according to decision of Cabinet of Ministry</t>
  </si>
  <si>
    <t>2.3.2.2.2.*</t>
  </si>
  <si>
    <t>Apakšaktivitāte "Atbalsts ieguldījumiem ražošanas telpu izveidei vai rekonstrukcijai"/ Sub-activity /Activity "Co-financing to the investments in reconstruction or development of industrial premises"</t>
  </si>
  <si>
    <t>Activity approved with decision of Cabinet of Ministry as of 21st of May.</t>
  </si>
  <si>
    <t>Aktivitāte "Klasteru programma"/Activity "Cluster programm"</t>
  </si>
  <si>
    <t>In April 2009 the implementation of the activity was suspended  and funding was taken out and re-allocated to the sub-activity 2.3.1.1.1.). In July 2011 Cabinet of Ministers took a decision to start again the implementation of the activity and ERDF funding within the amount of 3 407 289 lats was reallocated from activity 2.3.2.2.</t>
  </si>
  <si>
    <t>2.4.***</t>
  </si>
  <si>
    <t>Prioritāte "Tehniskā palīdzība"/Priority “Technical Assistance”</t>
  </si>
  <si>
    <t xml:space="preserve">10% of the national public financing and 10% of the ERDF funding previously allocated to the priority 2.4.“Technical Assistance” is allocated to the priority 2.2. “Access to Finances”, neminot, ka pārdale uz mezanīnu. </t>
  </si>
  <si>
    <r>
      <t>2.4.1.</t>
    </r>
    <r>
      <rPr>
        <b/>
        <vertAlign val="superscript"/>
        <sz val="13"/>
        <rFont val="Times New Roman"/>
        <family val="1"/>
        <charset val="186"/>
      </rPr>
      <t>8</t>
    </r>
  </si>
  <si>
    <t>Pasākums "Atbalsts darbības programmas "Uzņēmējdarbība un inovācijas" vadībai"/Measure “Assistance for the Management of the Operational Programme „Entrepreneurship and Innovations””</t>
  </si>
  <si>
    <t xml:space="preserve">2.4.1.1. </t>
  </si>
  <si>
    <t>Aktivitāte "Programmas vadības un atbalsta funkciju nodrošināšana"/Activity "Ensuring programme management and support"</t>
  </si>
  <si>
    <t xml:space="preserve">10% of the national public financing and 10% of the ERDF funding previously allocated to the priority 2.4.“Technical Assistance” is allocated to the priority 2.2. “Access to Finances”, in particular to the new sub-activity 2.2.1.4.2.“Mezzanine investment loans for development of enterprise competitiveness” </t>
  </si>
  <si>
    <t>3.</t>
  </si>
  <si>
    <r>
      <t xml:space="preserve">III darbības programma "Infrastruktūra un pakalpojumi" </t>
    </r>
    <r>
      <rPr>
        <b/>
        <i/>
        <vertAlign val="superscript"/>
        <sz val="13"/>
        <rFont val="Times New Roman"/>
        <family val="1"/>
        <charset val="186"/>
      </rPr>
      <t>7</t>
    </r>
    <r>
      <rPr>
        <b/>
        <i/>
        <sz val="13"/>
        <rFont val="Times New Roman"/>
        <family val="1"/>
        <charset val="204"/>
      </rPr>
      <t xml:space="preserve">/ III Operational programme "Infrastructure and Services" </t>
    </r>
    <r>
      <rPr>
        <b/>
        <i/>
        <vertAlign val="superscript"/>
        <sz val="13"/>
        <rFont val="Times New Roman"/>
        <family val="1"/>
        <charset val="186"/>
      </rPr>
      <t>7</t>
    </r>
  </si>
  <si>
    <t>ERAF/KF / ERDF/CF</t>
  </si>
  <si>
    <t>III DP - ERAF/III OP - ERDF</t>
  </si>
  <si>
    <t>III DP - KF/ III OP - CF</t>
  </si>
  <si>
    <t>KF/CF</t>
  </si>
  <si>
    <t>Prioritāte "Infrastruktūra cilvēku kapitāla nostiprināšanai" / Priority "Infrastructure for Strengthening Human Capital"</t>
  </si>
  <si>
    <t xml:space="preserve">Pasākums "Profesionālās izglītības infrastruktūra"/Measure "Vocational Education Infrastructure" </t>
  </si>
  <si>
    <t>Aktivitāte "Mācību aprīkojuma modernizācija un infrastruktūras uzlabošana profesionālās izglītības programmu īstenošanai"/Modernisation of Equipment and Improvement of Infrastructure for Implementation of Vocational Education Programmes</t>
  </si>
  <si>
    <t>Aktivitāte "Profesionālās izglītības infrastruktūras attīstība un mācību aprīkojuma modernizācija ieslodzījuma vietās"/Improvement of Vocational Education Infrastructure and Modernisation of Equipment in Places of Imprisonment</t>
  </si>
  <si>
    <t>Pasākums "Augstākās izglītības infrastruktūra"/Measure "Tertiary (Higher) Education Infrastructure"</t>
  </si>
  <si>
    <t>Apakšaktivitāte "Augstākās izglītības iestāžu telpu un iekārtu modernizēšana studiju programmu kvalitātes uzlabošanai, tajā skaitā, nodrošinot izglītības programmu apgūšanas iespējas arī personām ar funkcionāliem traucējumiem"/Modernization of Premises and Devices for Improvement of Study Programme Quality at Higher Educational Establishments, including Provision of Education Opportunities for Individuals with Functional Disabilities</t>
  </si>
  <si>
    <t>Apakšaktivitāte "Jaunu koledžas studiju programmu attīstība aviācijas nozarē"/Improvement of New Study Programme at Colleges or Establishment of New Colleges</t>
  </si>
  <si>
    <t>Pasākums "Izglītības infrastruktūra vispārējo prasmju nodrošināšanai"/Measure "Ensuring Educational Infrastructure for General Skills" </t>
  </si>
  <si>
    <r>
      <t>Aktivitāte "Kvalitatīvai dabaszinātņu apguvei atbilstošas materiālās bāzes nodrošināšana"</t>
    </r>
    <r>
      <rPr>
        <vertAlign val="superscript"/>
        <sz val="13"/>
        <rFont val="Times New Roman"/>
        <family val="1"/>
        <charset val="186"/>
      </rPr>
      <t xml:space="preserve"> </t>
    </r>
    <r>
      <rPr>
        <sz val="13"/>
        <rFont val="Times New Roman"/>
        <family val="1"/>
        <charset val="204"/>
      </rPr>
      <t>/ Provision of Appropriate Material Supplies Required for the Implementation of High-quality Natural Science Programmes</t>
    </r>
  </si>
  <si>
    <t>Aktivitāte "Atbalsts vispārējās izglītības iestāžu tīkla optimizācijai"/Support for optimization of general educational establishments</t>
  </si>
  <si>
    <t>Aktivitāte "Speciālās izglītības iestāžu un vispārējās izglītības iestāžu infrastruktūras uzlabošana izglītojamajiem ar speciālām vajadzībām"/Improvement of Infrastructure for Students with Special Needs in Comprehensive and Special Education Establishments</t>
  </si>
  <si>
    <t xml:space="preserve">Apakšaktivitāte "Speciālās izglītības iestāžu infrastruktūras un aprīkojuma uzlabošana"/ Improvement of Infrastructure and Equipment in Special Educational Establishments </t>
  </si>
  <si>
    <t>Apakšaktivitāte "Vispārējās izglītības iestāžu infrastruktūras uzlabošana izglītojamajiem ar funkcionāliem traucējumiem"/Improvement of Infrastructure in General Educational Establishments for the Students with Functional Disabilities and other Disorders</t>
  </si>
  <si>
    <t>Pasākums "Nodarbinātības un sociālo pakalpojumu infrastruktūra"/Measure "Employment and Social Services Infrastructure"</t>
  </si>
  <si>
    <t>Aktivitāte "Darbspēju vērtēšanas un sociālo pakalpojumu ieviešanas institūciju infrastruktūras pilnveidošana"/Improvement of Infrastructure in Institutions Assessing Capacity for Work and Providing Social Services</t>
  </si>
  <si>
    <t>Apakšaktivitāte "Infrastruktūras pilnveidošana un zinātniski tehniskās bāzes nodrošināšana darbspēju un funkcionālo traucējumu izvērtēšanai" /Sub-activity "Improvement of Infrastructure and Providing Scientific and Technical Base  to Estimate  a  Work Capacity and Functional Disorders)"</t>
  </si>
  <si>
    <t>Aktivitāte "Infrastruktūras pilnveidošana profesionālās rehabilitācijas pakalpojumu sniegšanai"/Improvement of Infrastructure for Providing a Professional Rehabilitation Services</t>
  </si>
  <si>
    <t>Apakšaktivitāte "Infrastruktūras pilnveidošana sociālās rehabilitācijas pakalpojumu sniegšanai personām ar redzes un dzirdes traucējumiem"/Improvement of Infrastructure to Develop Social Rehabilitation Services for Persons with Hearing  and  Seeing Disorders</t>
  </si>
  <si>
    <t>Apakšaktivitāte "Jaunu filiāļu izveide tehnisko palīglīdzekļu nodrošināšanai"/Establishment of New Branch for Providing Technical Aid</t>
  </si>
  <si>
    <t>Apakšaktivitāte "Infrastruktūras pilnveidošana sociālās rehabilitācijas pakalpojumu sniegšanai personām ar garīga rakstura traucējumiem"/Improvement of Infrastructure to Develop Social Rehabilitation Services for Persons With Mental Disorders</t>
  </si>
  <si>
    <t>Aktivitāte "Darba tirgus institūciju infrastruktūras pilnveidošana/Improvement of Infrastructure in Labour Market Institutions</t>
  </si>
  <si>
    <t>Aktivitāte "Pirmsskolas izglītības iestāžu infrastruktūras attīstība nacionālas un reģionālas nozīmes attīstības centros"/ Development Pre-school Educational Establishments’ Infrastructure in Development Centers of National and Regional Importance</t>
  </si>
  <si>
    <t>Aktivitāte "Atbalsts alternatīvās aprūpes pakalpojumu pieejamības attīstībai"/Supporting of Improved Accessibility to Alternative Care Services</t>
  </si>
  <si>
    <t>Pasākums "Veselības aprūpes infrastruktūra" /Measure "Health Care Infrastructure"</t>
  </si>
  <si>
    <t>Ambulatorās veselības aprūpes attīstība/Development of Ambulatory Health Care</t>
  </si>
  <si>
    <t>3.1.5.1.1.*</t>
  </si>
  <si>
    <t>Ģimenes ārstu tīkla attīstība / Developemnt of Primary Health Care Physician Network</t>
  </si>
  <si>
    <t>Veselības aprūpes centru attīstība/Development of the Health Care Centres</t>
  </si>
  <si>
    <t>Neatliekamās medicīniskās palīdzības attīstība/Development of Emergency Medical Assistance</t>
  </si>
  <si>
    <t>Stacionārās veselības aprūpes pakalpojumu sniedzēju attīstība/Development of providers of stationary health care</t>
  </si>
  <si>
    <t>Stacionārās veselības aprūpes attīstība /Development of Stationary Health Care</t>
  </si>
  <si>
    <t>Onkoloģijas slimnieku radioterapijas ārstēšanas attīstība / Development of Radiotherapy Treatments of Oncology Patients</t>
  </si>
  <si>
    <t>Prioritāte "Teritoriju pieejamības un sasniedzamības veicināšana"/Priority "Promotion of Territorial Accessability"</t>
  </si>
  <si>
    <t>Pasākums "Pieejamības un transporta sistēmas attīstība" / Measure "Promotion of Accessibility and Transport System"</t>
  </si>
  <si>
    <t>SM / MoT</t>
  </si>
  <si>
    <t>3.2.1.1.*</t>
  </si>
  <si>
    <t>Aktivitāte "Valsts 1.šķiras autoceļu maršrutu sakārtošana" / Improvement of State Category 1 Motorway Network</t>
  </si>
  <si>
    <t>3.2.1.2.*</t>
  </si>
  <si>
    <t>Aktivitāte "Tranzītielu sakārtošana pilsētu teritorijās"/Improvement of Transit Streets in Cities</t>
  </si>
  <si>
    <t xml:space="preserve">Aktivitāte "Satiksmes drošības uzlabojumi apdzīvotās vietās un Rīgā"/Traffic Safety Improvement in Populated Areas and Riga </t>
  </si>
  <si>
    <t>Apakšaktivitāte "Satiksmes drošības uzlabojumi apdzīvotās vietās ārpus Rīgas"/Traffic Safety Improvement in Populated Areas Outside Riga</t>
  </si>
  <si>
    <t>3.2.1.3.2.*</t>
  </si>
  <si>
    <t>Apakšaktivitāte "Satiksmes drošības uzlabojumi Rīgā"/Traffic safety improvement in Riga</t>
  </si>
  <si>
    <t>3.2.1.4.*</t>
  </si>
  <si>
    <t>Aktivitāte "Mazo ostu infrastruktūras uzlabošana"/Improvement of Infrastructure in Small Ports</t>
  </si>
  <si>
    <t>Aktivitāte "Publiskais transports ārpus Rīgas"/Public Transport Outside Riga</t>
  </si>
  <si>
    <t>Pasākums "IKT infrastruktūra un pakalpojumi" /Measure "ICT Infrastructure and Services"</t>
  </si>
  <si>
    <t>Aktivitāte "Publiskās pārvaldes elektronisko pakalpojumu un informācijas sistēmu attīstība"/Development of Electronic Services and Information Systems of Public Administration</t>
  </si>
  <si>
    <t>Apakšaktivitāte "Informācijas sistēmu un elektronisko pakalpojumu attīstība"/Development of Information Systems and Electronic Services</t>
  </si>
  <si>
    <t>Apakšaktivitāte "Izglītības iestāžu informatizācija"/ Informatisation of Educational Institutions</t>
  </si>
  <si>
    <t>Aktivitāte "Publisko interneta pieejas punktu attīstība"/Development of Public Internet Access Points</t>
  </si>
  <si>
    <t>Aktivitāte "Elektronisko sakaru pakalpojumu vienlīdzīgas pieejamības nodrošināšana visā valsts teritorijā (platjoslas tīkla attīstība)"/Provision of Equal Access Opportunities to Electronic Communications Services in the Whole Territory of the Country (Development of Broadband Network)</t>
  </si>
  <si>
    <t>Aktivitāte "Valsts nozīmes elektronisko sakaru tīklu izveide, attīstība un pilnveidošana, informācijas datu pārraides drošības nodrošināšana"/Establishment, Development and Improvement of Electronic Communications Network of National Significance and Ensuring Security of Information Data Transmission</t>
  </si>
  <si>
    <t>Apakšaktivitāte "Valsts nozīmes elektronisko sakaru tīklu izveide, attīstība un pilnveidošana"/Establishment, Development and Improvement of Electronic Communications Network of National Significance</t>
  </si>
  <si>
    <t>Apakšaktivitāte "Informācijas datu pārraides drošības nodrošināšana"/Ensuarance of information data transmission safety</t>
  </si>
  <si>
    <t xml:space="preserve">Prioritāte "Eiropas nozīmes transporta tīklu attīstība un ilgtspējīga transporta veicināšana" /Priority "Development of Transport Network of European Significance and Promotion of Sustainable Transport" </t>
  </si>
  <si>
    <t>Pasākums "Liela mēroga transporta infrastruktūras uzlabojumi un attīstība" /Measure "Improvements and Development of Large Scale Transport Infrastructure"</t>
  </si>
  <si>
    <t xml:space="preserve">Aktivitāte "TEN-T autoceļu tīkla uzlabojumi" /Improvement of the TEN-T Road Network </t>
  </si>
  <si>
    <t>Aktivitāte "TEN-T dzelzceļa posmu rekonstrukcija un attīstība (Austrumu-Rietumu dzelzceļa koridora infrastruktūras attīstība un Rail Baltica)"/Reconstruction and Development of the TEN-T Railway Segments (Development of the East-west Rail Corridor Infrastructure and Rail Baltica)</t>
  </si>
  <si>
    <t>3.3.1.3.*</t>
  </si>
  <si>
    <t>Aktivitāte "Lielo ostu infrastruktūras attīstība „Jūras maģistrāļu” ietvaros"/ Development of Infrastructure of Large Ports within the Framework of the "Motorways of the Sea"</t>
  </si>
  <si>
    <t>Aktivitāte "Lidostu infrastruktūras attīstība"/Development of airport infrastructure</t>
  </si>
  <si>
    <t>Aktivitāte "Pilsētu infrastruktūras uzlabojumi sasaistei ar TEN-T"/City Infrastructure Improvements for Linkage with the TEN-T</t>
  </si>
  <si>
    <t>Aktvitiāte "Liepājas Karostas ilgtspējīgas attīstības priekšnoteikumu nodrošināšana"/(Provision of preconditions for Liepāja Karosta sustainable development)</t>
  </si>
  <si>
    <t>Pasākums "Ilgtspējīgas transporta sistēmas attīstība" / Measure "Development of Sustainable Transport System"</t>
  </si>
  <si>
    <t>Aktivitāte "Ilgtspējīga sabiedriskā transporta sistēmas attīstība" / Development of Sustainable Public Transport System</t>
  </si>
  <si>
    <t xml:space="preserve">    Prioritāte "Kvalitatīvas vides dzīvei un ekonomiskai aktivitātei nodrošināšana"/Priority "Quality Environment for Life and Economic Activity" </t>
  </si>
  <si>
    <t>      Pasākums "Vide" / Measure "Environment"</t>
  </si>
  <si>
    <t xml:space="preserve">Aktivitāte "Ūdenssaimniecības infrastruktūras attīstība apdzīvotās vietās ar iedzīvotāju skaitu līdz 2000" / Activity Development of Water Management Infrastructure in Populated Areas where Number of Residents is up to 2000 </t>
  </si>
  <si>
    <t>Aktivitāte "Bioloģiskās daudzveidības saglabāšanas ex situ infrastruktūras izveide" /Development of Infrastructure for Conservation of Biological Diversity</t>
  </si>
  <si>
    <t>Aktivitāte "Vēsturiski piesārņoto vietu sanācija"/Rehabilitation of Inherited Contaminated Sites</t>
  </si>
  <si>
    <t>Aktivitāte "Vides risku samazināšana"/Reduction of Environmental Risks</t>
  </si>
  <si>
    <t>Apakšaktivitāte "Plūdu risku samazināšana grūti prognozējamu vižņu-ledus parādību gadījumos"/Elimination of flood risk caused by hardly predictable phenomena of ice jams</t>
  </si>
  <si>
    <t>Apakšaktivitāte "Hidrotehnisko būvju rekonstrukcija plūdu draudu risku novēršanai un samazināšanai"/Reconstruction of hydro technical structures for the education and prevention of the flood risk</t>
  </si>
  <si>
    <t>Pasākums "Tūrisms"/Measure "Tourism"</t>
  </si>
  <si>
    <t>Aktivitāte "Nacionālās nozīmes tūrisma produkta attīstība"/Development of Tourism Product of National importance</t>
  </si>
  <si>
    <t>Apakšaktivitāte "Valsts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</si>
  <si>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3.4.2.1.2.*</t>
  </si>
  <si>
    <t>Apakšaktivitāte "Nacionālās nozīmes velotūrisma produkta attīstība"/Cycling Tourism Product of National Importance</t>
  </si>
  <si>
    <t>Apakšaktivitāte "Nacionālās nozīmes kultūras, aktīvā, veselības un rekreatīvā tūrisma produkta attīstība"/Development of Cultural, Active and Recreative Tourism Product of National Importance</t>
  </si>
  <si>
    <t>Aktivitāte "Tūrisma informācijas sistēmas attīstība"/Development of Tourism Information System</t>
  </si>
  <si>
    <t xml:space="preserve">Pasākums "Kultūrvides sociālekonomiskā ietekme"/Measure "Socio-economic Impact of Cultural Environment" </t>
  </si>
  <si>
    <t>Aktivitāte "Nacionālas un reģionālas nozīmes daudzfunkcionālu centru izveide"/Establishment of a Network of Multifunctional Culture Halls of National and Regional Importance</t>
  </si>
  <si>
    <t>Aktivitāte "Sociālekonomiski nozīmīgu kultūras mantojuma objektu atjaunošana"/Renovation of Objects of Important Cultural and Historical Heritage</t>
  </si>
  <si>
    <t>Aktivitāte "Atbalsts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</si>
  <si>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Pasākums "Mājokļa energoefektivitāte"  / Measure "Energy Efficiency of Housing" </t>
  </si>
  <si>
    <t xml:space="preserve">Aktivitāte "Daudzdzīvokļu māju siltumnoturības uzlabošanas pasākumi" /Improvement of Heat Insulation of Multi-apartment Residential Buildings </t>
  </si>
  <si>
    <r>
      <t>Aktivitāte "Sociālo dzīvojamo māju siltumnoturības uzlabošanas pasākumi"</t>
    </r>
    <r>
      <rPr>
        <vertAlign val="superscript"/>
        <sz val="13"/>
        <rFont val="Times New Roman"/>
        <family val="1"/>
        <charset val="186"/>
      </rPr>
      <t>4</t>
    </r>
    <r>
      <rPr>
        <sz val="13"/>
        <rFont val="Times New Roman"/>
        <family val="1"/>
        <charset val="204"/>
      </rPr>
      <t>/Improvement of Heat Insulation of Social Residential Buildings</t>
    </r>
  </si>
  <si>
    <t>Prioritāte "Vides infrastruktūras un videi draudzīgas enerģētikas veicināšana"  /Priority "Promotion of Environmental Infrastructure And Environmentally Friendly Energy"</t>
  </si>
  <si>
    <t>Pasākums "Vides aizsardzības infrastruktūra"/Measure "Infrastructure of Environmental Protection"</t>
  </si>
  <si>
    <t>3.5.1.1.*</t>
  </si>
  <si>
    <t xml:space="preserve">Aktivitāte "Ūdenssaimniecības infrastruktūras attīstība aglomerācijās ar cilvēku ekvivalentu lielāku par 2000"/Development of water management infrastructure in agglomerations with more than 2000 residents </t>
  </si>
  <si>
    <t>Aktivitāte "Reģionālu atkritumu apsaimniekošanas sistēmu attīstība"/Activity "Development of regional systems for waste management"</t>
  </si>
  <si>
    <t>Apakšaktivitāte "Normatīvo aktu prasībām neatbilstošo izgāztuvju rekultivācija"/Remediation of with legaslation non-coplying dumpsites</t>
  </si>
  <si>
    <t>Apakšaktivitāte "Reģionālu atkritumu apsaimniekošanas sistēmu attīstība"/Development of the regional waste managment systems</t>
  </si>
  <si>
    <t>3.5.1.2.3.*</t>
  </si>
  <si>
    <t>Apakšaktivitāte "Dalītās atkritumu apsaimniekošanas sistēmas attīstība"/Development of separate WASTE collection system</t>
  </si>
  <si>
    <t>Aktivitāte "Infrastruktūras izveide Natura 2000 teritorijās"/(Developing infrastructure in the areas of Natura 2000)</t>
  </si>
  <si>
    <t xml:space="preserve">Aktivitāte "Vides monitoringa un kontroles sistēmas attīstība"/(Development of a System of Environmental Monitoring and Control) </t>
  </si>
  <si>
    <t>Pasākums "Enerģētika"  /Measure "Energy"</t>
  </si>
  <si>
    <t>Aktivitāte "Pasākumi siltumapgādes sistēmu efektivitātes paaugstināšanai"  / Measures Regarding The Increase of Efficiency of Centralised Heat Supply Systems</t>
  </si>
  <si>
    <t>3.5.2.1.1.*</t>
  </si>
  <si>
    <t>Apakšaktivitāte "Pasākumi centralizētās siltumapgādes sistēmu efektivitātes paaugstināšanai"  / Measures Regarding The Increase of Efficiency of Centralised Heat Supply Systems</t>
  </si>
  <si>
    <t>Apakšaktivitāte "Pasākumi uzņēmumu siltumapgādes sistēmu efektivitātes paaugstināšanai" / Measures regarding the increase of efficiency of heat supply systems for entrepreneurs</t>
  </si>
  <si>
    <t xml:space="preserve">Aktivitāte "Atjaunojamo energoresursu izmantojošu koģenerācijas elektrostaciju attīstība"/Development of Cogeneration Power Plants Utilising Renewable Energy Sources </t>
  </si>
  <si>
    <t>Aktivitāte "Vēja elektrostaciju attīstība"/ Development of Wind Power Stations</t>
  </si>
  <si>
    <t>Aktivitāte "Daugavas hidroelektrostaciju aizsprostu pārgāžņu rekonstrukcija"/Development of Dam Spillways for Daugava Hydroelectric Power Plant</t>
  </si>
  <si>
    <t>Prioritāte "Policentriska attīstība"/Priority "Polycentric Development"</t>
  </si>
  <si>
    <t>Pasākums "Atbalsts ilgtspējīgai pilsētvides un pilsētreģionu attīstībai"/Measure "Support for Sustainable Urban Environment and Urban Area Development"</t>
  </si>
  <si>
    <t>Aktivitāte "Nacionālas un reģionālas nozīmes attīstības centru izaugsmes veicināšana līdzsvarotai valsts attīstībai"/ Growth of National and Regional Development Centres for Sustainable and Balanced Development of the Country</t>
  </si>
  <si>
    <t>Aktivitāte "Rīgas pilsētas ilgtspējīga attīstība"/Sustainable Development of Riga</t>
  </si>
  <si>
    <t>Pasākums "Komplekss atbalsts novadu pašvaldību izaugsmes sekmēšanai"/Complex support to promote growth of amalgamated municipalities</t>
  </si>
  <si>
    <t>Aktivitāte "Atbalsts novadu pašvaldību kompleksai attīstībai"/Support of amalgamated municipalities to promote complex growth</t>
  </si>
  <si>
    <t>3.7.***</t>
  </si>
  <si>
    <t>Prioritāte "Tehniskā palīdzība ERAF ieviešanai"/ Priority “Technical Assistance of ERDF”</t>
  </si>
  <si>
    <t>Pasākums "Atbalsts darbības programmas "Infrastruktūra un pakalpojumi" vadībai" / Measure 3.7.1 “Assistance for Management of the Operational Programme “Infrastructure and Services” ERDF Co-financed Measures”</t>
  </si>
  <si>
    <t xml:space="preserve">3.7.1.1. </t>
  </si>
  <si>
    <t>Aktivitāte "Programmas vadības un atbalsta funkciju nodrošināšana" / Technical assistance of ERDF</t>
  </si>
  <si>
    <t>3.8.***</t>
  </si>
  <si>
    <t>Prioritāte "Tehniskā palīdzība KF ieviešanai"/Priority “Technical Assistance of CF”</t>
  </si>
  <si>
    <t>Pasākums "Atbalsts Kohēzijas fonda vadībai" / Measure 3.8.1 “Assistance to Management of the CF Co-financed Measures”</t>
  </si>
  <si>
    <t xml:space="preserve">3.8.1.1. </t>
  </si>
  <si>
    <t>Aktivitāte "Programmas vadības un atbalsta funkciju nodrošināšana"/ Technical assistance of CF</t>
  </si>
  <si>
    <t>Rezerve 80.00.00. programmā****</t>
  </si>
  <si>
    <r>
      <rPr>
        <i/>
        <vertAlign val="superscript"/>
        <sz val="13"/>
        <rFont val="Times New Roman"/>
        <family val="1"/>
        <charset val="186"/>
      </rPr>
      <t xml:space="preserve">1 </t>
    </r>
    <r>
      <rPr>
        <i/>
        <sz val="13"/>
        <rFont val="Times New Roman"/>
        <family val="1"/>
        <charset val="204"/>
      </rPr>
      <t>1 EUR = 0,702804 LVL</t>
    </r>
  </si>
  <si>
    <t>MoES - Ministry of Education and Science</t>
  </si>
  <si>
    <t>MoE - Ministry of Economics</t>
  </si>
  <si>
    <t>MoW - Ministry of Wealfare</t>
  </si>
  <si>
    <t>MoH - Ministry of Health</t>
  </si>
  <si>
    <t xml:space="preserve">MoEPRD - Ministry of Environment Protection and Regional Development </t>
  </si>
  <si>
    <t>MoF - Ministry of Finances</t>
  </si>
  <si>
    <t>MoT - Ministry of Transport</t>
  </si>
  <si>
    <t>MoC - Ministry of Culture</t>
  </si>
  <si>
    <r>
      <rPr>
        <i/>
        <vertAlign val="superscript"/>
        <sz val="13"/>
        <rFont val="Times New Roman"/>
        <family val="1"/>
        <charset val="186"/>
      </rPr>
      <t xml:space="preserve">3 </t>
    </r>
    <r>
      <rPr>
        <i/>
        <sz val="13"/>
        <rFont val="Times New Roman"/>
        <family val="1"/>
        <charset val="186"/>
      </rPr>
      <t>Atbilstoši MK apstiprinātajiem protokollēmumiem par aktivitāšu finansējuma pārdalēm /  According to the amendments in the financial plans of activities approved by the Cabinet of Ministers decisions</t>
    </r>
  </si>
  <si>
    <r>
      <rPr>
        <i/>
        <vertAlign val="superscript"/>
        <sz val="13"/>
        <rFont val="Times New Roman"/>
        <family val="1"/>
        <charset val="186"/>
      </rPr>
      <t>4</t>
    </r>
    <r>
      <rPr>
        <i/>
        <sz val="13"/>
        <rFont val="Times New Roman"/>
        <family val="1"/>
        <charset val="186"/>
      </rPr>
      <t xml:space="preserve"> Norādīti starpposma, gala maksājumi, deklarējamie un nedeklarējamie avansi. / Payments to final beneficiaries here are interim, final payments and advance payments that can be declared and advance payments that are not allowed to declare to EC. </t>
    </r>
  </si>
  <si>
    <r>
      <rPr>
        <b/>
        <i/>
        <u/>
        <vertAlign val="superscript"/>
        <sz val="13"/>
        <rFont val="Times New Roman"/>
        <family val="1"/>
        <charset val="186"/>
      </rPr>
      <t xml:space="preserve">5 </t>
    </r>
    <r>
      <rPr>
        <b/>
        <i/>
        <u/>
        <sz val="13"/>
        <rFont val="Times New Roman"/>
        <family val="1"/>
        <charset val="186"/>
      </rPr>
      <t>Piebildes par darbības programmu "Cilvēkresursi un nodarbinātība" / Notes on Operational programme "Human resources and Employment"</t>
    </r>
  </si>
  <si>
    <t xml:space="preserve">*1.1.1.2., 1.5.1.3.2., 1.5.2.2.2. un 1.5.3.2. aktivitātēs/apakšaktivitātēs samazinājies gan apstiprināto projektu finansējums, gan arī noslēgto līgumu summa, jo veikti līgumu grozījumi jau pabeigtiem projektiem, kā rezultātā samazinājušās attiecināmās izmaksas (ietaupījums). Ņemot vērā, plānošanas perioda īstenošanas stadiju, kad tiek pabeigta lielākā daļa īstenoto projektu,  tiek prognozēts, ka arī turpmāk aktivitātēs apstiprināto projektu finansējums, gan arī noslēgto līgumu summas samazināsies./ In activities/subactivities, 1.1.1.2., 1.3.1.1.4., 1.3.1.3.2., 1.5.2.2.1. and 1.5.3.2.  total amount of eligible expenditures of approved projects and contracts signed decreased due decrease of eligible expenditure (amendments of the contracts)                                                                                                                                                                                                                                                                                                                                                                              </t>
  </si>
  <si>
    <t xml:space="preserve">*1.3.1.2. aktivitātē apstiprināto projektu/noslēgto līgumu samazinājums saistāms ar pārveides procesiem aktivitātē un aktivitātē palielināto finansējumu atbilstoši normatīvajiem aktiem/ In activity 1.3.1.2. decrease in the amount of approved/contracted projects is due to the modifications, i.e. increase in the EU funding availdable for the activity </t>
  </si>
  <si>
    <t xml:space="preserve">*1.3.1.3.1. un 1.5.1.3.1.apakšaktivitāšu izmaksātajā finansējumā tiek ieskaitīti arī atgūtie maksājumi. Reāli veikto maksājumu apjoms aktivitātē atbilst aktivitātes piešķīrumam./ The Payments to final beneficiaries within subactivities 1.3.1.3.1. and 1.5.1.3.1 .include also recovered payments. The volume of actual payments made correspond to allocation in activity. </t>
  </si>
  <si>
    <t>*1.2.1.1.3. Samazinājies noslēgto līgumu un apstiprināto projektu apjoms, jo veikti līguma grozījumi par pārdali uz 1.2.1.1.4. aktivitāti/ Fallen Approved projects and contracted amount, since made contracted modify about redistribution to 1.2.1.1.4. activity.</t>
  </si>
  <si>
    <t>*1.3.1.1.4. apakšaktivitātē izmaksātais finansējums pārsniedz pieejamo finansējumu saistībā ar diviem pārtrauktiem projektiem, kuros izmaksāts finansējums un ierosināta maksātnespēja. Atbilstoši šie izdevumi ir uzskatāmi par atgūstamiem/ In activity 1.3.1.1.4. the amount disbursed exeeds the amount of EU funding available for the activity due to projects discontinued the amounts for which are subject to recovery.</t>
  </si>
  <si>
    <r>
      <rPr>
        <b/>
        <i/>
        <u/>
        <vertAlign val="superscript"/>
        <sz val="13"/>
        <rFont val="Times New Roman"/>
        <family val="1"/>
        <charset val="186"/>
      </rPr>
      <t xml:space="preserve">7 </t>
    </r>
    <r>
      <rPr>
        <b/>
        <i/>
        <u/>
        <sz val="13"/>
        <rFont val="Times New Roman"/>
        <family val="1"/>
        <charset val="186"/>
      </rPr>
      <t>Piebildes par darbības programmu "Infrastruktūra un pakalpojumi" / Notes on Operational programme  "Infrastructure and Services"</t>
    </r>
  </si>
  <si>
    <t>3.1.5.1.1. apakšaktivitātē ir samazinājusies apstiprināto projektu un noslēgto līgumu summa, jo veikti līgumu grozījumi atbilstoši faktiskajai situācijai/In (sub)activity 3.1.5.1.1. the progress for approved projects and concluded contracts has decresed, because of the contract amendments carried out accordingly to the actual situation.</t>
  </si>
  <si>
    <t xml:space="preserve">* 3.2.1.4. aktivitātei  izmaksātais finasējuma apjoms finansējuma saņēmējam neiekļauj valūtas konvertācijas svārstības, kas radušās piemērojot ECB noteiktā valūtas kursa / in the activity 3.2.1.4. the amount of financing for the final beneficiary does not include </t>
  </si>
  <si>
    <t>*3.4.2.1.2. apakšaktivitātē samazinājusies noslēgto līgumu summa, jo projektos veikti līguma grozījumi, līdz ar ko samazinājušās attiecināmās izmaksas/Decrease in contracted amount due to decreased eligible expenditures of the projects considering amendments to the contract.</t>
  </si>
  <si>
    <t>* 3.5.1.1. aktivitātē apstiprināti jauni projekti /New projects approved/</t>
  </si>
  <si>
    <t>* 3.5.2.1.1. apakšaktivitātē samazinājusies apstiprināto projektu summa, jo precizētas projekta attiecināmās izmaksas/the amount of eligible expenditures of approved projects decreased due to adjustments to eligible expenditure</t>
  </si>
  <si>
    <t xml:space="preserve"> *3.5.1.2.3. a/aktivitātē   apstiprināti jauni projekti/New projects approved</t>
  </si>
  <si>
    <r>
      <rPr>
        <i/>
        <vertAlign val="superscript"/>
        <sz val="13"/>
        <rFont val="Times New Roman"/>
        <family val="1"/>
        <charset val="186"/>
      </rPr>
      <t>8</t>
    </r>
    <r>
      <rPr>
        <i/>
        <sz val="13"/>
        <rFont val="Times New Roman"/>
        <family val="1"/>
        <charset val="186"/>
      </rPr>
      <t xml:space="preserve"> 2.4.1.1.aktivitātē ES fonda finansējums atbilstoši EK apstiprinātajai DP un ES fonda finansējums atbilstoši konceptuāli apst. MK p/l atšķiras, jo finansējums ticis pārdalīts citām aktivitātēm, kas ir saskaņots nacionālā līmenī, taču joprojām tiek skaņots ar EK/ In the activity 2.4.1.1. EU funding according to EC approved OP differes from EU funding according to decisions of Cabinet of Ministers because financing has been reallocated to other activities and that is approved at national level but not yet agreed with the EC (within the process of approvement).</t>
    </r>
  </si>
  <si>
    <t>** Aktivitāšu ietvaros iespējamas deklarējamo maksājumu korekcijas, kas rodas, piemēram, neatbilstoši veiktu izdevumu gadījumā vai, ja konstatētas kādas būtiskas nepilnības kāda konkrēta projekta vai aktivtātes ietvaros. Korekcija tiek piemērota uz laiku / Within activities corrections of payments that can be declared to EC are possible taking into account essential problems in certain projects or activities. Corrections are not permament.</t>
  </si>
  <si>
    <t>*** Piešķirtais budžets 2007.-2011.gadam 1.6., 2.4., 3.7. un 3.8.prioritātēs sadalīts atbilstoši Tehniskās palīdzības aktivitātēm piešķirtā ES fondu finansējuma procentuālajai proporcijai / Available budget for priorities 1.6., 2.4., 3.7. and 3.8. is divided according to EU funding proportion for each priority</t>
  </si>
  <si>
    <t>**** Valsts budžeta līdzekļi tiek paredzēti maksājumiem gan par ES fondu daļu, gan par valsts līdzfinansējuma daļu, kā arī atsevišķu valsts budžeta iestāžu projektu neattiecināmo izmaksu segšanai. Turklāt valsts budžeta līdzekļus  plāno arī valsts budžeta iestāžu projekta priekšfinansēšanai, kas atspoguļojas maksājumos FS tikai tad, kad iestāde iesniegs maksājumu dokumentus un pārskatus par veiktajiem darbiem un izdevumiem. Līdz ar to budžetā plānotie līdzekļi ir lielāki nekā noteiktie mērķi FS.Finansējuma sadalījums pa aktivitātēm ir indikatīvs, jo ministrijas var veikt pārdales starp aktivitātēm.</t>
  </si>
  <si>
    <t>**** 80.00.00 esošā rezerve indikatīva</t>
  </si>
  <si>
    <t>Virssaistību līguma plānu neizpilde IV ceturksnī/neizpilde ar mīnus zīmi</t>
  </si>
  <si>
    <t>Virssaistību finansējums atbilstoši apst. MK p/l un KDG; Kopā 284,3 milj. latu</t>
  </si>
  <si>
    <t>Maksājumu mērķa neizpilde 2 mēnešus pēc kārtas (novembris, decembris); Kopā 28,6 milj. latu</t>
  </si>
  <si>
    <t>({Finansējuma avots} = ERAF:ERAF:ERAF:Eiropas Reģionālās attīstības fonds:1, ESF:ESF:ESF:Eiropas Sociālais fonds:2, KF:KF:KF:Kohēzijas fonds:5, VB:Attiecināmais valsts budžeta finansējums:VBF:Valsts budžeta finansējums:6) And ((Projekts ({Statusa izmaiņas datums}) &lt;= 31.12.2013) Or (Projekts ({Līguma datums}) &lt;= 31.12.2013))</t>
  </si>
  <si>
    <t>Kopējā virssaistību neizpildes ciparā skaitītas tikai neizpildes</t>
  </si>
  <si>
    <t>Noslēgti līgumi par virssaistību finansējumu (publiskā fin.daļa) uz 31.12.2013.; Kopā 206,7 milj. latu</t>
  </si>
  <si>
    <t>Komentāri</t>
  </si>
  <si>
    <t>Līgumi noslēgti par 7,8 mLVL virssaistību finansējumu. Skaidrojam, ka brīdī, kad tika sastādīts virssaistību plāns aktivitātes ERAF finanasējums bija mazāks un noslēgto līgumu summa pārsniedza pieejamo ERAF, t.i. virssaistības bija piesaistītas projektiem. Pēc plāna apstiprināšans aktivitātei tika pārdalīts finansējums no 2.2. prioritātes. Par pārdalīto finansējumu un brīvajām virssaistībām ir izsludināt 3.kārta (izsludināta par 40 mLVL, ir saņemti un tiek vērtēti projekti par 52 mLVL) un plānota 4.kārta (24 mLVL).</t>
  </si>
  <si>
    <t>VI ierosinājums samazināt virssaistību finansējumu par 6 milj. latu</t>
  </si>
  <si>
    <t xml:space="preserve">Virssaistību finansējums, par kuru nedrīkst slēgt līgumus /ar mīnus zīmi </t>
  </si>
  <si>
    <t>Aktivitātē noslēgti līgumi par visu pieejamo virssaistību finansējumu.</t>
  </si>
  <si>
    <t>Aktivitātē noslēgti līgumi par visu pieejamo virssaistību finansējumu, "pārpildi"rada neatbilstības un lauztie līgumi".</t>
  </si>
  <si>
    <t>Atlikumi</t>
  </si>
  <si>
    <t>Noslēgti līgumi par visu virssaistību finansējumu</t>
  </si>
  <si>
    <t>No 2014.gada 30.janvāra līdz 3.martam ir izsludināta atlase par kopējo pieejamo finansējumu  4 226 607 euro apmērā. Atlase ir izsludināta par ietaupījuma summu, kas radusies pēc iepirkumiem.</t>
  </si>
  <si>
    <t>878 238 LVL no virssaistībām ir piesaistīts projektam "Liepājas ostas padziļināšana", bet no 2013.gada 6.novembra līdz 28.decembrim notika projektu iesniegumu atlase, kur Kohēzijas fonda līdzfinansējums bija 1 668 515 LVL (aktivitātes atlikums). Lēmumu par projekta apstiprināšanu ir plānots pieņemt 2014.gada februārī. Atlases kārtā tika iesniegti 4 projekta iesniegumi.</t>
  </si>
  <si>
    <t xml:space="preserve">Mērķa maksājuu FS neizpilde 21% apmērā saistīta ar vienīgā projekta, kura īstenošana turpinās (VSAC "Rīga") aktivitāšu apturēšanu. Projekta īstenošanas termiņš pagarināts līdz 01.01.2015., aktivitāšu īstenošana uzsāksies 2014.gadā pēc projekta ietvaros izsludināto iepirkumu noslēgšanās. </t>
  </si>
  <si>
    <t>1.2.2.1.2. apakšaktivitātē  virssaistību līgumu plāna pārpilde par 622
893 Ls, kas radusies tāpēc, ka 2013.g. 4. ceturksnī ar līguma grozījumiem tika iekļauta tā  virssaistību daļa, kas sākotnēji tika paredzēta iestrādei līgumos  2014.g. 1.ceturksnī.</t>
  </si>
  <si>
    <t>Kopējā neizpilde</t>
  </si>
  <si>
    <t>2013.gada 12.decembrī stājās spēkā grozījumi 1.2.1.1.4.aktivitātes projektā, nodrošinot papildu virssaistību finansējuma 2 316 476 latu apmērā piesaisti projekta īstenošanai. Pēc grozījumu veikšanas projekta kopējās attiecināmās izmaksas ir 34 428 549 latu, tai skaitā virssaistību finansējums ir 6 106 976 latu.</t>
  </si>
  <si>
    <t>Informācija sniegta ievērojot 3.1.1.1.aktivitātes 2.kārtai konceptuāli pielemto virssaistību apmēru, nevis to, kas noteikts ar MK 22.01.2013. noteikumiem Nr.51 (3.1.1.1.aktiv. 2.kārtas īstenošanas noteikumi). 
Papildus informējam, ka līdz 31.12.2013. 3.1.1.1.aktivitātes 2.kārtas ietvaros IZM tika iesniegti kopumā 11 PI, no tiem: par 5 projektiem tika noslēgtas vienošanās par projektu īstenošanu un par 6 PI FS tika nosūtīti IZM lēmumi par PI apstiprināšanu ar nosacījumu.</t>
  </si>
  <si>
    <t>Atlikums no 3.4.3.3.aktivitātes 3.kārtas ir 104 833, taču apstiprināti projekti 2013.gada 5.decembrī  ir par 164 030 LVL finansējumu, kas ietver 104 833 lvl apmērā virssaistību atlikums un 59 197 lvl ERAF.</t>
  </si>
  <si>
    <t>Atbilstoši VIAA sniegtajai informācijai, 2013.gada 2.pusgadā 1.1.1.2.aktivitātes 2.kārtas ietvaros noslēgtas 44 vienošanās par projektu īstenošanu par kopējo attiecināmo finansējumu 14 948 062 latu apmērā, tai skaitā virssaistību finansējums - 9 085 608 latu. Kopumā 1.1.1.2.aktivitātes 2.kārtā apstiprināti 48 PI.</t>
  </si>
  <si>
    <t>HIDE_Virssaistību finansējums, par kuru nedrīkst slēgt līgumus /ar mīnus zīmi  - BEZ formulas</t>
  </si>
  <si>
    <t>HIDE_Brīvais virssaistību finansējums/ar mīnus zīmi - BEZ formulas</t>
  </si>
  <si>
    <t>Koriģēta noslēgto virssaistību līgumu summa, atbilstoši faktiskajai izpildei uz 31.12.2013.</t>
  </si>
  <si>
    <t xml:space="preserve">3.2.2.1.1.aktivitātes 3.kārtas projektu ietvaros līgumi noslēgti līdz 2013.gada 29.jūlijam par kopējo virssaistību summu 2 322 959 LVL.
3.2.2.1.1.aktivitātes 4.kārtas projekta Nr.3DP/3.2.2.1.1/13/IPIA/CFLA/011 "Iekšlietu ministrijas radiosakaru sistēmas modernizācija" ietvaros līgums noslēgts 2013.gada 8.jūlijā par kopējo virssaistību summu 5 527 470 LVL.
3.2.2.1.1.aktivitātes 5.kārtas projekta Nr.3DP/3.2.2.1.1/13/IPIA/CFLA/013 "Prokuratūras informācijas sistēmas projekts tiesu sistēmas attīstībai" ietvaros līgums noslēgts 2013.gada 27.decembrī par kopējo virssaistību summu 1 780 250 LVL.
Virssaistības 39 909,16 LVL apmērā ir rezervētas projekta Nr.3DP/3.2.2.1.1/09/IPIA/IUMEPLS/007 "Publiskās pārvaldes dokumentu pārvaldības sistēmu integrācijas vides izveide" ietvaros. VRAA pašlaik saskaņo līguma grozījumus.
Virssaistību līguma plānu neizpilde 2013.gadā ir 2,84 LVL.
</t>
  </si>
  <si>
    <t>7.projektu iesniegumu atlases kārtas ietvaros projekta Nr.3DP/3.4.1.1.0/13/APIA/CFLA/014 "Ūdenssaimniecības attīstība Olaines novada Grēnes ciemā" (lēmums Nr.643.1 par apstiprināšanu pieņemts 28.10.2013. un Atbildīgās iestādes atzinums Nr.673 par nosacījumu izpildi pieņemts 18.12.2013.) dokumentācija 27.12.2013. nosūtīta CFLA līguma noslēgšanai. 21.01.2014. noslēgts līgums un piesaistīts virssaistību finansējums 157 919 LVL apmērā.</t>
  </si>
  <si>
    <t>13=12-9</t>
  </si>
  <si>
    <t xml:space="preserve">Brīvais* virssaistību finansējums/ar mīnus zīmi </t>
  </si>
  <si>
    <t>*</t>
  </si>
  <si>
    <t>Atbilstoši MK apstiprinātajam virssaistību līgumu slēgšanas plānam tas ir nākamajos periodos kontraktējamais virssaistību finansējums</t>
  </si>
  <si>
    <t>VI ierosinājums samazinājumam</t>
  </si>
  <si>
    <t>Virssaistību daļa, par kuru  apstiprināti projektu iesniegumi (t.sk. noslēgti līgumi)</t>
  </si>
  <si>
    <t>Projekti, par kuriem  ir veikta iesniegumu izvērtēšana / uzsākta lēmumu par apstiprināšanu paziņošana FS (t.sk. noslēgti līgumi, apst. projekti)</t>
  </si>
  <si>
    <t>6=7+8</t>
  </si>
  <si>
    <t>8=10-9</t>
  </si>
  <si>
    <t>17=13-5+11-8</t>
  </si>
  <si>
    <r>
      <t>Atlikušais brīvais finansējums bez virssaistībām (publiskā fin.daļa) uz 31.12.2013., LVL</t>
    </r>
    <r>
      <rPr>
        <b/>
        <vertAlign val="superscript"/>
        <sz val="14"/>
        <rFont val="Times New Roman"/>
        <family val="1"/>
        <charset val="186"/>
      </rPr>
      <t>6</t>
    </r>
  </si>
  <si>
    <t>14=12-5</t>
  </si>
  <si>
    <t>Noslēgto virssaistību līgumu daļa, kas nav nosegta ar neatbilstībām un lauztajiem līgumiem uz 31.12.2013.</t>
  </si>
  <si>
    <t>Prioritātē nav virssaistību</t>
  </si>
  <si>
    <r>
      <rPr>
        <b/>
        <sz val="13"/>
        <rFont val="Times New Roman"/>
        <family val="1"/>
        <charset val="186"/>
      </rPr>
      <t xml:space="preserve">VI ierosinājums virssaistību samazinājumam, ņemot vērā, ka prioritātē virssaistību apjoms pārsniedz 50,8 milj, latu jeb ir 26,3% ES fondu piešķīruma un nav plānots tādā apjomā lauzt līgumus vai neatbilstības. </t>
    </r>
    <r>
      <rPr>
        <sz val="13"/>
        <rFont val="Times New Roman"/>
        <family val="1"/>
        <charset val="186"/>
      </rPr>
      <t>Koriģēta noslēgto virssaistību līgumu summa, atbilstoši faktiskajai izpildei uz 31.12.2013.</t>
    </r>
  </si>
  <si>
    <r>
      <rPr>
        <b/>
        <sz val="13"/>
        <rFont val="Times New Roman"/>
        <family val="1"/>
        <charset val="186"/>
      </rPr>
      <t>VI ierosinājusm virssaistību samazinājumam</t>
    </r>
    <r>
      <rPr>
        <sz val="13"/>
        <rFont val="Times New Roman"/>
        <family val="1"/>
        <charset val="186"/>
      </rPr>
      <t xml:space="preserve">.Virssaistību atlikumu, kas ir izveidojies pēc iepirkumu veikšanas, ir plānots novirzīt  3.3.1.4.aktivitātei " Lidostu infrastruktūras attīstība". Tālākā rīcība būs atkarīga no lemtā Koalīcijas darba grupā. </t>
    </r>
  </si>
  <si>
    <r>
      <rPr>
        <b/>
        <sz val="13"/>
        <rFont val="Times New Roman"/>
        <family val="1"/>
        <charset val="186"/>
      </rPr>
      <t>VI iersoinājums virssaistību samazinājumam, ņemot vērā, ka 3.6.prioritātē virssaistību apjoms pārsniedz 50,8 milj. latu jeb ir 26,3% ES fondu piešķīruma un nav plānots tādā apjomā lauzt līgumus vai neatbilstības</t>
    </r>
    <r>
      <rPr>
        <sz val="13"/>
        <rFont val="Times New Roman"/>
        <family val="1"/>
        <charset val="186"/>
      </rPr>
      <t>.Koriģēta noslēgto virssaistību līgumu summa, atbilstoši faktiskajai izpildei uz 31.12.2013. Virssaistību līgumu plāna izpilde nodrošināta 99,99% apmērā no plāna.</t>
    </r>
  </si>
  <si>
    <r>
      <rPr>
        <b/>
        <sz val="13"/>
        <rFont val="Times New Roman"/>
        <family val="1"/>
        <charset val="186"/>
      </rPr>
      <t>VI priekšlikums virssaistību samaiznāšanai</t>
    </r>
    <r>
      <rPr>
        <sz val="13"/>
        <rFont val="Times New Roman"/>
        <family val="1"/>
        <charset val="186"/>
      </rPr>
      <t xml:space="preserve">. 3.4.prioritātē ir 29,2 milj. latu virssaistības, kuras nav pilnībā plānots nodzēst, līdz ar to var samazināt kopējo apguvi, neradot riskus. </t>
    </r>
  </si>
  <si>
    <t>Virssaistību līgumu segšana ar neatbilstībām un lauztajiem līgumiem proiritāšu griezumā</t>
  </si>
  <si>
    <t>Prioritāte</t>
  </si>
  <si>
    <t>Kopā</t>
  </si>
  <si>
    <t>"Izglītība un prasmes"</t>
  </si>
  <si>
    <t>"Nodarbinātības veicināšana un veselība darbā"</t>
  </si>
  <si>
    <t>"Sociālās iekļaušanas veicināšana"</t>
  </si>
  <si>
    <t xml:space="preserve"> "Zinātne un inovācijas"</t>
  </si>
  <si>
    <t>"Uzņēmējdarbības veicināšana"</t>
  </si>
  <si>
    <t>"Infrastruktūra cilvēku kapitāla nostiprināšanai"</t>
  </si>
  <si>
    <t>"Teritoriju pieejamības un sasniedzamības veicināšana"</t>
  </si>
  <si>
    <t>"Eiropas nozīmes transporta tīklu attīstība un ilgtspējīga transporta veicināšana"</t>
  </si>
  <si>
    <t>"Kvalitatīvas vides dzīvei un ekonomiskai aktivitātei nodrošināšana"</t>
  </si>
  <si>
    <t>"Vides infrastruktūras un videi draudzīgas enerģētikas veicināšana"</t>
  </si>
  <si>
    <t>"Policentriska attīstība"</t>
  </si>
  <si>
    <t>"Augstākā izglītība un zinātne"</t>
  </si>
  <si>
    <t>Virssaistību finansējums atbilstoši apst. MK p/l, LVL, kopā 284,3 milj. LVL</t>
  </si>
  <si>
    <t>Noslēgti līgumi par virssaistību finansējumu (publiskā fin.daļa) uz 31.12.2013., kopā 189,8</t>
  </si>
  <si>
    <t>Ņemot vērā apguves izvērtējumu, virssaistības 2DP ietvaros tiks dzēstas pilnā apmērā</t>
  </si>
  <si>
    <t>FS valsts iestādes</t>
  </si>
  <si>
    <t>LHZB neatb.ir uz valsts budžetu</t>
  </si>
  <si>
    <t>IKT akt. valsts iestādes</t>
  </si>
  <si>
    <t>AI prognoze lauztajiem līgumiem un neatbilstībām (fakts + prognoze 2014-2015)</t>
  </si>
  <si>
    <t>VI reālistiskā prognoze lauztajiem līgumiem un neatbilstībām, kas ietekmēs virssaistību dzēšanu (fakts + prognoze 2014-2015)</t>
  </si>
  <si>
    <t>7=5-6</t>
  </si>
  <si>
    <t>"dzēstā" apjoma % īpatsvars no virssaistībām</t>
  </si>
  <si>
    <t>Virssaistību līgumu plāna neizpilde; Kopā 5,5 milj. latu</t>
  </si>
  <si>
    <t>Virssaistību un maksājumu mērķu plānu neizpildes uz 31.12.2013, LVL</t>
  </si>
  <si>
    <t>2.pielikums
Informatīvajam ziņojumam par Eiropas Savienības struktūrfondu un Kohēzijas fonda, Eiropas Ekonomikas zonas finanšu instrumenta, Norvēģijas finanšu instrumenta un Latvijas–Šveices sadarbības programmas apguvi līdz 2013.gada 31.decembrim</t>
  </si>
  <si>
    <t>Finanšu ministrs</t>
  </si>
  <si>
    <t>A.Vilks</t>
  </si>
  <si>
    <t>28.02.2014.</t>
  </si>
  <si>
    <t>67083964; Arturs.Sluburs@fm.gov.lv</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</si>
</sst>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 #,##0_-;_-* &quot;-&quot;_-;_-@_-"/>
    <numFmt numFmtId="43" formatCode="_-* #,##0.00_-;\-* #,##0.00_-;_-* &quot;-&quot;??_-;_-@_-"/>
    <numFmt numFmtId="164" formatCode="0.0"/>
    <numFmt numFmtId="165" formatCode="0.000"/>
    <numFmt numFmtId="166" formatCode="#,##0.00;\(#,##0.00\)"/>
    <numFmt numFmtId="167" formatCode="0.0%"/>
    <numFmt numFmtId="168" formatCode="#,##0;\(#,##0\)"/>
    <numFmt numFmtId="169" formatCode="_-&quot;£&quot;* #,##0.00_-;\-&quot;£&quot;* #,##0.00_-;_-&quot;£&quot;* &quot;-&quot;??_-;_-@_-"/>
    <numFmt numFmtId="170" formatCode="________@"/>
    <numFmt numFmtId="171" formatCode="____________@"/>
    <numFmt numFmtId="172" formatCode="________________@"/>
    <numFmt numFmtId="173" formatCode="____________________@"/>
    <numFmt numFmtId="174" formatCode="0.0000"/>
    <numFmt numFmtId="175" formatCode="#,##0.0"/>
    <numFmt numFmtId="176" formatCode="#,##0_ ;\-#,##0\ "/>
    <numFmt numFmtId="177" formatCode="[$-1010426]#,##0.00;\-#,##0.00"/>
    <numFmt numFmtId="178" formatCode="0.000000"/>
  </numFmts>
  <fonts count="233">
    <font>
      <sz val="11"/>
      <color theme="1"/>
      <name val="Calibri"/>
      <family val="2"/>
      <charset val="186"/>
      <scheme val="minor"/>
    </font>
    <font>
      <sz val="12"/>
      <color theme="1"/>
      <name val="Times New Roman"/>
      <family val="2"/>
      <charset val="186"/>
    </font>
    <font>
      <sz val="12"/>
      <color theme="1"/>
      <name val="Times New Roman"/>
      <family val="2"/>
      <charset val="186"/>
    </font>
    <font>
      <sz val="12"/>
      <color theme="1"/>
      <name val="Times New Roman"/>
      <family val="2"/>
      <charset val="186"/>
    </font>
    <font>
      <sz val="12"/>
      <color theme="1"/>
      <name val="Times New Roman"/>
      <family val="2"/>
      <charset val="186"/>
    </font>
    <font>
      <sz val="12"/>
      <color theme="1"/>
      <name val="Times New Roman"/>
      <family val="2"/>
      <charset val="186"/>
    </font>
    <font>
      <sz val="12"/>
      <color theme="1"/>
      <name val="Times New Roman"/>
      <family val="2"/>
      <charset val="186"/>
    </font>
    <font>
      <sz val="12"/>
      <color theme="1"/>
      <name val="Times New Roman"/>
      <family val="2"/>
      <charset val="186"/>
    </font>
    <font>
      <sz val="12"/>
      <color theme="1"/>
      <name val="Times New Roman"/>
      <family val="2"/>
      <charset val="186"/>
    </font>
    <font>
      <sz val="12"/>
      <color theme="1"/>
      <name val="Times New Roman"/>
      <family val="2"/>
      <charset val="186"/>
    </font>
    <font>
      <sz val="10"/>
      <name val="Arial"/>
      <family val="2"/>
      <charset val="186"/>
    </font>
    <font>
      <sz val="10"/>
      <name val="Arial"/>
      <family val="2"/>
      <charset val="186"/>
    </font>
    <font>
      <sz val="11"/>
      <color theme="1"/>
      <name val="Calibri"/>
      <family val="2"/>
      <charset val="186"/>
      <scheme val="minor"/>
    </font>
    <font>
      <sz val="13"/>
      <name val="Times New Roman"/>
      <family val="1"/>
      <charset val="204"/>
    </font>
    <font>
      <b/>
      <sz val="13"/>
      <name val="Times New Roman"/>
      <family val="1"/>
      <charset val="204"/>
    </font>
    <font>
      <b/>
      <sz val="13"/>
      <name val="Times New Roman"/>
      <family val="1"/>
      <charset val="186"/>
    </font>
    <font>
      <sz val="10"/>
      <color theme="1"/>
      <name val="Times New Roman"/>
      <family val="2"/>
      <charset val="186"/>
    </font>
    <font>
      <sz val="10"/>
      <name val="Arial"/>
      <family val="2"/>
      <charset val="186"/>
    </font>
    <font>
      <sz val="13"/>
      <name val="Times New Roman"/>
      <family val="1"/>
      <charset val="186"/>
    </font>
    <font>
      <sz val="11"/>
      <color indexed="8"/>
      <name val="Calibri"/>
      <family val="2"/>
      <charset val="186"/>
    </font>
    <font>
      <sz val="11"/>
      <color indexed="9"/>
      <name val="Calibri"/>
      <family val="2"/>
      <charset val="186"/>
    </font>
    <font>
      <i/>
      <sz val="11"/>
      <color indexed="23"/>
      <name val="Calibri"/>
      <family val="2"/>
      <charset val="186"/>
    </font>
    <font>
      <sz val="10"/>
      <color indexed="8"/>
      <name val="Times New Roman"/>
      <family val="1"/>
      <charset val="186"/>
    </font>
    <font>
      <sz val="10"/>
      <name val="Times New Roman"/>
      <family val="1"/>
      <charset val="186"/>
    </font>
    <font>
      <sz val="10"/>
      <name val="BaltHelvetica"/>
    </font>
    <font>
      <sz val="10"/>
      <name val="Helv"/>
    </font>
    <font>
      <sz val="11"/>
      <color indexed="8"/>
      <name val="Calibri"/>
      <family val="2"/>
    </font>
    <font>
      <sz val="11"/>
      <color indexed="9"/>
      <name val="Calibri"/>
      <family val="2"/>
    </font>
    <font>
      <b/>
      <sz val="11"/>
      <color indexed="8"/>
      <name val="Calibri"/>
      <family val="2"/>
    </font>
    <font>
      <sz val="10"/>
      <name val="BaltGaramond"/>
      <family val="2"/>
    </font>
    <font>
      <sz val="10"/>
      <color indexed="8"/>
      <name val="Arial"/>
      <family val="2"/>
      <charset val="186"/>
    </font>
    <font>
      <b/>
      <sz val="10"/>
      <color indexed="8"/>
      <name val="Arial"/>
      <family val="2"/>
    </font>
    <font>
      <b/>
      <sz val="10"/>
      <color indexed="39"/>
      <name val="Arial"/>
      <family val="2"/>
    </font>
    <font>
      <sz val="10"/>
      <color indexed="8"/>
      <name val="Arial"/>
      <family val="2"/>
    </font>
    <font>
      <b/>
      <sz val="12"/>
      <color indexed="8"/>
      <name val="Arial"/>
      <family val="2"/>
      <charset val="186"/>
    </font>
    <font>
      <sz val="10"/>
      <color indexed="39"/>
      <name val="Arial"/>
      <family val="2"/>
    </font>
    <font>
      <sz val="19"/>
      <color indexed="48"/>
      <name val="Arial"/>
      <family val="2"/>
      <charset val="186"/>
    </font>
    <font>
      <sz val="10"/>
      <color indexed="10"/>
      <name val="Arial"/>
      <family val="2"/>
    </font>
    <font>
      <b/>
      <sz val="18"/>
      <color indexed="62"/>
      <name val="Cambria"/>
      <family val="2"/>
    </font>
    <font>
      <sz val="10"/>
      <name val="BaltGaramond"/>
      <family val="2"/>
      <charset val="186"/>
    </font>
    <font>
      <b/>
      <sz val="10"/>
      <color indexed="8"/>
      <name val="Times New Roman"/>
      <family val="1"/>
      <charset val="186"/>
    </font>
    <font>
      <sz val="11"/>
      <color indexed="16"/>
      <name val="Calibri"/>
      <family val="2"/>
    </font>
    <font>
      <b/>
      <sz val="11"/>
      <color indexed="9"/>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53"/>
      <name val="Calibri"/>
      <family val="2"/>
    </font>
    <font>
      <sz val="11"/>
      <name val="BaltOptima"/>
      <charset val="186"/>
    </font>
    <font>
      <sz val="10"/>
      <color indexed="12"/>
      <name val="Arial"/>
      <family val="2"/>
      <charset val="186"/>
    </font>
    <font>
      <sz val="10"/>
      <color theme="1"/>
      <name val="Arial"/>
      <family val="2"/>
      <charset val="186"/>
    </font>
    <font>
      <sz val="13"/>
      <name val="Calibri"/>
      <family val="2"/>
      <charset val="186"/>
      <scheme val="minor"/>
    </font>
    <font>
      <b/>
      <i/>
      <sz val="13"/>
      <name val="Times New Roman"/>
      <family val="1"/>
      <charset val="204"/>
    </font>
    <font>
      <i/>
      <sz val="16"/>
      <name val="Times New Roman"/>
      <family val="1"/>
      <charset val="204"/>
    </font>
    <font>
      <b/>
      <sz val="16"/>
      <name val="Times New Roman"/>
      <family val="1"/>
      <charset val="204"/>
    </font>
    <font>
      <b/>
      <sz val="9"/>
      <color rgb="FF000080"/>
      <name val="Arial"/>
      <family val="2"/>
      <charset val="186"/>
    </font>
    <font>
      <sz val="9"/>
      <color rgb="FF000080"/>
      <name val="Arial"/>
      <family val="2"/>
      <charset val="186"/>
    </font>
    <font>
      <sz val="9"/>
      <name val="Arial"/>
      <family val="2"/>
      <charset val="186"/>
    </font>
    <font>
      <b/>
      <sz val="11"/>
      <color theme="1"/>
      <name val="Calibri"/>
      <family val="2"/>
      <charset val="186"/>
      <scheme val="minor"/>
    </font>
    <font>
      <b/>
      <vertAlign val="superscript"/>
      <sz val="14"/>
      <name val="Times New Roman"/>
      <family val="1"/>
      <charset val="186"/>
    </font>
    <font>
      <sz val="18"/>
      <name val="Tahoma"/>
      <family val="2"/>
      <charset val="186"/>
    </font>
    <font>
      <sz val="8"/>
      <name val="Tahoma"/>
      <family val="2"/>
      <charset val="186"/>
    </font>
    <font>
      <b/>
      <vertAlign val="superscript"/>
      <sz val="16"/>
      <name val="Times New Roman"/>
      <family val="1"/>
      <charset val="186"/>
    </font>
    <font>
      <b/>
      <sz val="13"/>
      <color rgb="FF0070C0"/>
      <name val="Times New Roman"/>
      <family val="1"/>
      <charset val="204"/>
    </font>
    <font>
      <b/>
      <i/>
      <sz val="13"/>
      <color rgb="FF0070C0"/>
      <name val="Times New Roman"/>
      <family val="1"/>
      <charset val="204"/>
    </font>
    <font>
      <sz val="13"/>
      <color rgb="FF0070C0"/>
      <name val="Times New Roman"/>
      <family val="1"/>
      <charset val="204"/>
    </font>
    <font>
      <sz val="9"/>
      <color indexed="81"/>
      <name val="Tahoma"/>
      <family val="2"/>
      <charset val="186"/>
    </font>
    <font>
      <b/>
      <sz val="9"/>
      <color indexed="81"/>
      <name val="Tahoma"/>
      <family val="2"/>
      <charset val="186"/>
    </font>
    <font>
      <b/>
      <sz val="11"/>
      <color indexed="81"/>
      <name val="Tahoma"/>
      <family val="2"/>
      <charset val="186"/>
    </font>
    <font>
      <i/>
      <sz val="16"/>
      <name val="Times New Roman"/>
      <family val="1"/>
      <charset val="186"/>
    </font>
    <font>
      <sz val="12"/>
      <name val="Times New Roman"/>
      <family val="1"/>
      <charset val="186"/>
    </font>
    <font>
      <b/>
      <sz val="15"/>
      <color theme="1"/>
      <name val="Times New Roman"/>
      <family val="1"/>
      <charset val="186"/>
    </font>
    <font>
      <b/>
      <sz val="10"/>
      <name val="Times New Roman"/>
      <family val="1"/>
      <charset val="186"/>
    </font>
    <font>
      <sz val="12"/>
      <color indexed="8"/>
      <name val="Times New Roman"/>
      <family val="2"/>
      <charset val="186"/>
    </font>
    <font>
      <sz val="12"/>
      <color indexed="9"/>
      <name val="Times New Roman"/>
      <family val="2"/>
      <charset val="186"/>
    </font>
    <font>
      <sz val="11"/>
      <color indexed="20"/>
      <name val="Calibri"/>
      <family val="2"/>
    </font>
    <font>
      <b/>
      <sz val="12"/>
      <color indexed="52"/>
      <name val="Times New Roman"/>
      <family val="2"/>
      <charset val="186"/>
    </font>
    <font>
      <b/>
      <sz val="11"/>
      <color indexed="52"/>
      <name val="Calibri"/>
      <family val="2"/>
    </font>
    <font>
      <i/>
      <sz val="10"/>
      <color indexed="10"/>
      <name val="BaltTimesRoman"/>
      <family val="2"/>
      <charset val="186"/>
    </font>
    <font>
      <sz val="10"/>
      <color indexed="8"/>
      <name val="BaltTimesRoman"/>
      <family val="2"/>
      <charset val="186"/>
    </font>
    <font>
      <i/>
      <sz val="11"/>
      <color indexed="23"/>
      <name val="Calibri"/>
      <family val="2"/>
    </font>
    <font>
      <b/>
      <sz val="12"/>
      <name val="Lat Times New Roman"/>
      <family val="1"/>
      <charset val="186"/>
    </font>
    <font>
      <b/>
      <sz val="15"/>
      <color indexed="56"/>
      <name val="Calibri"/>
      <family val="2"/>
    </font>
    <font>
      <b/>
      <sz val="13"/>
      <color indexed="56"/>
      <name val="Calibri"/>
      <family val="2"/>
    </font>
    <font>
      <b/>
      <sz val="11"/>
      <color indexed="56"/>
      <name val="Calibri"/>
      <family val="2"/>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indexed="62"/>
      <name val="Times New Roman"/>
      <family val="2"/>
      <charset val="186"/>
    </font>
    <font>
      <sz val="11"/>
      <color indexed="62"/>
      <name val="Calibri"/>
      <family val="2"/>
    </font>
    <font>
      <sz val="11"/>
      <color indexed="52"/>
      <name val="Calibri"/>
      <family val="2"/>
    </font>
    <font>
      <sz val="12"/>
      <color indexed="60"/>
      <name val="Times New Roman"/>
      <family val="2"/>
      <charset val="186"/>
    </font>
    <font>
      <sz val="11"/>
      <color indexed="60"/>
      <name val="Calibri"/>
      <family val="2"/>
    </font>
    <font>
      <sz val="10"/>
      <name val="Verdana"/>
      <family val="2"/>
      <charset val="186"/>
    </font>
    <font>
      <b/>
      <sz val="12"/>
      <color indexed="63"/>
      <name val="Times New Roman"/>
      <family val="2"/>
      <charset val="186"/>
    </font>
    <font>
      <b/>
      <sz val="11"/>
      <color indexed="63"/>
      <name val="Calibri"/>
      <family val="2"/>
    </font>
    <font>
      <sz val="10"/>
      <color indexed="10"/>
      <name val="BaltTimesRoman"/>
      <family val="2"/>
      <charset val="186"/>
    </font>
    <font>
      <b/>
      <sz val="8"/>
      <name val="Arial"/>
      <family val="2"/>
    </font>
    <font>
      <sz val="8"/>
      <name val="Arial"/>
      <family val="2"/>
    </font>
    <font>
      <b/>
      <sz val="14"/>
      <name val="Times New Roman"/>
      <family val="1"/>
      <charset val="186"/>
    </font>
    <font>
      <b/>
      <sz val="10"/>
      <name val="BaltTimesRoman"/>
      <family val="2"/>
      <charset val="186"/>
    </font>
    <font>
      <b/>
      <sz val="18"/>
      <color indexed="56"/>
      <name val="Cambria"/>
      <family val="2"/>
      <charset val="186"/>
    </font>
    <font>
      <b/>
      <sz val="18"/>
      <color indexed="56"/>
      <name val="Cambria"/>
      <family val="2"/>
    </font>
    <font>
      <b/>
      <sz val="12"/>
      <color indexed="8"/>
      <name val="Times New Roman"/>
      <family val="2"/>
      <charset val="186"/>
    </font>
    <font>
      <sz val="12"/>
      <color indexed="10"/>
      <name val="Times New Roman"/>
      <family val="2"/>
      <charset val="186"/>
    </font>
    <font>
      <sz val="11"/>
      <color indexed="10"/>
      <name val="Calibri"/>
      <family val="2"/>
    </font>
    <font>
      <sz val="10"/>
      <color theme="1"/>
      <name val="Calibri"/>
      <family val="2"/>
      <charset val="186"/>
      <scheme val="minor"/>
    </font>
    <font>
      <b/>
      <sz val="10"/>
      <name val="Times New Roman"/>
      <family val="1"/>
      <charset val="204"/>
    </font>
    <font>
      <sz val="10"/>
      <color theme="1"/>
      <name val="Times New Roman"/>
      <family val="1"/>
      <charset val="186"/>
    </font>
    <font>
      <sz val="11"/>
      <color indexed="81"/>
      <name val="Tahoma"/>
      <family val="2"/>
      <charset val="186"/>
    </font>
    <font>
      <sz val="12"/>
      <color indexed="81"/>
      <name val="Tahoma"/>
      <family val="2"/>
      <charset val="186"/>
    </font>
    <font>
      <b/>
      <sz val="18"/>
      <color theme="3"/>
      <name val="Cambria"/>
      <family val="2"/>
      <charset val="186"/>
      <scheme val="major"/>
    </font>
    <font>
      <b/>
      <sz val="15"/>
      <color theme="3"/>
      <name val="Times New Roman"/>
      <family val="2"/>
      <charset val="186"/>
    </font>
    <font>
      <b/>
      <sz val="13"/>
      <color theme="3"/>
      <name val="Times New Roman"/>
      <family val="2"/>
      <charset val="186"/>
    </font>
    <font>
      <b/>
      <sz val="11"/>
      <color theme="3"/>
      <name val="Times New Roman"/>
      <family val="2"/>
      <charset val="186"/>
    </font>
    <font>
      <sz val="12"/>
      <color rgb="FF006100"/>
      <name val="Times New Roman"/>
      <family val="2"/>
      <charset val="186"/>
    </font>
    <font>
      <sz val="12"/>
      <color rgb="FF9C0006"/>
      <name val="Times New Roman"/>
      <family val="2"/>
      <charset val="186"/>
    </font>
    <font>
      <sz val="12"/>
      <color rgb="FF9C6500"/>
      <name val="Times New Roman"/>
      <family val="2"/>
      <charset val="186"/>
    </font>
    <font>
      <sz val="12"/>
      <color rgb="FF3F3F76"/>
      <name val="Times New Roman"/>
      <family val="2"/>
      <charset val="186"/>
    </font>
    <font>
      <b/>
      <sz val="12"/>
      <color rgb="FF3F3F3F"/>
      <name val="Times New Roman"/>
      <family val="2"/>
      <charset val="186"/>
    </font>
    <font>
      <b/>
      <sz val="12"/>
      <color rgb="FFFA7D00"/>
      <name val="Times New Roman"/>
      <family val="2"/>
      <charset val="186"/>
    </font>
    <font>
      <sz val="12"/>
      <color rgb="FFFA7D00"/>
      <name val="Times New Roman"/>
      <family val="2"/>
      <charset val="186"/>
    </font>
    <font>
      <b/>
      <sz val="12"/>
      <color theme="0"/>
      <name val="Times New Roman"/>
      <family val="2"/>
      <charset val="186"/>
    </font>
    <font>
      <sz val="12"/>
      <color rgb="FFFF0000"/>
      <name val="Times New Roman"/>
      <family val="2"/>
      <charset val="186"/>
    </font>
    <font>
      <i/>
      <sz val="12"/>
      <color rgb="FF7F7F7F"/>
      <name val="Times New Roman"/>
      <family val="2"/>
      <charset val="186"/>
    </font>
    <font>
      <b/>
      <sz val="12"/>
      <color theme="1"/>
      <name val="Times New Roman"/>
      <family val="2"/>
      <charset val="186"/>
    </font>
    <font>
      <sz val="12"/>
      <color theme="0"/>
      <name val="Times New Roman"/>
      <family val="2"/>
      <charset val="186"/>
    </font>
    <font>
      <b/>
      <sz val="9"/>
      <name val="Arial"/>
      <family val="2"/>
      <charset val="186"/>
    </font>
    <font>
      <b/>
      <sz val="12"/>
      <color indexed="81"/>
      <name val="Tahoma"/>
      <family val="2"/>
      <charset val="186"/>
    </font>
    <font>
      <sz val="11"/>
      <color rgb="FFFF0000"/>
      <name val="Calibri"/>
      <family val="2"/>
      <charset val="186"/>
      <scheme val="minor"/>
    </font>
    <font>
      <b/>
      <sz val="13"/>
      <color rgb="FFFF0000"/>
      <name val="Times New Roman"/>
      <family val="1"/>
      <charset val="204"/>
    </font>
    <font>
      <b/>
      <u/>
      <sz val="13"/>
      <name val="Times New Roman"/>
      <family val="1"/>
      <charset val="186"/>
    </font>
    <font>
      <sz val="11"/>
      <name val="Calibri"/>
      <family val="2"/>
      <charset val="186"/>
      <scheme val="minor"/>
    </font>
    <font>
      <sz val="11"/>
      <color theme="4"/>
      <name val="Calibri"/>
      <family val="2"/>
      <charset val="186"/>
      <scheme val="minor"/>
    </font>
    <font>
      <b/>
      <sz val="13"/>
      <color theme="4"/>
      <name val="Times New Roman"/>
      <family val="1"/>
      <charset val="204"/>
    </font>
    <font>
      <b/>
      <sz val="13"/>
      <color theme="4"/>
      <name val="Times New Roman"/>
      <family val="1"/>
      <charset val="186"/>
    </font>
    <font>
      <b/>
      <i/>
      <sz val="13"/>
      <color theme="4"/>
      <name val="Times New Roman"/>
      <family val="1"/>
      <charset val="204"/>
    </font>
    <font>
      <sz val="13"/>
      <color theme="4"/>
      <name val="Times New Roman"/>
      <family val="1"/>
      <charset val="204"/>
    </font>
    <font>
      <sz val="13"/>
      <color theme="4"/>
      <name val="Times New Roman"/>
      <family val="1"/>
      <charset val="186"/>
    </font>
    <font>
      <b/>
      <vertAlign val="superscript"/>
      <sz val="14"/>
      <color theme="4"/>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1"/>
      <color theme="1"/>
      <name val="Times New Roman"/>
      <family val="1"/>
      <charset val="186"/>
    </font>
    <font>
      <b/>
      <u/>
      <sz val="11"/>
      <name val="Times New Roman"/>
      <family val="1"/>
      <charset val="186"/>
    </font>
    <font>
      <sz val="10"/>
      <color theme="0" tint="-0.34998626667073579"/>
      <name val="Times New Roman"/>
      <family val="1"/>
      <charset val="186"/>
    </font>
    <font>
      <sz val="10"/>
      <color rgb="FFFF0000"/>
      <name val="Times New Roman"/>
      <family val="1"/>
      <charset val="186"/>
    </font>
    <font>
      <sz val="12"/>
      <color rgb="FFFF0000"/>
      <name val="Times New Roman"/>
      <family val="1"/>
      <charset val="186"/>
    </font>
    <font>
      <sz val="12"/>
      <name val="Times New Roman"/>
      <family val="2"/>
      <charset val="186"/>
    </font>
    <font>
      <sz val="16"/>
      <name val="Times New Roman"/>
      <family val="1"/>
      <charset val="186"/>
    </font>
    <font>
      <sz val="16"/>
      <name val="Arial"/>
      <family val="2"/>
    </font>
    <font>
      <sz val="16"/>
      <color rgb="FFFF0000"/>
      <name val="Arial"/>
      <family val="2"/>
    </font>
    <font>
      <sz val="16"/>
      <color rgb="FFFF0000"/>
      <name val="Times New Roman"/>
      <family val="1"/>
      <charset val="186"/>
    </font>
    <font>
      <sz val="16"/>
      <name val="Times New Roman"/>
      <family val="2"/>
      <charset val="186"/>
    </font>
    <font>
      <sz val="16"/>
      <color rgb="FFFF0000"/>
      <name val="Times New Roman"/>
      <family val="2"/>
      <charset val="186"/>
    </font>
    <font>
      <u/>
      <sz val="12"/>
      <color theme="10"/>
      <name val="Times New Roman"/>
      <family val="2"/>
      <charset val="186"/>
    </font>
    <font>
      <b/>
      <sz val="16"/>
      <color rgb="FFFF0000"/>
      <name val="Times New Roman"/>
      <family val="1"/>
      <charset val="204"/>
    </font>
    <font>
      <i/>
      <sz val="16"/>
      <color rgb="FFFF0000"/>
      <name val="Times New Roman"/>
      <family val="1"/>
      <charset val="204"/>
    </font>
    <font>
      <b/>
      <i/>
      <sz val="13"/>
      <name val="Times New Roman"/>
      <family val="1"/>
      <charset val="186"/>
    </font>
    <font>
      <b/>
      <sz val="16"/>
      <color theme="4"/>
      <name val="Times New Roman"/>
      <family val="1"/>
      <charset val="204"/>
    </font>
    <font>
      <i/>
      <sz val="16"/>
      <color theme="4"/>
      <name val="Times New Roman"/>
      <family val="1"/>
      <charset val="204"/>
    </font>
    <font>
      <b/>
      <sz val="13"/>
      <color rgb="FFFF0000"/>
      <name val="Times New Roman"/>
      <family val="1"/>
      <charset val="186"/>
    </font>
    <font>
      <sz val="13"/>
      <color rgb="FFFF0000"/>
      <name val="Times New Roman"/>
      <family val="1"/>
      <charset val="186"/>
    </font>
    <font>
      <sz val="13"/>
      <color rgb="FFFF0000"/>
      <name val="Times New Roman"/>
      <family val="1"/>
      <charset val="204"/>
    </font>
    <font>
      <b/>
      <i/>
      <sz val="13"/>
      <color rgb="FFFF0000"/>
      <name val="Times New Roman"/>
      <family val="1"/>
      <charset val="204"/>
    </font>
    <font>
      <b/>
      <sz val="16"/>
      <color indexed="8"/>
      <name val="Times New Roman"/>
      <family val="1"/>
      <charset val="204"/>
    </font>
    <font>
      <sz val="13"/>
      <color theme="1"/>
      <name val="Calibri"/>
      <family val="2"/>
      <charset val="186"/>
      <scheme val="minor"/>
    </font>
    <font>
      <sz val="13"/>
      <color theme="0" tint="-0.499984740745262"/>
      <name val="Calibri"/>
      <family val="2"/>
      <charset val="186"/>
      <scheme val="minor"/>
    </font>
    <font>
      <b/>
      <i/>
      <sz val="16"/>
      <color indexed="8"/>
      <name val="Times New Roman"/>
      <family val="1"/>
      <charset val="186"/>
    </font>
    <font>
      <b/>
      <sz val="13"/>
      <color theme="0" tint="-0.499984740745262"/>
      <name val="Times New Roman"/>
      <family val="1"/>
      <charset val="204"/>
    </font>
    <font>
      <b/>
      <sz val="13"/>
      <color theme="0" tint="-0.499984740745262"/>
      <name val="Times New Roman"/>
      <family val="1"/>
      <charset val="186"/>
    </font>
    <font>
      <b/>
      <sz val="13"/>
      <color theme="1"/>
      <name val="Calibri"/>
      <family val="2"/>
      <charset val="186"/>
      <scheme val="minor"/>
    </font>
    <font>
      <sz val="13"/>
      <color rgb="FFFF0000"/>
      <name val="Calibri"/>
      <family val="2"/>
      <charset val="186"/>
      <scheme val="minor"/>
    </font>
    <font>
      <b/>
      <sz val="13"/>
      <color theme="1" tint="0.499984740745262"/>
      <name val="Times New Roman"/>
      <family val="1"/>
      <charset val="186"/>
    </font>
    <font>
      <b/>
      <sz val="13"/>
      <color rgb="FFFF0000"/>
      <name val="Calibri"/>
      <family val="2"/>
      <charset val="186"/>
      <scheme val="minor"/>
    </font>
    <font>
      <b/>
      <sz val="13"/>
      <name val="Calibri"/>
      <family val="2"/>
      <charset val="186"/>
      <scheme val="minor"/>
    </font>
    <font>
      <sz val="13"/>
      <color theme="1"/>
      <name val="Times New Roman"/>
      <family val="1"/>
      <charset val="186"/>
    </font>
    <font>
      <b/>
      <i/>
      <sz val="13"/>
      <color theme="0" tint="-0.499984740745262"/>
      <name val="Times New Roman"/>
      <family val="1"/>
      <charset val="204"/>
    </font>
    <font>
      <sz val="14"/>
      <name val="Times New Roman"/>
      <family val="1"/>
      <charset val="186"/>
    </font>
    <font>
      <sz val="14"/>
      <color theme="1"/>
      <name val="Calibri"/>
      <family val="2"/>
      <charset val="186"/>
      <scheme val="minor"/>
    </font>
    <font>
      <sz val="14"/>
      <name val="Calibri"/>
      <family val="2"/>
      <charset val="186"/>
      <scheme val="minor"/>
    </font>
    <font>
      <sz val="12"/>
      <color rgb="FF000000"/>
      <name val="Times New Roman"/>
      <family val="1"/>
      <charset val="186"/>
    </font>
    <font>
      <b/>
      <sz val="8"/>
      <color indexed="81"/>
      <name val="Tahoma"/>
      <family val="2"/>
      <charset val="186"/>
    </font>
    <font>
      <sz val="8"/>
      <color indexed="81"/>
      <name val="Tahoma"/>
      <family val="2"/>
      <charset val="186"/>
    </font>
    <font>
      <sz val="14"/>
      <color rgb="FFFF0000"/>
      <name val="Calibri"/>
      <family val="2"/>
      <charset val="186"/>
      <scheme val="minor"/>
    </font>
    <font>
      <b/>
      <sz val="11"/>
      <color rgb="FFFF0000"/>
      <name val="Times New Roman"/>
      <family val="1"/>
      <charset val="186"/>
    </font>
    <font>
      <sz val="11"/>
      <color rgb="FFFF0000"/>
      <name val="Times New Roman"/>
      <family val="1"/>
      <charset val="186"/>
    </font>
    <font>
      <i/>
      <sz val="16"/>
      <color theme="1" tint="0.499984740745262"/>
      <name val="Times New Roman"/>
      <family val="1"/>
      <charset val="204"/>
    </font>
    <font>
      <sz val="18"/>
      <name val="Times New Roman"/>
      <family val="1"/>
      <charset val="186"/>
    </font>
    <font>
      <sz val="13"/>
      <color theme="1" tint="0.499984740745262"/>
      <name val="Calibri"/>
      <family val="2"/>
      <charset val="186"/>
      <scheme val="minor"/>
    </font>
    <font>
      <b/>
      <sz val="13"/>
      <color theme="1" tint="0.499984740745262"/>
      <name val="Times New Roman"/>
      <family val="1"/>
      <charset val="204"/>
    </font>
    <font>
      <b/>
      <sz val="14"/>
      <color theme="1" tint="0.499984740745262"/>
      <name val="Times New Roman"/>
      <family val="1"/>
      <charset val="186"/>
    </font>
    <font>
      <sz val="13"/>
      <color theme="1" tint="0.499984740745262"/>
      <name val="Times New Roman"/>
      <family val="1"/>
      <charset val="204"/>
    </font>
    <font>
      <sz val="13"/>
      <color theme="0" tint="-0.499984740745262"/>
      <name val="Times New Roman"/>
      <family val="1"/>
      <charset val="204"/>
    </font>
    <font>
      <sz val="13"/>
      <color rgb="FF000000"/>
      <name val="Times New Roman"/>
      <family val="1"/>
      <charset val="186"/>
    </font>
    <font>
      <i/>
      <sz val="13"/>
      <color rgb="FF4B6DCD"/>
      <name val="Calibri"/>
      <family val="2"/>
      <charset val="186"/>
      <scheme val="minor"/>
    </font>
    <font>
      <sz val="14"/>
      <color theme="1" tint="0.499984740745262"/>
      <name val="Calibri"/>
      <family val="2"/>
      <charset val="186"/>
      <scheme val="minor"/>
    </font>
    <font>
      <sz val="24"/>
      <name val="Times New Roman"/>
      <family val="1"/>
      <charset val="186"/>
    </font>
    <font>
      <sz val="15.5"/>
      <color theme="1"/>
      <name val="Times New Roman"/>
      <family val="1"/>
      <charset val="186"/>
    </font>
    <font>
      <sz val="14"/>
      <color theme="1"/>
      <name val="Times New Roman"/>
      <family val="1"/>
      <charset val="186"/>
    </font>
    <font>
      <i/>
      <sz val="14"/>
      <color rgb="FF7030A0"/>
      <name val="Times New Roman"/>
      <family val="1"/>
      <charset val="186"/>
    </font>
    <font>
      <b/>
      <vertAlign val="superscript"/>
      <sz val="13"/>
      <name val="Times New Roman"/>
      <family val="1"/>
      <charset val="204"/>
    </font>
    <font>
      <b/>
      <vertAlign val="superscript"/>
      <sz val="13"/>
      <name val="Times New Roman"/>
      <family val="1"/>
      <charset val="186"/>
    </font>
    <font>
      <b/>
      <i/>
      <vertAlign val="superscript"/>
      <sz val="13"/>
      <name val="Times New Roman"/>
      <family val="1"/>
      <charset val="186"/>
    </font>
    <font>
      <i/>
      <sz val="13"/>
      <name val="Times New Roman"/>
      <family val="1"/>
      <charset val="204"/>
    </font>
    <font>
      <b/>
      <i/>
      <vertAlign val="superscript"/>
      <sz val="13"/>
      <name val="Times New Roman"/>
      <family val="1"/>
      <charset val="204"/>
    </font>
    <font>
      <sz val="12"/>
      <name val="Arial"/>
      <family val="2"/>
      <charset val="186"/>
    </font>
    <font>
      <vertAlign val="superscript"/>
      <sz val="13"/>
      <name val="Times New Roman"/>
      <family val="1"/>
      <charset val="186"/>
    </font>
    <font>
      <i/>
      <sz val="13"/>
      <name val="Times New Roman"/>
      <family val="1"/>
      <charset val="186"/>
    </font>
    <font>
      <i/>
      <vertAlign val="superscript"/>
      <sz val="13"/>
      <name val="Times New Roman"/>
      <family val="1"/>
      <charset val="186"/>
    </font>
    <font>
      <b/>
      <i/>
      <u/>
      <vertAlign val="superscript"/>
      <sz val="13"/>
      <name val="Times New Roman"/>
      <family val="1"/>
      <charset val="186"/>
    </font>
    <font>
      <b/>
      <i/>
      <u/>
      <sz val="13"/>
      <name val="Times New Roman"/>
      <family val="1"/>
      <charset val="186"/>
    </font>
    <font>
      <i/>
      <sz val="11"/>
      <name val="Calibri"/>
      <family val="2"/>
      <charset val="186"/>
      <scheme val="minor"/>
    </font>
    <font>
      <i/>
      <sz val="13"/>
      <name val="Calibri"/>
      <family val="2"/>
      <charset val="186"/>
      <scheme val="minor"/>
    </font>
    <font>
      <b/>
      <sz val="14"/>
      <color indexed="81"/>
      <name val="Tahoma"/>
      <family val="2"/>
      <charset val="186"/>
    </font>
    <font>
      <b/>
      <sz val="10"/>
      <color indexed="81"/>
      <name val="Tahoma"/>
      <family val="2"/>
      <charset val="186"/>
    </font>
    <font>
      <sz val="10"/>
      <color indexed="81"/>
      <name val="Tahoma"/>
      <family val="2"/>
      <charset val="186"/>
    </font>
    <font>
      <b/>
      <sz val="15"/>
      <color theme="4"/>
      <name val="Times New Roman"/>
      <family val="1"/>
      <charset val="186"/>
    </font>
    <font>
      <b/>
      <sz val="18"/>
      <color indexed="8"/>
      <name val="Times New Roman"/>
      <family val="1"/>
      <charset val="204"/>
    </font>
    <font>
      <b/>
      <sz val="14"/>
      <name val="Times New Roman"/>
      <family val="1"/>
      <charset val="204"/>
    </font>
    <font>
      <b/>
      <sz val="16"/>
      <color theme="0" tint="-0.499984740745262"/>
      <name val="Times New Roman"/>
      <family val="1"/>
      <charset val="204"/>
    </font>
    <font>
      <sz val="13"/>
      <color theme="0" tint="-0.499984740745262"/>
      <name val="Times New Roman"/>
      <family val="1"/>
      <charset val="186"/>
    </font>
    <font>
      <sz val="14"/>
      <color theme="0" tint="-0.499984740745262"/>
      <name val="Calibri"/>
      <family val="2"/>
      <charset val="186"/>
      <scheme val="minor"/>
    </font>
    <font>
      <b/>
      <u/>
      <sz val="13"/>
      <color theme="0" tint="-0.499984740745262"/>
      <name val="Times New Roman"/>
      <family val="1"/>
      <charset val="186"/>
    </font>
    <font>
      <sz val="11"/>
      <color rgb="FF00B050"/>
      <name val="Calibri"/>
      <family val="2"/>
      <charset val="186"/>
      <scheme val="minor"/>
    </font>
    <font>
      <sz val="13"/>
      <color rgb="FF00B050"/>
      <name val="Calibri"/>
      <family val="2"/>
      <charset val="186"/>
      <scheme val="minor"/>
    </font>
    <font>
      <b/>
      <u/>
      <sz val="11"/>
      <color theme="1"/>
      <name val="Calibri"/>
      <family val="2"/>
      <charset val="186"/>
      <scheme val="minor"/>
    </font>
    <font>
      <b/>
      <sz val="15"/>
      <name val="Times New Roman"/>
      <family val="1"/>
      <charset val="204"/>
    </font>
    <font>
      <b/>
      <sz val="20"/>
      <color indexed="8"/>
      <name val="Times New Roman"/>
      <family val="1"/>
      <charset val="204"/>
    </font>
    <font>
      <sz val="24"/>
      <color theme="1"/>
      <name val="Times New Roman"/>
      <family val="1"/>
      <charset val="186"/>
    </font>
    <font>
      <sz val="24"/>
      <color rgb="FF000000"/>
      <name val="Times New Roman"/>
      <family val="1"/>
      <charset val="186"/>
    </font>
  </fonts>
  <fills count="113">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0"/>
        <bgColor indexed="64"/>
      </patternFill>
    </fill>
    <fill>
      <patternFill patternType="solid">
        <fgColor indexed="40"/>
      </patternFill>
    </fill>
    <fill>
      <patternFill patternType="solid">
        <fgColor indexed="45"/>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7"/>
      </patternFill>
    </fill>
    <fill>
      <patternFill patternType="solid">
        <fgColor indexed="54"/>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43"/>
      </patternFill>
    </fill>
    <fill>
      <patternFill patternType="solid">
        <fgColor indexed="11"/>
        <bgColor indexed="64"/>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15"/>
      </patternFill>
    </fill>
    <fill>
      <patternFill patternType="solid">
        <fgColor rgb="FFC0C0C0"/>
        <bgColor indexed="64"/>
      </patternFill>
    </fill>
    <fill>
      <patternFill patternType="solid">
        <fgColor rgb="FFFFFF00"/>
        <bgColor indexed="64"/>
      </patternFill>
    </fill>
    <fill>
      <patternFill patternType="solid">
        <fgColor theme="2" tint="-9.9948118533890809E-2"/>
        <bgColor indexed="64"/>
      </patternFill>
    </fill>
    <fill>
      <patternFill patternType="solid">
        <fgColor theme="6" tint="0.39997558519241921"/>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49"/>
      </patternFill>
    </fill>
    <fill>
      <patternFill patternType="solid">
        <fgColor indexed="62"/>
      </patternFill>
    </fill>
    <fill>
      <patternFill patternType="solid">
        <fgColor indexed="42"/>
        <bgColor indexed="64"/>
      </patternFill>
    </fill>
    <fill>
      <patternFill patternType="solid">
        <fgColor indexed="55"/>
      </patternFill>
    </fill>
    <fill>
      <patternFill patternType="solid">
        <fgColor indexed="20"/>
      </patternFill>
    </fill>
    <fill>
      <patternFill patternType="solid">
        <fgColor indexed="1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rgb="FFFCD5B5"/>
        <bgColor indexed="64"/>
      </patternFill>
    </fill>
    <fill>
      <patternFill patternType="solid">
        <fgColor theme="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lightUp"/>
    </fill>
    <fill>
      <patternFill patternType="lightUp">
        <bgColor auto="1"/>
      </patternFill>
    </fill>
    <fill>
      <patternFill patternType="solid">
        <fgColor theme="6" tint="0.59996337778862885"/>
        <bgColor indexed="64"/>
      </patternFill>
    </fill>
    <fill>
      <patternFill patternType="solid">
        <fgColor theme="8" tint="0.59999389629810485"/>
        <bgColor indexed="64"/>
      </patternFill>
    </fill>
    <fill>
      <patternFill patternType="lightUp">
        <bgColor theme="8" tint="0.59996337778862885"/>
      </patternFill>
    </fill>
    <fill>
      <patternFill patternType="lightUp">
        <bgColor theme="8" tint="0.39994506668294322"/>
      </patternFill>
    </fill>
  </fills>
  <borders count="102">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rgb="FFC0C0C0"/>
      </left>
      <right style="thin">
        <color rgb="FFC0C0C0"/>
      </right>
      <top style="thin">
        <color rgb="FFC0C0C0"/>
      </top>
      <bottom/>
      <diagonal/>
    </border>
    <border>
      <left style="thin">
        <color rgb="FFC0C0C0"/>
      </left>
      <right style="thin">
        <color rgb="FFC0C0C0"/>
      </right>
      <top/>
      <bottom style="thin">
        <color rgb="FFC0C0C0"/>
      </bottom>
      <diagonal/>
    </border>
    <border>
      <left style="thin">
        <color rgb="FFFFFFFF"/>
      </left>
      <right style="thin">
        <color rgb="FFC0C0C0"/>
      </right>
      <top/>
      <bottom style="thin">
        <color rgb="FFFFFFFF"/>
      </bottom>
      <diagonal/>
    </border>
    <border>
      <left style="thin">
        <color rgb="FFC0C0C0"/>
      </left>
      <right/>
      <top/>
      <bottom style="thin">
        <color rgb="FFC0C0C0"/>
      </bottom>
      <diagonal/>
    </border>
    <border>
      <left style="thin">
        <color rgb="FFC0C0C0"/>
      </left>
      <right/>
      <top style="thin">
        <color rgb="FFC0C0C0"/>
      </top>
      <bottom style="thin">
        <color rgb="FFC0C0C0"/>
      </bottom>
      <diagonal/>
    </border>
    <border>
      <left style="thin">
        <color rgb="FFFFFFFF"/>
      </left>
      <right/>
      <top style="thin">
        <color rgb="FFC0C0C0"/>
      </top>
      <bottom style="thin">
        <color rgb="FFFFFFFF"/>
      </bottom>
      <diagonal/>
    </border>
    <border>
      <left/>
      <right/>
      <top style="thin">
        <color rgb="FFC0C0C0"/>
      </top>
      <bottom style="thin">
        <color rgb="FFFFFFFF"/>
      </bottom>
      <diagonal/>
    </border>
    <border>
      <left/>
      <right style="thin">
        <color rgb="FFC0C0C0"/>
      </right>
      <top style="thin">
        <color rgb="FFC0C0C0"/>
      </top>
      <bottom style="thin">
        <color rgb="FFFFFFFF"/>
      </bottom>
      <diagonal/>
    </border>
    <border>
      <left style="thin">
        <color rgb="FFFFFFFF"/>
      </left>
      <right/>
      <top/>
      <bottom style="thin">
        <color rgb="FFFFFFFF"/>
      </bottom>
      <diagonal/>
    </border>
    <border>
      <left/>
      <right style="thin">
        <color rgb="FFC0C0C0"/>
      </right>
      <top style="thin">
        <color rgb="FFC0C0C0"/>
      </top>
      <bottom style="thin">
        <color rgb="FFC0C0C0"/>
      </bottom>
      <diagonal/>
    </border>
    <border>
      <left style="thin">
        <color rgb="FFC0C0C0"/>
      </left>
      <right/>
      <top style="thin">
        <color rgb="FFC0C0C0"/>
      </top>
      <bottom/>
      <diagonal/>
    </border>
    <border>
      <left style="thin">
        <color rgb="FFC0C0C0"/>
      </left>
      <right/>
      <top/>
      <bottom/>
      <diagonal/>
    </border>
    <border>
      <left/>
      <right style="thin">
        <color rgb="FFC0C0C0"/>
      </right>
      <top/>
      <bottom style="thin">
        <color rgb="FFC0C0C0"/>
      </bottom>
      <diagonal/>
    </border>
    <border>
      <left style="thin">
        <color indexed="64"/>
      </left>
      <right style="thin">
        <color indexed="64"/>
      </right>
      <top/>
      <bottom/>
      <diagonal/>
    </border>
    <border>
      <left/>
      <right style="thin">
        <color rgb="FFC0C0C0"/>
      </right>
      <top style="thin">
        <color rgb="FFC0C0C0"/>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54"/>
      </left>
      <right/>
      <top style="thin">
        <color indexed="54"/>
      </top>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C0C0C0"/>
      </top>
      <bottom style="thin">
        <color rgb="FFC0C0C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uble">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double">
        <color indexed="64"/>
      </top>
      <bottom/>
      <diagonal/>
    </border>
    <border>
      <left style="thin">
        <color indexed="64"/>
      </left>
      <right style="thick">
        <color indexed="64"/>
      </right>
      <top style="double">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top/>
      <bottom style="thin">
        <color rgb="FFC0C0C0"/>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right/>
      <top/>
      <bottom style="medium">
        <color indexed="64"/>
      </bottom>
      <diagonal/>
    </border>
    <border>
      <left/>
      <right/>
      <top style="double">
        <color indexed="64"/>
      </top>
      <bottom/>
      <diagonal/>
    </border>
    <border>
      <left style="double">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s>
  <cellStyleXfs count="652">
    <xf numFmtId="0" fontId="0" fillId="0" borderId="0"/>
    <xf numFmtId="0" fontId="11" fillId="0" borderId="0"/>
    <xf numFmtId="0" fontId="11" fillId="0" borderId="0"/>
    <xf numFmtId="0" fontId="11" fillId="0" borderId="0"/>
    <xf numFmtId="0" fontId="11" fillId="0" borderId="0"/>
    <xf numFmtId="0" fontId="12" fillId="0" borderId="0"/>
    <xf numFmtId="0" fontId="12" fillId="0" borderId="0"/>
    <xf numFmtId="0" fontId="10" fillId="0" borderId="0"/>
    <xf numFmtId="0" fontId="11" fillId="0" borderId="0"/>
    <xf numFmtId="0" fontId="11" fillId="0" borderId="0"/>
    <xf numFmtId="0" fontId="11" fillId="0" borderId="0"/>
    <xf numFmtId="0" fontId="11" fillId="0" borderId="0"/>
    <xf numFmtId="0" fontId="12" fillId="0" borderId="0"/>
    <xf numFmtId="4" fontId="16" fillId="5" borderId="2"/>
    <xf numFmtId="9" fontId="12" fillId="0" borderId="0" applyFont="0" applyFill="0" applyBorder="0" applyAlignment="0" applyProtection="0"/>
    <xf numFmtId="0" fontId="17" fillId="0" borderId="0"/>
    <xf numFmtId="0" fontId="9" fillId="0" borderId="0"/>
    <xf numFmtId="9" fontId="9" fillId="0" borderId="0" applyFont="0" applyFill="0" applyBorder="0" applyAlignment="0" applyProtection="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2" fillId="0" borderId="0" applyFont="0" applyFill="0" applyBorder="0" applyAlignment="0" applyProtection="0"/>
    <xf numFmtId="0" fontId="10" fillId="0" borderId="0"/>
    <xf numFmtId="0" fontId="19" fillId="7"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8" borderId="0" applyNumberFormat="0" applyBorder="0" applyAlignment="0" applyProtection="0"/>
    <xf numFmtId="0" fontId="19" fillId="14" borderId="0" applyNumberFormat="0" applyBorder="0" applyAlignment="0" applyProtection="0"/>
    <xf numFmtId="0" fontId="19" fillId="9"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4"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4" borderId="0" applyNumberFormat="0" applyBorder="0" applyAlignment="0" applyProtection="0"/>
    <xf numFmtId="0" fontId="20" fillId="13"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7" fillId="22"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7" fillId="29" borderId="0" applyNumberFormat="0" applyBorder="0" applyAlignment="0" applyProtection="0"/>
    <xf numFmtId="0" fontId="26" fillId="28" borderId="0" applyNumberFormat="0" applyBorder="0" applyAlignment="0" applyProtection="0"/>
    <xf numFmtId="0" fontId="26" fillId="29" borderId="0" applyNumberFormat="0" applyBorder="0" applyAlignment="0" applyProtection="0"/>
    <xf numFmtId="0" fontId="27" fillId="2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7" fillId="21" borderId="0" applyNumberFormat="0" applyBorder="0" applyAlignment="0" applyProtection="0"/>
    <xf numFmtId="0" fontId="26" fillId="31" borderId="0" applyNumberFormat="0" applyBorder="0" applyAlignment="0" applyProtection="0"/>
    <xf numFmtId="0" fontId="26" fillId="25" borderId="0" applyNumberFormat="0" applyBorder="0" applyAlignment="0" applyProtection="0"/>
    <xf numFmtId="0" fontId="27" fillId="32" borderId="0" applyNumberFormat="0" applyBorder="0" applyAlignment="0" applyProtection="0"/>
    <xf numFmtId="0" fontId="41" fillId="25" borderId="0" applyNumberFormat="0" applyBorder="0" applyAlignment="0" applyProtection="0"/>
    <xf numFmtId="0" fontId="42" fillId="26" borderId="7" applyNumberFormat="0" applyAlignment="0" applyProtection="0"/>
    <xf numFmtId="43" fontId="10" fillId="0" borderId="0" applyFont="0" applyFill="0" applyBorder="0" applyAlignment="0" applyProtection="0"/>
    <xf numFmtId="43" fontId="9" fillId="0" borderId="0" applyFont="0" applyFill="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164" fontId="29" fillId="0" borderId="0" applyBorder="0" applyAlignment="0" applyProtection="0"/>
    <xf numFmtId="0" fontId="21" fillId="0" borderId="0" applyNumberFormat="0" applyFill="0" applyBorder="0" applyAlignment="0" applyProtection="0"/>
    <xf numFmtId="0" fontId="43" fillId="36" borderId="0" applyNumberFormat="0" applyBorder="0" applyAlignment="0" applyProtection="0"/>
    <xf numFmtId="0" fontId="44" fillId="0" borderId="8" applyNumberFormat="0" applyFill="0" applyAlignment="0" applyProtection="0"/>
    <xf numFmtId="0" fontId="45" fillId="0" borderId="9" applyNumberFormat="0" applyFill="0" applyAlignment="0" applyProtection="0"/>
    <xf numFmtId="0" fontId="46" fillId="0" borderId="10" applyNumberFormat="0" applyFill="0" applyAlignment="0" applyProtection="0"/>
    <xf numFmtId="0" fontId="46" fillId="0" borderId="0" applyNumberFormat="0" applyFill="0" applyBorder="0" applyAlignment="0" applyProtection="0"/>
    <xf numFmtId="165" fontId="29" fillId="37" borderId="0"/>
    <xf numFmtId="0" fontId="47" fillId="0" borderId="11" applyNumberFormat="0" applyFill="0" applyAlignment="0" applyProtection="0"/>
    <xf numFmtId="0" fontId="12"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9" fillId="0" borderId="0"/>
    <xf numFmtId="0" fontId="10" fillId="0" borderId="0"/>
    <xf numFmtId="0" fontId="12" fillId="0" borderId="0"/>
    <xf numFmtId="0" fontId="12" fillId="0" borderId="0"/>
    <xf numFmtId="0" fontId="12" fillId="0" borderId="0"/>
    <xf numFmtId="0" fontId="10" fillId="0" borderId="0"/>
    <xf numFmtId="0" fontId="10" fillId="0" borderId="0"/>
    <xf numFmtId="0" fontId="10" fillId="0" borderId="0"/>
    <xf numFmtId="0" fontId="12" fillId="0" borderId="0"/>
    <xf numFmtId="0" fontId="49" fillId="0" borderId="0"/>
    <xf numFmtId="0" fontId="12" fillId="0" borderId="0"/>
    <xf numFmtId="0" fontId="30" fillId="0" borderId="0"/>
    <xf numFmtId="0" fontId="10" fillId="0" borderId="0"/>
    <xf numFmtId="0" fontId="12" fillId="0" borderId="0"/>
    <xf numFmtId="0" fontId="48" fillId="0" borderId="0"/>
    <xf numFmtId="0" fontId="10" fillId="31" borderId="12" applyNumberFormat="0" applyFont="0" applyAlignment="0" applyProtection="0"/>
    <xf numFmtId="0" fontId="10" fillId="0" borderId="0"/>
    <xf numFmtId="0" fontId="10" fillId="0" borderId="0"/>
    <xf numFmtId="0" fontId="50" fillId="0" borderId="0"/>
    <xf numFmtId="0" fontId="10" fillId="0" borderId="0"/>
    <xf numFmtId="0" fontId="10" fillId="0" borderId="0"/>
    <xf numFmtId="0" fontId="10" fillId="0" borderId="0"/>
    <xf numFmtId="0" fontId="12" fillId="0" borderId="0"/>
    <xf numFmtId="0" fontId="10" fillId="0" borderId="0"/>
    <xf numFmtId="0" fontId="10" fillId="0" borderId="0"/>
    <xf numFmtId="0" fontId="24" fillId="0" borderId="0"/>
    <xf numFmtId="9" fontId="10" fillId="0" borderId="0" applyFont="0" applyFill="0" applyBorder="0" applyAlignment="0" applyProtection="0"/>
    <xf numFmtId="9" fontId="9" fillId="0" borderId="0" applyFont="0" applyFill="0" applyBorder="0" applyAlignment="0" applyProtection="0"/>
    <xf numFmtId="164" fontId="29" fillId="39" borderId="0" applyBorder="0" applyProtection="0"/>
    <xf numFmtId="4" fontId="31" fillId="38" borderId="13" applyNumberFormat="0" applyProtection="0">
      <alignment vertical="center"/>
    </xf>
    <xf numFmtId="4" fontId="40" fillId="0" borderId="0" applyNumberFormat="0" applyProtection="0"/>
    <xf numFmtId="4" fontId="32" fillId="38" borderId="13" applyNumberFormat="0" applyProtection="0">
      <alignment vertical="center"/>
    </xf>
    <xf numFmtId="4" fontId="32" fillId="40" borderId="13" applyNumberFormat="0" applyProtection="0">
      <alignment vertical="center"/>
    </xf>
    <xf numFmtId="4" fontId="31" fillId="38" borderId="13" applyNumberFormat="0" applyProtection="0">
      <alignment horizontal="left" vertical="center" indent="1"/>
    </xf>
    <xf numFmtId="4" fontId="40" fillId="0" borderId="0" applyNumberFormat="0" applyProtection="0">
      <alignment horizontal="left" wrapText="1" indent="1" shrinkToFit="1"/>
    </xf>
    <xf numFmtId="0" fontId="31" fillId="38" borderId="13" applyNumberFormat="0" applyProtection="0">
      <alignment horizontal="left" vertical="top" indent="1"/>
    </xf>
    <xf numFmtId="0" fontId="31" fillId="40" borderId="13" applyNumberFormat="0" applyProtection="0">
      <alignment horizontal="left" vertical="top" indent="1"/>
    </xf>
    <xf numFmtId="4" fontId="31" fillId="0" borderId="0" applyNumberFormat="0" applyProtection="0">
      <alignment horizontal="left" vertical="center" indent="1"/>
    </xf>
    <xf numFmtId="4" fontId="22" fillId="0" borderId="2" applyNumberFormat="0" applyProtection="0">
      <alignment horizontal="left" vertical="center" indent="1"/>
    </xf>
    <xf numFmtId="4" fontId="33" fillId="8" borderId="13" applyNumberFormat="0" applyProtection="0">
      <alignment horizontal="right" vertical="center"/>
    </xf>
    <xf numFmtId="4" fontId="33" fillId="9" borderId="13" applyNumberFormat="0" applyProtection="0">
      <alignment horizontal="right" vertical="center"/>
    </xf>
    <xf numFmtId="4" fontId="33" fillId="23" borderId="13" applyNumberFormat="0" applyProtection="0">
      <alignment horizontal="right" vertical="center"/>
    </xf>
    <xf numFmtId="4" fontId="33" fillId="18" borderId="13" applyNumberFormat="0" applyProtection="0">
      <alignment horizontal="right" vertical="center"/>
    </xf>
    <xf numFmtId="4" fontId="33" fillId="19" borderId="13" applyNumberFormat="0" applyProtection="0">
      <alignment horizontal="right" vertical="center"/>
    </xf>
    <xf numFmtId="4" fontId="33" fillId="30" borderId="13" applyNumberFormat="0" applyProtection="0">
      <alignment horizontal="right" vertical="center"/>
    </xf>
    <xf numFmtId="4" fontId="33" fillId="16" borderId="13" applyNumberFormat="0" applyProtection="0">
      <alignment horizontal="right" vertical="center"/>
    </xf>
    <xf numFmtId="4" fontId="33" fillId="41" borderId="13" applyNumberFormat="0" applyProtection="0">
      <alignment horizontal="right" vertical="center"/>
    </xf>
    <xf numFmtId="4" fontId="33" fillId="15" borderId="13" applyNumberFormat="0" applyProtection="0">
      <alignment horizontal="right" vertical="center"/>
    </xf>
    <xf numFmtId="4" fontId="31" fillId="42" borderId="14" applyNumberFormat="0" applyProtection="0">
      <alignment horizontal="left" vertical="center" indent="1"/>
    </xf>
    <xf numFmtId="4" fontId="33" fillId="43" borderId="0" applyNumberFormat="0" applyProtection="0">
      <alignment horizontal="left" vertical="center" indent="1"/>
    </xf>
    <xf numFmtId="4" fontId="34" fillId="14" borderId="0" applyNumberFormat="0" applyProtection="0">
      <alignment horizontal="left" vertical="center" indent="1"/>
    </xf>
    <xf numFmtId="4" fontId="34" fillId="44" borderId="0" applyNumberFormat="0" applyProtection="0">
      <alignment horizontal="left" vertical="center" indent="1"/>
    </xf>
    <xf numFmtId="4" fontId="33" fillId="7" borderId="13" applyNumberFormat="0" applyProtection="0">
      <alignment horizontal="right" vertical="center"/>
    </xf>
    <xf numFmtId="4" fontId="30" fillId="43" borderId="0" applyNumberFormat="0" applyProtection="0">
      <alignment horizontal="left" vertical="center" indent="1"/>
    </xf>
    <xf numFmtId="4" fontId="30" fillId="7" borderId="0" applyNumberFormat="0" applyProtection="0">
      <alignment horizontal="left" vertical="center" indent="1"/>
    </xf>
    <xf numFmtId="4" fontId="30" fillId="45" borderId="0" applyNumberFormat="0" applyProtection="0">
      <alignment horizontal="left" vertical="center" indent="1"/>
    </xf>
    <xf numFmtId="0" fontId="23" fillId="0" borderId="0" applyNumberFormat="0" applyProtection="0">
      <alignment horizontal="left" vertical="center" wrapText="1" indent="1" shrinkToFit="1"/>
    </xf>
    <xf numFmtId="0" fontId="23" fillId="0" borderId="0" applyNumberFormat="0" applyProtection="0">
      <alignment horizontal="left" wrapText="1" indent="1" shrinkToFit="1"/>
    </xf>
    <xf numFmtId="0" fontId="10" fillId="14" borderId="13" applyNumberFormat="0" applyProtection="0">
      <alignment horizontal="left" vertical="top" indent="1"/>
    </xf>
    <xf numFmtId="0" fontId="10" fillId="44" borderId="13" applyNumberFormat="0" applyProtection="0">
      <alignment horizontal="left" vertical="top" indent="1"/>
    </xf>
    <xf numFmtId="0" fontId="23" fillId="0" borderId="0" applyNumberFormat="0" applyProtection="0">
      <alignment horizontal="left" vertical="center" wrapText="1" indent="1" shrinkToFit="1"/>
    </xf>
    <xf numFmtId="0" fontId="23" fillId="0" borderId="0" applyNumberFormat="0" applyProtection="0">
      <alignment horizontal="left" wrapText="1" indent="1" shrinkToFit="1"/>
    </xf>
    <xf numFmtId="0" fontId="10" fillId="7" borderId="13" applyNumberFormat="0" applyProtection="0">
      <alignment horizontal="left" vertical="top" indent="1"/>
    </xf>
    <xf numFmtId="0" fontId="10" fillId="45" borderId="13" applyNumberFormat="0" applyProtection="0">
      <alignment horizontal="left" vertical="top" indent="1"/>
    </xf>
    <xf numFmtId="0" fontId="23" fillId="0" borderId="0" applyNumberFormat="0" applyProtection="0">
      <alignment horizontal="left" vertical="center" wrapText="1" indent="1" shrinkToFit="1"/>
    </xf>
    <xf numFmtId="0" fontId="23" fillId="0" borderId="0" applyNumberFormat="0" applyProtection="0">
      <alignment horizontal="left" wrapText="1" indent="1" shrinkToFit="1"/>
    </xf>
    <xf numFmtId="0" fontId="10" fillId="12" borderId="13" applyNumberFormat="0" applyProtection="0">
      <alignment horizontal="left" vertical="top" indent="1"/>
    </xf>
    <xf numFmtId="0" fontId="10" fillId="46" borderId="13" applyNumberFormat="0" applyProtection="0">
      <alignment horizontal="left" vertical="top" indent="1"/>
    </xf>
    <xf numFmtId="0" fontId="10" fillId="0" borderId="2" applyNumberFormat="0" applyProtection="0">
      <alignment horizontal="left" vertical="center" indent="1"/>
    </xf>
    <xf numFmtId="0" fontId="23" fillId="0" borderId="0" applyNumberFormat="0" applyProtection="0">
      <alignment horizontal="left" wrapText="1" indent="1" shrinkToFit="1"/>
    </xf>
    <xf numFmtId="0" fontId="10" fillId="43" borderId="13" applyNumberFormat="0" applyProtection="0">
      <alignment horizontal="left" vertical="top" indent="1"/>
    </xf>
    <xf numFmtId="0" fontId="10" fillId="47" borderId="13" applyNumberFormat="0" applyProtection="0">
      <alignment horizontal="left" vertical="top" indent="1"/>
    </xf>
    <xf numFmtId="0" fontId="10" fillId="11" borderId="2" applyNumberFormat="0">
      <protection locked="0"/>
    </xf>
    <xf numFmtId="0" fontId="10" fillId="48" borderId="2" applyNumberFormat="0">
      <protection locked="0"/>
    </xf>
    <xf numFmtId="4" fontId="33" fillId="10" borderId="13" applyNumberFormat="0" applyProtection="0">
      <alignment vertical="center"/>
    </xf>
    <xf numFmtId="4" fontId="33" fillId="37" borderId="13" applyNumberFormat="0" applyProtection="0">
      <alignment vertical="center"/>
    </xf>
    <xf numFmtId="4" fontId="35" fillId="10" borderId="13" applyNumberFormat="0" applyProtection="0">
      <alignment vertical="center"/>
    </xf>
    <xf numFmtId="4" fontId="35" fillId="37" borderId="13" applyNumberFormat="0" applyProtection="0">
      <alignment vertical="center"/>
    </xf>
    <xf numFmtId="4" fontId="33" fillId="10" borderId="13" applyNumberFormat="0" applyProtection="0">
      <alignment horizontal="left" vertical="center" indent="1"/>
    </xf>
    <xf numFmtId="4" fontId="33" fillId="0" borderId="2" applyNumberFormat="0" applyProtection="0">
      <alignment horizontal="left" vertical="center" indent="1"/>
    </xf>
    <xf numFmtId="0" fontId="33" fillId="10" borderId="13" applyNumberFormat="0" applyProtection="0">
      <alignment horizontal="left" vertical="top" indent="1"/>
    </xf>
    <xf numFmtId="0" fontId="33" fillId="37" borderId="13" applyNumberFormat="0" applyProtection="0">
      <alignment horizontal="left" vertical="top" indent="1"/>
    </xf>
    <xf numFmtId="4" fontId="33" fillId="0" borderId="2" applyNumberFormat="0" applyProtection="0">
      <alignment horizontal="right" vertical="center"/>
    </xf>
    <xf numFmtId="4" fontId="22" fillId="0" borderId="0" applyNumberFormat="0" applyProtection="0">
      <alignment horizontal="right"/>
    </xf>
    <xf numFmtId="4" fontId="22" fillId="0" borderId="0" applyNumberFormat="0" applyProtection="0">
      <alignment horizontal="right"/>
    </xf>
    <xf numFmtId="4" fontId="35" fillId="43" borderId="13" applyNumberFormat="0" applyProtection="0">
      <alignment horizontal="right" vertical="center"/>
    </xf>
    <xf numFmtId="4" fontId="33" fillId="0" borderId="2" applyNumberFormat="0" applyProtection="0">
      <alignment horizontal="left" wrapText="1" indent="1"/>
    </xf>
    <xf numFmtId="4" fontId="22" fillId="0" borderId="2" applyNumberFormat="0" applyProtection="0">
      <alignment horizontal="left" wrapText="1" indent="1"/>
    </xf>
    <xf numFmtId="4" fontId="22" fillId="0" borderId="0" applyNumberFormat="0" applyProtection="0">
      <alignment horizontal="left" wrapText="1" indent="1"/>
    </xf>
    <xf numFmtId="4" fontId="22" fillId="0" borderId="0" applyNumberFormat="0" applyProtection="0">
      <alignment horizontal="left" wrapText="1" indent="1" shrinkToFit="1"/>
    </xf>
    <xf numFmtId="0" fontId="33" fillId="7" borderId="13" applyNumberFormat="0" applyProtection="0">
      <alignment horizontal="left" vertical="top" indent="1"/>
    </xf>
    <xf numFmtId="0" fontId="33" fillId="45" borderId="13" applyNumberFormat="0" applyProtection="0">
      <alignment horizontal="left" vertical="top" indent="1"/>
    </xf>
    <xf numFmtId="4" fontId="36" fillId="49" borderId="0" applyNumberFormat="0" applyProtection="0">
      <alignment horizontal="left" vertical="center" indent="1"/>
    </xf>
    <xf numFmtId="4" fontId="37" fillId="43" borderId="13" applyNumberFormat="0" applyProtection="0">
      <alignment horizontal="right" vertical="center"/>
    </xf>
    <xf numFmtId="0" fontId="38" fillId="0" borderId="0" applyNumberFormat="0" applyFill="0" applyBorder="0" applyAlignment="0" applyProtection="0"/>
    <xf numFmtId="0" fontId="25" fillId="0" borderId="0"/>
    <xf numFmtId="0" fontId="25" fillId="0" borderId="0"/>
    <xf numFmtId="164" fontId="39" fillId="2" borderId="0" applyBorder="0" applyProtection="0"/>
    <xf numFmtId="0" fontId="8"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0" fontId="12" fillId="0" borderId="0"/>
    <xf numFmtId="0" fontId="25" fillId="0" borderId="0"/>
    <xf numFmtId="0" fontId="26" fillId="54" borderId="0" applyNumberFormat="0" applyBorder="0" applyAlignment="0" applyProtection="0"/>
    <xf numFmtId="0" fontId="26" fillId="8" borderId="0" applyNumberFormat="0" applyBorder="0" applyAlignment="0" applyProtection="0"/>
    <xf numFmtId="0" fontId="26" fillId="55" borderId="0" applyNumberFormat="0" applyBorder="0" applyAlignment="0" applyProtection="0"/>
    <xf numFmtId="0" fontId="26" fillId="56" borderId="0" applyNumberFormat="0" applyBorder="0" applyAlignment="0" applyProtection="0"/>
    <xf numFmtId="0" fontId="26" fillId="57" borderId="0" applyNumberFormat="0" applyBorder="0" applyAlignment="0" applyProtection="0"/>
    <xf numFmtId="0" fontId="26" fillId="13"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5" borderId="0" applyNumberFormat="0" applyBorder="0" applyAlignment="0" applyProtection="0"/>
    <xf numFmtId="0" fontId="26" fillId="56" borderId="0" applyNumberFormat="0" applyBorder="0" applyAlignment="0" applyProtection="0"/>
    <xf numFmtId="0" fontId="26" fillId="12" borderId="0" applyNumberFormat="0" applyBorder="0" applyAlignment="0" applyProtection="0"/>
    <xf numFmtId="0" fontId="26" fillId="18" borderId="0" applyNumberFormat="0" applyBorder="0" applyAlignment="0" applyProtection="0"/>
    <xf numFmtId="0" fontId="27" fillId="58" borderId="0" applyNumberFormat="0" applyBorder="0" applyAlignment="0" applyProtection="0"/>
    <xf numFmtId="0" fontId="27" fillId="9" borderId="0" applyNumberFormat="0" applyBorder="0" applyAlignment="0" applyProtection="0"/>
    <xf numFmtId="0" fontId="27" fillId="15" borderId="0" applyNumberFormat="0" applyBorder="0" applyAlignment="0" applyProtection="0"/>
    <xf numFmtId="0" fontId="27" fillId="59" borderId="0" applyNumberFormat="0" applyBorder="0" applyAlignment="0" applyProtection="0"/>
    <xf numFmtId="0" fontId="27" fillId="60" borderId="0" applyNumberFormat="0" applyBorder="0" applyAlignment="0" applyProtection="0"/>
    <xf numFmtId="0" fontId="27" fillId="19" borderId="0" applyNumberFormat="0" applyBorder="0" applyAlignment="0" applyProtection="0"/>
    <xf numFmtId="0" fontId="74"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27" fillId="61" borderId="0" applyNumberFormat="0" applyBorder="0" applyAlignment="0" applyProtection="0"/>
    <xf numFmtId="0" fontId="74"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74"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74"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74"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27" fillId="60" borderId="0" applyNumberFormat="0" applyBorder="0" applyAlignment="0" applyProtection="0"/>
    <xf numFmtId="0" fontId="74"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4" fontId="16" fillId="62" borderId="2"/>
    <xf numFmtId="0" fontId="75" fillId="8" borderId="0" applyNumberFormat="0" applyBorder="0" applyAlignment="0" applyProtection="0"/>
    <xf numFmtId="0" fontId="76" fillId="17" borderId="35" applyNumberFormat="0" applyAlignment="0" applyProtection="0"/>
    <xf numFmtId="0" fontId="76" fillId="17" borderId="35" applyNumberFormat="0" applyAlignment="0" applyProtection="0"/>
    <xf numFmtId="0" fontId="76" fillId="17" borderId="35" applyNumberFormat="0" applyAlignment="0" applyProtection="0"/>
    <xf numFmtId="0" fontId="77" fillId="17" borderId="35" applyNumberFormat="0" applyAlignment="0" applyProtection="0"/>
    <xf numFmtId="1" fontId="78" fillId="0" borderId="0"/>
    <xf numFmtId="0" fontId="42" fillId="63" borderId="7" applyNumberFormat="0" applyAlignment="0" applyProtection="0"/>
    <xf numFmtId="41" fontId="73" fillId="0" borderId="0" applyFont="0" applyFill="0" applyBorder="0" applyAlignment="0" applyProtection="0"/>
    <xf numFmtId="43" fontId="73" fillId="0" borderId="0" applyFont="0" applyFill="0" applyBorder="0" applyAlignment="0" applyProtection="0"/>
    <xf numFmtId="169" fontId="10" fillId="0" borderId="0" applyFont="0" applyFill="0" applyBorder="0" applyAlignment="0" applyProtection="0"/>
    <xf numFmtId="164" fontId="10" fillId="47" borderId="0" applyNumberFormat="0" applyFont="0" applyBorder="0" applyAlignment="0" applyProtection="0"/>
    <xf numFmtId="0" fontId="79" fillId="47" borderId="0"/>
    <xf numFmtId="0" fontId="80" fillId="0" borderId="0" applyNumberFormat="0" applyFill="0" applyBorder="0" applyAlignment="0" applyProtection="0"/>
    <xf numFmtId="164" fontId="23" fillId="37" borderId="0" applyNumberFormat="0" applyFont="0" applyBorder="0" applyAlignment="0" applyProtection="0"/>
    <xf numFmtId="0" fontId="43" fillId="55" borderId="0" applyNumberFormat="0" applyBorder="0" applyAlignment="0" applyProtection="0"/>
    <xf numFmtId="49" fontId="81" fillId="0" borderId="0" applyFill="0" applyBorder="0" applyAlignment="0" applyProtection="0">
      <alignment horizontal="left"/>
    </xf>
    <xf numFmtId="0" fontId="82" fillId="0" borderId="36" applyNumberFormat="0" applyFill="0" applyAlignment="0" applyProtection="0"/>
    <xf numFmtId="0" fontId="83" fillId="0" borderId="9" applyNumberFormat="0" applyFill="0" applyAlignment="0" applyProtection="0"/>
    <xf numFmtId="0" fontId="84" fillId="0" borderId="37" applyNumberFormat="0" applyFill="0" applyAlignment="0" applyProtection="0"/>
    <xf numFmtId="0" fontId="84" fillId="0" borderId="0" applyNumberFormat="0" applyFill="0" applyBorder="0" applyAlignment="0" applyProtection="0"/>
    <xf numFmtId="164" fontId="23" fillId="62" borderId="0" applyNumberFormat="0" applyFont="0" applyBorder="0" applyAlignment="0" applyProtection="0"/>
    <xf numFmtId="49" fontId="85" fillId="0" borderId="0" applyFill="0" applyBorder="0" applyAlignment="0" applyProtection="0"/>
    <xf numFmtId="0" fontId="86" fillId="0" borderId="0" applyFill="0" applyBorder="0" applyAlignment="0" applyProtection="0"/>
    <xf numFmtId="170" fontId="86" fillId="0" borderId="0" applyFill="0" applyBorder="0" applyAlignment="0" applyProtection="0"/>
    <xf numFmtId="171" fontId="87" fillId="0" borderId="0" applyFill="0" applyBorder="0" applyAlignment="0" applyProtection="0"/>
    <xf numFmtId="172" fontId="88" fillId="0" borderId="0" applyFill="0" applyBorder="0" applyAlignment="0" applyProtection="0"/>
    <xf numFmtId="173" fontId="88" fillId="0" borderId="0" applyFill="0" applyBorder="0" applyAlignment="0" applyProtection="0"/>
    <xf numFmtId="10" fontId="89" fillId="0" borderId="0"/>
    <xf numFmtId="0" fontId="90" fillId="13" borderId="35" applyNumberFormat="0" applyAlignment="0" applyProtection="0"/>
    <xf numFmtId="0" fontId="90" fillId="13" borderId="35" applyNumberFormat="0" applyAlignment="0" applyProtection="0"/>
    <xf numFmtId="0" fontId="90" fillId="13" borderId="35" applyNumberFormat="0" applyAlignment="0" applyProtection="0"/>
    <xf numFmtId="0" fontId="91" fillId="13" borderId="35" applyNumberFormat="0" applyAlignment="0" applyProtection="0"/>
    <xf numFmtId="0" fontId="92" fillId="0" borderId="38" applyNumberFormat="0" applyFill="0" applyAlignment="0" applyProtection="0"/>
    <xf numFmtId="0" fontId="93" fillId="38" borderId="0" applyNumberFormat="0" applyBorder="0" applyAlignment="0" applyProtection="0"/>
    <xf numFmtId="0" fontId="94" fillId="38"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4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 fillId="0" borderId="0"/>
    <xf numFmtId="0" fontId="19" fillId="0" borderId="0"/>
    <xf numFmtId="0" fontId="19" fillId="0" borderId="0"/>
    <xf numFmtId="0" fontId="10" fillId="0" borderId="0"/>
    <xf numFmtId="0" fontId="10" fillId="0" borderId="0"/>
    <xf numFmtId="0" fontId="10" fillId="0" borderId="0"/>
    <xf numFmtId="0" fontId="10"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9"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 fillId="0" borderId="0"/>
    <xf numFmtId="0" fontId="73" fillId="10" borderId="12" applyNumberFormat="0" applyFont="0" applyAlignment="0" applyProtection="0"/>
    <xf numFmtId="0" fontId="73" fillId="10" borderId="12" applyNumberFormat="0" applyFont="0" applyAlignment="0" applyProtection="0"/>
    <xf numFmtId="0" fontId="95" fillId="10" borderId="12" applyNumberFormat="0" applyFont="0" applyAlignment="0" applyProtection="0"/>
    <xf numFmtId="0" fontId="96" fillId="17" borderId="39" applyNumberFormat="0" applyAlignment="0" applyProtection="0"/>
    <xf numFmtId="0" fontId="96" fillId="17" borderId="39" applyNumberFormat="0" applyAlignment="0" applyProtection="0"/>
    <xf numFmtId="0" fontId="96" fillId="17" borderId="39" applyNumberFormat="0" applyAlignment="0" applyProtection="0"/>
    <xf numFmtId="0" fontId="97" fillId="17" borderId="39" applyNumberFormat="0" applyAlignment="0" applyProtection="0"/>
    <xf numFmtId="0" fontId="12" fillId="0" borderId="0"/>
    <xf numFmtId="0" fontId="12" fillId="0" borderId="0"/>
    <xf numFmtId="0" fontId="12" fillId="0" borderId="0"/>
    <xf numFmtId="0" fontId="12" fillId="0" borderId="0"/>
    <xf numFmtId="0" fontId="12" fillId="0" borderId="0"/>
    <xf numFmtId="9" fontId="73"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0" fontId="98" fillId="0" borderId="0"/>
    <xf numFmtId="0" fontId="99" fillId="14" borderId="40" applyBorder="0"/>
    <xf numFmtId="0" fontId="100" fillId="64" borderId="2"/>
    <xf numFmtId="0" fontId="101" fillId="0" borderId="0" applyNumberFormat="0" applyFill="0" applyBorder="0" applyProtection="0">
      <alignment horizontal="centerContinuous"/>
    </xf>
    <xf numFmtId="0" fontId="72" fillId="0" borderId="0" applyNumberFormat="0" applyFill="0" applyBorder="0" applyAlignment="0" applyProtection="0"/>
    <xf numFmtId="43" fontId="10" fillId="0" borderId="0" applyBorder="0" applyAlignment="0" applyProtection="0"/>
    <xf numFmtId="0" fontId="102" fillId="0" borderId="0"/>
    <xf numFmtId="0" fontId="103" fillId="0" borderId="0" applyNumberFormat="0" applyFill="0" applyBorder="0" applyAlignment="0" applyProtection="0"/>
    <xf numFmtId="0" fontId="104" fillId="0" borderId="0" applyNumberFormat="0" applyFill="0" applyBorder="0" applyAlignment="0" applyProtection="0"/>
    <xf numFmtId="0" fontId="105" fillId="0" borderId="41" applyNumberFormat="0" applyFill="0" applyAlignment="0" applyProtection="0"/>
    <xf numFmtId="0" fontId="105" fillId="0" borderId="41" applyNumberFormat="0" applyFill="0" applyAlignment="0" applyProtection="0"/>
    <xf numFmtId="0" fontId="105" fillId="0" borderId="41" applyNumberFormat="0" applyFill="0" applyAlignment="0" applyProtection="0"/>
    <xf numFmtId="0" fontId="28" fillId="0" borderId="41" applyNumberFormat="0" applyFill="0" applyAlignment="0" applyProtection="0"/>
    <xf numFmtId="0" fontId="106" fillId="0" borderId="0" applyNumberFormat="0" applyFill="0" applyBorder="0" applyAlignment="0" applyProtection="0"/>
    <xf numFmtId="0" fontId="107" fillId="0" borderId="0" applyNumberFormat="0" applyFill="0" applyBorder="0" applyAlignment="0" applyProtection="0"/>
    <xf numFmtId="1" fontId="10" fillId="65" borderId="0"/>
    <xf numFmtId="0" fontId="6" fillId="0" borderId="0"/>
    <xf numFmtId="43" fontId="6" fillId="0" borderId="0" applyFont="0" applyFill="0" applyBorder="0" applyAlignment="0" applyProtection="0"/>
    <xf numFmtId="9" fontId="6" fillId="0" borderId="0" applyFont="0" applyFill="0" applyBorder="0" applyAlignment="0" applyProtection="0"/>
    <xf numFmtId="43"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43" fontId="12" fillId="0" borderId="0" applyFont="0" applyFill="0" applyBorder="0" applyAlignment="0" applyProtection="0"/>
    <xf numFmtId="0" fontId="113" fillId="0" borderId="0" applyNumberFormat="0" applyFill="0" applyBorder="0" applyAlignment="0" applyProtection="0"/>
    <xf numFmtId="0" fontId="114" fillId="0" borderId="42" applyNumberFormat="0" applyFill="0" applyAlignment="0" applyProtection="0"/>
    <xf numFmtId="0" fontId="115" fillId="0" borderId="43" applyNumberFormat="0" applyFill="0" applyAlignment="0" applyProtection="0"/>
    <xf numFmtId="0" fontId="116" fillId="0" borderId="44" applyNumberFormat="0" applyFill="0" applyAlignment="0" applyProtection="0"/>
    <xf numFmtId="0" fontId="116" fillId="0" borderId="0" applyNumberFormat="0" applyFill="0" applyBorder="0" applyAlignment="0" applyProtection="0"/>
    <xf numFmtId="0" fontId="117" fillId="66" borderId="0" applyNumberFormat="0" applyBorder="0" applyAlignment="0" applyProtection="0"/>
    <xf numFmtId="0" fontId="118" fillId="67" borderId="0" applyNumberFormat="0" applyBorder="0" applyAlignment="0" applyProtection="0"/>
    <xf numFmtId="0" fontId="119" fillId="68" borderId="0" applyNumberFormat="0" applyBorder="0" applyAlignment="0" applyProtection="0"/>
    <xf numFmtId="0" fontId="120" fillId="69" borderId="45" applyNumberFormat="0" applyAlignment="0" applyProtection="0"/>
    <xf numFmtId="0" fontId="121" fillId="70" borderId="46" applyNumberFormat="0" applyAlignment="0" applyProtection="0"/>
    <xf numFmtId="0" fontId="122" fillId="70" borderId="45" applyNumberFormat="0" applyAlignment="0" applyProtection="0"/>
    <xf numFmtId="0" fontId="123" fillId="0" borderId="47" applyNumberFormat="0" applyFill="0" applyAlignment="0" applyProtection="0"/>
    <xf numFmtId="0" fontId="124" fillId="71" borderId="48" applyNumberFormat="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7" fillId="0" borderId="50" applyNumberFormat="0" applyFill="0" applyAlignment="0" applyProtection="0"/>
    <xf numFmtId="0" fontId="128" fillId="73" borderId="0" applyNumberFormat="0" applyBorder="0" applyAlignment="0" applyProtection="0"/>
    <xf numFmtId="0" fontId="5" fillId="74" borderId="0" applyNumberFormat="0" applyBorder="0" applyAlignment="0" applyProtection="0"/>
    <xf numFmtId="0" fontId="5" fillId="75" borderId="0" applyNumberFormat="0" applyBorder="0" applyAlignment="0" applyProtection="0"/>
    <xf numFmtId="0" fontId="128" fillId="76" borderId="0" applyNumberFormat="0" applyBorder="0" applyAlignment="0" applyProtection="0"/>
    <xf numFmtId="0" fontId="128" fillId="77" borderId="0" applyNumberFormat="0" applyBorder="0" applyAlignment="0" applyProtection="0"/>
    <xf numFmtId="0" fontId="5" fillId="78" borderId="0" applyNumberFormat="0" applyBorder="0" applyAlignment="0" applyProtection="0"/>
    <xf numFmtId="0" fontId="5" fillId="79" borderId="0" applyNumberFormat="0" applyBorder="0" applyAlignment="0" applyProtection="0"/>
    <xf numFmtId="0" fontId="128" fillId="80" borderId="0" applyNumberFormat="0" applyBorder="0" applyAlignment="0" applyProtection="0"/>
    <xf numFmtId="0" fontId="128" fillId="81" borderId="0" applyNumberFormat="0" applyBorder="0" applyAlignment="0" applyProtection="0"/>
    <xf numFmtId="0" fontId="5" fillId="82" borderId="0" applyNumberFormat="0" applyBorder="0" applyAlignment="0" applyProtection="0"/>
    <xf numFmtId="0" fontId="5" fillId="83" borderId="0" applyNumberFormat="0" applyBorder="0" applyAlignment="0" applyProtection="0"/>
    <xf numFmtId="0" fontId="128" fillId="84" borderId="0" applyNumberFormat="0" applyBorder="0" applyAlignment="0" applyProtection="0"/>
    <xf numFmtId="0" fontId="128" fillId="85" borderId="0" applyNumberFormat="0" applyBorder="0" applyAlignment="0" applyProtection="0"/>
    <xf numFmtId="0" fontId="5" fillId="86" borderId="0" applyNumberFormat="0" applyBorder="0" applyAlignment="0" applyProtection="0"/>
    <xf numFmtId="0" fontId="5" fillId="87" borderId="0" applyNumberFormat="0" applyBorder="0" applyAlignment="0" applyProtection="0"/>
    <xf numFmtId="0" fontId="128" fillId="88" borderId="0" applyNumberFormat="0" applyBorder="0" applyAlignment="0" applyProtection="0"/>
    <xf numFmtId="0" fontId="128" fillId="89" borderId="0" applyNumberFormat="0" applyBorder="0" applyAlignment="0" applyProtection="0"/>
    <xf numFmtId="0" fontId="5" fillId="90" borderId="0" applyNumberFormat="0" applyBorder="0" applyAlignment="0" applyProtection="0"/>
    <xf numFmtId="0" fontId="5" fillId="91" borderId="0" applyNumberFormat="0" applyBorder="0" applyAlignment="0" applyProtection="0"/>
    <xf numFmtId="0" fontId="128" fillId="92" borderId="0" applyNumberFormat="0" applyBorder="0" applyAlignment="0" applyProtection="0"/>
    <xf numFmtId="0" fontId="128" fillId="93" borderId="0" applyNumberFormat="0" applyBorder="0" applyAlignment="0" applyProtection="0"/>
    <xf numFmtId="0" fontId="5" fillId="94" borderId="0" applyNumberFormat="0" applyBorder="0" applyAlignment="0" applyProtection="0"/>
    <xf numFmtId="0" fontId="5" fillId="95" borderId="0" applyNumberFormat="0" applyBorder="0" applyAlignment="0" applyProtection="0"/>
    <xf numFmtId="0" fontId="128" fillId="96" borderId="0" applyNumberFormat="0" applyBorder="0" applyAlignment="0" applyProtection="0"/>
    <xf numFmtId="0" fontId="5" fillId="72" borderId="49" applyNumberFormat="0" applyFont="0" applyAlignment="0" applyProtection="0"/>
    <xf numFmtId="0" fontId="157"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1" fontId="73" fillId="0" borderId="0" applyFont="0" applyFill="0" applyBorder="0" applyAlignment="0" applyProtection="0"/>
    <xf numFmtId="43" fontId="73" fillId="0" borderId="0" applyFont="0" applyFill="0" applyBorder="0" applyAlignment="0" applyProtection="0"/>
    <xf numFmtId="0" fontId="4" fillId="0" borderId="0"/>
    <xf numFmtId="43" fontId="10" fillId="0" borderId="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43" fontId="73" fillId="0" borderId="0" applyFont="0" applyFill="0" applyBorder="0" applyAlignment="0" applyProtection="0"/>
    <xf numFmtId="43" fontId="12" fillId="0" borderId="0" applyFont="0" applyFill="0" applyBorder="0" applyAlignment="0" applyProtection="0"/>
    <xf numFmtId="0" fontId="4" fillId="74" borderId="0" applyNumberFormat="0" applyBorder="0" applyAlignment="0" applyProtection="0"/>
    <xf numFmtId="0" fontId="4" fillId="75" borderId="0" applyNumberFormat="0" applyBorder="0" applyAlignment="0" applyProtection="0"/>
    <xf numFmtId="0" fontId="4" fillId="78" borderId="0" applyNumberFormat="0" applyBorder="0" applyAlignment="0" applyProtection="0"/>
    <xf numFmtId="0" fontId="4" fillId="79" borderId="0" applyNumberFormat="0" applyBorder="0" applyAlignment="0" applyProtection="0"/>
    <xf numFmtId="0" fontId="4" fillId="82" borderId="0" applyNumberFormat="0" applyBorder="0" applyAlignment="0" applyProtection="0"/>
    <xf numFmtId="0" fontId="4" fillId="83" borderId="0" applyNumberFormat="0" applyBorder="0" applyAlignment="0" applyProtection="0"/>
    <xf numFmtId="0" fontId="4" fillId="86" borderId="0" applyNumberFormat="0" applyBorder="0" applyAlignment="0" applyProtection="0"/>
    <xf numFmtId="0" fontId="4" fillId="87" borderId="0" applyNumberFormat="0" applyBorder="0" applyAlignment="0" applyProtection="0"/>
    <xf numFmtId="0" fontId="4" fillId="90" borderId="0" applyNumberFormat="0" applyBorder="0" applyAlignment="0" applyProtection="0"/>
    <xf numFmtId="0" fontId="4" fillId="91" borderId="0" applyNumberFormat="0" applyBorder="0" applyAlignment="0" applyProtection="0"/>
    <xf numFmtId="0" fontId="4" fillId="94" borderId="0" applyNumberFormat="0" applyBorder="0" applyAlignment="0" applyProtection="0"/>
    <xf numFmtId="0" fontId="4" fillId="95" borderId="0" applyNumberFormat="0" applyBorder="0" applyAlignment="0" applyProtection="0"/>
    <xf numFmtId="0" fontId="4" fillId="72" borderId="49" applyNumberFormat="0" applyFont="0" applyAlignment="0" applyProtection="0"/>
    <xf numFmtId="0" fontId="3" fillId="0" borderId="0"/>
    <xf numFmtId="9" fontId="3" fillId="0" borderId="0" applyFont="0" applyFill="0" applyBorder="0" applyAlignment="0" applyProtection="0"/>
    <xf numFmtId="43" fontId="10"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1" fontId="73" fillId="0" borderId="0" applyFont="0" applyFill="0" applyBorder="0" applyAlignment="0" applyProtection="0"/>
    <xf numFmtId="43" fontId="73" fillId="0" borderId="0" applyFont="0" applyFill="0" applyBorder="0" applyAlignment="0" applyProtection="0"/>
    <xf numFmtId="0" fontId="3" fillId="0" borderId="0"/>
    <xf numFmtId="43" fontId="10" fillId="0" borderId="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73" fillId="0" borderId="0" applyFont="0" applyFill="0" applyBorder="0" applyAlignment="0" applyProtection="0"/>
    <xf numFmtId="43" fontId="12" fillId="0" borderId="0" applyFont="0" applyFill="0" applyBorder="0" applyAlignment="0" applyProtection="0"/>
    <xf numFmtId="0" fontId="3" fillId="74" borderId="0" applyNumberFormat="0" applyBorder="0" applyAlignment="0" applyProtection="0"/>
    <xf numFmtId="0" fontId="3" fillId="75" borderId="0" applyNumberFormat="0" applyBorder="0" applyAlignment="0" applyProtection="0"/>
    <xf numFmtId="0" fontId="3" fillId="78" borderId="0" applyNumberFormat="0" applyBorder="0" applyAlignment="0" applyProtection="0"/>
    <xf numFmtId="0" fontId="3" fillId="79" borderId="0" applyNumberFormat="0" applyBorder="0" applyAlignment="0" applyProtection="0"/>
    <xf numFmtId="0" fontId="3" fillId="82" borderId="0" applyNumberFormat="0" applyBorder="0" applyAlignment="0" applyProtection="0"/>
    <xf numFmtId="0" fontId="3" fillId="83" borderId="0" applyNumberFormat="0" applyBorder="0" applyAlignment="0" applyProtection="0"/>
    <xf numFmtId="0" fontId="3" fillId="86" borderId="0" applyNumberFormat="0" applyBorder="0" applyAlignment="0" applyProtection="0"/>
    <xf numFmtId="0" fontId="3" fillId="87" borderId="0" applyNumberFormat="0" applyBorder="0" applyAlignment="0" applyProtection="0"/>
    <xf numFmtId="0" fontId="3" fillId="90" borderId="0" applyNumberFormat="0" applyBorder="0" applyAlignment="0" applyProtection="0"/>
    <xf numFmtId="0" fontId="3" fillId="91" borderId="0" applyNumberFormat="0" applyBorder="0" applyAlignment="0" applyProtection="0"/>
    <xf numFmtId="0" fontId="3" fillId="94" borderId="0" applyNumberFormat="0" applyBorder="0" applyAlignment="0" applyProtection="0"/>
    <xf numFmtId="0" fontId="3" fillId="95" borderId="0" applyNumberFormat="0" applyBorder="0" applyAlignment="0" applyProtection="0"/>
    <xf numFmtId="0" fontId="3" fillId="72" borderId="49" applyNumberFormat="0" applyFont="0" applyAlignment="0" applyProtection="0"/>
    <xf numFmtId="43" fontId="12" fillId="0" borderId="0" applyFont="0" applyFill="0" applyBorder="0" applyAlignment="0" applyProtection="0"/>
    <xf numFmtId="0" fontId="2" fillId="0" borderId="0"/>
    <xf numFmtId="9" fontId="2"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3" fontId="73" fillId="0" borderId="0" applyFont="0" applyFill="0" applyBorder="0" applyAlignment="0" applyProtection="0"/>
    <xf numFmtId="41" fontId="73" fillId="0" borderId="0" applyFont="0" applyFill="0" applyBorder="0" applyAlignment="0" applyProtection="0"/>
    <xf numFmtId="43" fontId="73" fillId="0" borderId="0" applyFont="0" applyFill="0" applyBorder="0" applyAlignment="0" applyProtection="0"/>
    <xf numFmtId="0" fontId="2" fillId="0" borderId="0"/>
    <xf numFmtId="43" fontId="10" fillId="0" borderId="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73" fillId="0" borderId="0" applyFont="0" applyFill="0" applyBorder="0" applyAlignment="0" applyProtection="0"/>
    <xf numFmtId="43" fontId="12" fillId="0" borderId="0" applyFont="0" applyFill="0" applyBorder="0" applyAlignment="0" applyProtection="0"/>
    <xf numFmtId="0" fontId="2" fillId="74" borderId="0" applyNumberFormat="0" applyBorder="0" applyAlignment="0" applyProtection="0"/>
    <xf numFmtId="0" fontId="2" fillId="75" borderId="0" applyNumberFormat="0" applyBorder="0" applyAlignment="0" applyProtection="0"/>
    <xf numFmtId="0" fontId="2" fillId="78" borderId="0" applyNumberFormat="0" applyBorder="0" applyAlignment="0" applyProtection="0"/>
    <xf numFmtId="0" fontId="2" fillId="79" borderId="0" applyNumberFormat="0" applyBorder="0" applyAlignment="0" applyProtection="0"/>
    <xf numFmtId="0" fontId="2" fillId="82" borderId="0" applyNumberFormat="0" applyBorder="0" applyAlignment="0" applyProtection="0"/>
    <xf numFmtId="0" fontId="2" fillId="83" borderId="0" applyNumberFormat="0" applyBorder="0" applyAlignment="0" applyProtection="0"/>
    <xf numFmtId="0" fontId="2" fillId="86" borderId="0" applyNumberFormat="0" applyBorder="0" applyAlignment="0" applyProtection="0"/>
    <xf numFmtId="0" fontId="2" fillId="87" borderId="0" applyNumberFormat="0" applyBorder="0" applyAlignment="0" applyProtection="0"/>
    <xf numFmtId="0" fontId="2" fillId="90" borderId="0" applyNumberFormat="0" applyBorder="0" applyAlignment="0" applyProtection="0"/>
    <xf numFmtId="0" fontId="2" fillId="91" borderId="0" applyNumberFormat="0" applyBorder="0" applyAlignment="0" applyProtection="0"/>
    <xf numFmtId="0" fontId="2" fillId="94" borderId="0" applyNumberFormat="0" applyBorder="0" applyAlignment="0" applyProtection="0"/>
    <xf numFmtId="0" fontId="2" fillId="95" borderId="0" applyNumberFormat="0" applyBorder="0" applyAlignment="0" applyProtection="0"/>
    <xf numFmtId="0" fontId="2" fillId="72" borderId="49" applyNumberFormat="0" applyFont="0" applyAlignment="0" applyProtection="0"/>
  </cellStyleXfs>
  <cellXfs count="1097">
    <xf numFmtId="0" fontId="0" fillId="0" borderId="0" xfId="0"/>
    <xf numFmtId="0" fontId="14" fillId="3" borderId="2" xfId="5" applyFont="1" applyFill="1" applyBorder="1" applyAlignment="1" applyProtection="1">
      <alignment horizontal="center" vertical="center" wrapText="1"/>
    </xf>
    <xf numFmtId="3" fontId="14" fillId="3" borderId="2" xfId="5" applyNumberFormat="1" applyFont="1" applyFill="1" applyBorder="1" applyAlignment="1" applyProtection="1">
      <alignment horizontal="center" vertical="center" wrapText="1"/>
    </xf>
    <xf numFmtId="0" fontId="14" fillId="3" borderId="2" xfId="5" applyFont="1" applyFill="1" applyBorder="1" applyAlignment="1" applyProtection="1">
      <alignment horizontal="left" vertical="center" wrapText="1"/>
    </xf>
    <xf numFmtId="0" fontId="51" fillId="0" borderId="0" xfId="0" applyFont="1"/>
    <xf numFmtId="0" fontId="14" fillId="3" borderId="3" xfId="5" applyFont="1" applyFill="1" applyBorder="1" applyAlignment="1" applyProtection="1">
      <alignment horizontal="left" vertical="center" wrapText="1"/>
    </xf>
    <xf numFmtId="0" fontId="14" fillId="3" borderId="4" xfId="5" applyFont="1" applyFill="1" applyBorder="1" applyAlignment="1" applyProtection="1">
      <alignment horizontal="left" vertical="center" wrapText="1"/>
    </xf>
    <xf numFmtId="0" fontId="14" fillId="3" borderId="5" xfId="5" applyFont="1" applyFill="1" applyBorder="1" applyAlignment="1" applyProtection="1">
      <alignment horizontal="left" vertical="center" wrapText="1"/>
    </xf>
    <xf numFmtId="0" fontId="14" fillId="3" borderId="6" xfId="5" applyFont="1" applyFill="1" applyBorder="1" applyAlignment="1" applyProtection="1">
      <alignment horizontal="left" vertical="center" wrapText="1"/>
    </xf>
    <xf numFmtId="0" fontId="14" fillId="3" borderId="1" xfId="5" applyFont="1" applyFill="1" applyBorder="1" applyAlignment="1" applyProtection="1">
      <alignment horizontal="center" vertical="center" wrapText="1"/>
    </xf>
    <xf numFmtId="0" fontId="52" fillId="2" borderId="1" xfId="5" applyFont="1" applyFill="1" applyBorder="1" applyAlignment="1" applyProtection="1">
      <alignment horizontal="left" vertical="center" wrapText="1"/>
    </xf>
    <xf numFmtId="0" fontId="52" fillId="2" borderId="2" xfId="5" applyFont="1" applyFill="1" applyBorder="1" applyAlignment="1" applyProtection="1">
      <alignment horizontal="left" vertical="center" wrapText="1"/>
    </xf>
    <xf numFmtId="0" fontId="52" fillId="2" borderId="2" xfId="5" applyFont="1" applyFill="1" applyBorder="1" applyAlignment="1" applyProtection="1">
      <alignment horizontal="center" vertical="center" wrapText="1"/>
    </xf>
    <xf numFmtId="3" fontId="52" fillId="2" borderId="2" xfId="5" applyNumberFormat="1" applyFont="1" applyFill="1" applyBorder="1" applyAlignment="1" applyProtection="1">
      <alignment horizontal="center" vertical="center" wrapText="1"/>
    </xf>
    <xf numFmtId="0" fontId="14" fillId="0" borderId="1" xfId="5" applyFont="1" applyFill="1" applyBorder="1" applyAlignment="1" applyProtection="1">
      <alignment horizontal="left" vertical="center" wrapText="1"/>
    </xf>
    <xf numFmtId="0" fontId="14" fillId="0" borderId="2" xfId="5" applyFont="1" applyFill="1" applyBorder="1" applyAlignment="1" applyProtection="1">
      <alignment horizontal="left" vertical="center" wrapText="1"/>
    </xf>
    <xf numFmtId="0" fontId="14" fillId="0" borderId="2" xfId="5" applyFont="1" applyFill="1" applyBorder="1" applyAlignment="1" applyProtection="1">
      <alignment horizontal="center" vertical="center" wrapText="1"/>
    </xf>
    <xf numFmtId="3" fontId="14" fillId="0" borderId="2" xfId="5" applyNumberFormat="1" applyFont="1" applyFill="1" applyBorder="1" applyAlignment="1" applyProtection="1">
      <alignment horizontal="center" vertical="center" wrapText="1"/>
    </xf>
    <xf numFmtId="3" fontId="18" fillId="0" borderId="2" xfId="5" applyNumberFormat="1" applyFont="1" applyFill="1" applyBorder="1" applyAlignment="1" applyProtection="1">
      <alignment horizontal="center" vertical="center" wrapText="1"/>
    </xf>
    <xf numFmtId="0" fontId="13" fillId="0" borderId="1" xfId="5" applyFont="1" applyFill="1" applyBorder="1" applyAlignment="1" applyProtection="1">
      <alignment horizontal="left" vertical="center" wrapText="1"/>
    </xf>
    <xf numFmtId="0" fontId="13" fillId="0" borderId="2" xfId="5" applyFont="1" applyFill="1" applyBorder="1" applyAlignment="1" applyProtection="1">
      <alignment horizontal="left" vertical="center" wrapText="1"/>
    </xf>
    <xf numFmtId="0" fontId="13" fillId="0" borderId="2" xfId="5" applyFont="1" applyFill="1" applyBorder="1" applyAlignment="1" applyProtection="1">
      <alignment horizontal="center" vertical="center" wrapText="1"/>
    </xf>
    <xf numFmtId="3" fontId="13" fillId="0" borderId="2" xfId="5" applyNumberFormat="1" applyFont="1" applyFill="1" applyBorder="1" applyAlignment="1" applyProtection="1">
      <alignment horizontal="center" vertical="center" wrapText="1"/>
      <protection locked="0"/>
    </xf>
    <xf numFmtId="3" fontId="13" fillId="0" borderId="2" xfId="5" applyNumberFormat="1" applyFont="1" applyFill="1" applyBorder="1" applyAlignment="1" applyProtection="1">
      <alignment horizontal="center" vertical="center" wrapText="1"/>
    </xf>
    <xf numFmtId="0" fontId="51" fillId="0" borderId="0" xfId="0" applyFont="1" applyAlignment="1">
      <alignment wrapText="1"/>
    </xf>
    <xf numFmtId="0" fontId="51" fillId="0" borderId="2" xfId="0" applyFont="1" applyBorder="1" applyProtection="1"/>
    <xf numFmtId="0" fontId="15" fillId="0" borderId="2" xfId="0" applyFont="1" applyBorder="1" applyAlignment="1" applyProtection="1">
      <alignment horizontal="left" vertical="center" wrapText="1"/>
    </xf>
    <xf numFmtId="0" fontId="15" fillId="0" borderId="2" xfId="0" applyFont="1" applyBorder="1" applyProtection="1"/>
    <xf numFmtId="3" fontId="15" fillId="0" borderId="2" xfId="0" applyNumberFormat="1" applyFont="1" applyBorder="1" applyAlignment="1" applyProtection="1">
      <alignment horizontal="center" vertical="center"/>
    </xf>
    <xf numFmtId="3" fontId="15" fillId="0" borderId="2" xfId="0" applyNumberFormat="1" applyFont="1" applyBorder="1" applyProtection="1"/>
    <xf numFmtId="0" fontId="54" fillId="0" borderId="0" xfId="5" applyFont="1" applyAlignment="1" applyProtection="1">
      <protection locked="0"/>
    </xf>
    <xf numFmtId="0" fontId="53" fillId="0" borderId="0" xfId="5" applyFont="1" applyBorder="1" applyAlignment="1" applyProtection="1">
      <protection locked="0"/>
    </xf>
    <xf numFmtId="0" fontId="10" fillId="0" borderId="0" xfId="0" applyFont="1"/>
    <xf numFmtId="4" fontId="57" fillId="0" borderId="16" xfId="0" applyNumberFormat="1" applyFont="1" applyBorder="1" applyAlignment="1">
      <alignment horizontal="right" vertical="center"/>
    </xf>
    <xf numFmtId="0" fontId="52" fillId="4" borderId="1" xfId="5" applyFont="1" applyFill="1" applyBorder="1" applyAlignment="1" applyProtection="1">
      <alignment horizontal="left" vertical="center" wrapText="1"/>
    </xf>
    <xf numFmtId="0" fontId="52" fillId="4" borderId="2" xfId="5" applyFont="1" applyFill="1" applyBorder="1" applyAlignment="1" applyProtection="1">
      <alignment horizontal="left" vertical="center" wrapText="1"/>
    </xf>
    <xf numFmtId="0" fontId="52" fillId="4" borderId="2" xfId="5" applyFont="1" applyFill="1" applyBorder="1" applyAlignment="1" applyProtection="1">
      <alignment horizontal="center" vertical="center" wrapText="1"/>
    </xf>
    <xf numFmtId="3" fontId="14" fillId="4" borderId="2" xfId="5" applyNumberFormat="1" applyFont="1" applyFill="1" applyBorder="1" applyAlignment="1" applyProtection="1">
      <alignment horizontal="center" vertical="center" wrapText="1"/>
    </xf>
    <xf numFmtId="0" fontId="0" fillId="0" borderId="0" xfId="0" applyFont="1"/>
    <xf numFmtId="0" fontId="13" fillId="6" borderId="1" xfId="5" applyFont="1" applyFill="1" applyBorder="1" applyAlignment="1" applyProtection="1">
      <alignment horizontal="left" vertical="center" wrapText="1"/>
    </xf>
    <xf numFmtId="0" fontId="0" fillId="0" borderId="0" xfId="0" applyProtection="1"/>
    <xf numFmtId="0" fontId="58" fillId="0" borderId="0" xfId="0" applyFont="1" applyProtection="1"/>
    <xf numFmtId="0" fontId="57" fillId="0" borderId="18" xfId="0" applyFont="1" applyBorder="1" applyAlignment="1">
      <alignment horizontal="right" vertical="center"/>
    </xf>
    <xf numFmtId="0" fontId="55" fillId="50" borderId="17" xfId="0" applyFont="1" applyFill="1" applyBorder="1" applyAlignment="1">
      <alignment horizontal="center"/>
    </xf>
    <xf numFmtId="0" fontId="55" fillId="50" borderId="23" xfId="0" applyFont="1" applyFill="1" applyBorder="1" applyAlignment="1">
      <alignment horizontal="center" wrapText="1"/>
    </xf>
    <xf numFmtId="4" fontId="57" fillId="0" borderId="18" xfId="0" applyNumberFormat="1" applyFont="1" applyBorder="1" applyAlignment="1">
      <alignment horizontal="right" vertical="center"/>
    </xf>
    <xf numFmtId="0" fontId="63" fillId="3" borderId="4" xfId="5" applyFont="1" applyFill="1" applyBorder="1" applyAlignment="1" applyProtection="1">
      <alignment horizontal="center" vertical="center" wrapText="1"/>
    </xf>
    <xf numFmtId="0" fontId="63" fillId="3" borderId="6" xfId="5" applyFont="1" applyFill="1" applyBorder="1" applyAlignment="1" applyProtection="1">
      <alignment horizontal="center" vertical="center" wrapText="1"/>
    </xf>
    <xf numFmtId="0" fontId="63" fillId="3" borderId="2" xfId="5" applyFont="1" applyFill="1" applyBorder="1" applyAlignment="1" applyProtection="1">
      <alignment horizontal="center" vertical="center" wrapText="1"/>
    </xf>
    <xf numFmtId="3" fontId="63" fillId="0" borderId="2" xfId="0" applyNumberFormat="1" applyFont="1" applyBorder="1" applyAlignment="1" applyProtection="1">
      <alignment horizontal="center" vertical="center"/>
    </xf>
    <xf numFmtId="3" fontId="63" fillId="3" borderId="2" xfId="5" applyNumberFormat="1" applyFont="1" applyFill="1" applyBorder="1" applyAlignment="1" applyProtection="1">
      <alignment horizontal="center" vertical="center" wrapText="1"/>
    </xf>
    <xf numFmtId="3" fontId="63" fillId="0" borderId="2" xfId="0" applyNumberFormat="1" applyFont="1" applyBorder="1" applyProtection="1"/>
    <xf numFmtId="3" fontId="64" fillId="2" borderId="2" xfId="5" applyNumberFormat="1" applyFont="1" applyFill="1" applyBorder="1" applyAlignment="1" applyProtection="1">
      <alignment horizontal="center" vertical="center" wrapText="1"/>
    </xf>
    <xf numFmtId="3" fontId="63" fillId="0" borderId="2" xfId="5" applyNumberFormat="1" applyFont="1" applyFill="1" applyBorder="1" applyAlignment="1" applyProtection="1">
      <alignment horizontal="center" vertical="center" wrapText="1"/>
    </xf>
    <xf numFmtId="3" fontId="65" fillId="0" borderId="2" xfId="5" applyNumberFormat="1" applyFont="1" applyFill="1" applyBorder="1" applyAlignment="1" applyProtection="1">
      <alignment horizontal="center" vertical="center" wrapText="1"/>
    </xf>
    <xf numFmtId="3" fontId="63" fillId="4" borderId="2" xfId="5" applyNumberFormat="1" applyFont="1" applyFill="1" applyBorder="1" applyAlignment="1" applyProtection="1">
      <alignment horizontal="center" vertical="center" wrapText="1"/>
    </xf>
    <xf numFmtId="0" fontId="56" fillId="50" borderId="25" xfId="0" applyFont="1" applyFill="1" applyBorder="1" applyAlignment="1">
      <alignment horizontal="center" vertical="center"/>
    </xf>
    <xf numFmtId="0" fontId="56" fillId="50" borderId="26" xfId="0" applyFont="1" applyFill="1" applyBorder="1" applyAlignment="1">
      <alignment horizontal="center" vertical="center"/>
    </xf>
    <xf numFmtId="4" fontId="13" fillId="0" borderId="2" xfId="5" applyNumberFormat="1" applyFont="1" applyFill="1" applyBorder="1" applyAlignment="1" applyProtection="1">
      <alignment horizontal="center" vertical="center" wrapText="1"/>
    </xf>
    <xf numFmtId="0" fontId="51" fillId="0" borderId="0" xfId="0" applyFont="1" applyProtection="1"/>
    <xf numFmtId="0" fontId="51" fillId="0" borderId="0" xfId="0" applyFont="1" applyAlignment="1" applyProtection="1">
      <alignment wrapText="1"/>
    </xf>
    <xf numFmtId="0" fontId="13" fillId="6" borderId="2" xfId="5" applyFont="1" applyFill="1" applyBorder="1" applyAlignment="1" applyProtection="1">
      <alignment horizontal="left" vertical="center" wrapText="1"/>
    </xf>
    <xf numFmtId="0" fontId="10" fillId="0" borderId="0" xfId="19" applyFont="1"/>
    <xf numFmtId="0" fontId="55" fillId="50" borderId="23" xfId="19" applyFont="1" applyFill="1" applyBorder="1" applyAlignment="1">
      <alignment horizontal="center" wrapText="1"/>
    </xf>
    <xf numFmtId="16" fontId="14" fillId="3" borderId="2" xfId="5" applyNumberFormat="1" applyFont="1" applyFill="1" applyBorder="1" applyAlignment="1" applyProtection="1">
      <alignment horizontal="center" vertical="center" wrapText="1"/>
    </xf>
    <xf numFmtId="167" fontId="15" fillId="0" borderId="2" xfId="14" applyNumberFormat="1" applyFont="1" applyBorder="1" applyAlignment="1" applyProtection="1">
      <alignment horizontal="center" vertical="center"/>
    </xf>
    <xf numFmtId="167" fontId="14" fillId="3" borderId="2" xfId="14" applyNumberFormat="1" applyFont="1" applyFill="1" applyBorder="1" applyAlignment="1" applyProtection="1">
      <alignment horizontal="center" vertical="center" wrapText="1"/>
    </xf>
    <xf numFmtId="167" fontId="52" fillId="2" borderId="2" xfId="14" applyNumberFormat="1" applyFont="1" applyFill="1" applyBorder="1" applyAlignment="1" applyProtection="1">
      <alignment horizontal="center" vertical="center" wrapText="1"/>
    </xf>
    <xf numFmtId="167" fontId="14" fillId="0" borderId="2" xfId="14" applyNumberFormat="1" applyFont="1" applyFill="1" applyBorder="1" applyAlignment="1" applyProtection="1">
      <alignment horizontal="center" vertical="center" wrapText="1"/>
    </xf>
    <xf numFmtId="167" fontId="13" fillId="0" borderId="2" xfId="14" applyNumberFormat="1" applyFont="1" applyFill="1" applyBorder="1" applyAlignment="1" applyProtection="1">
      <alignment horizontal="center" vertical="center" wrapText="1"/>
    </xf>
    <xf numFmtId="167" fontId="18" fillId="0" borderId="2" xfId="14" applyNumberFormat="1" applyFont="1" applyFill="1" applyBorder="1" applyAlignment="1" applyProtection="1">
      <alignment horizontal="center" vertical="center" wrapText="1"/>
    </xf>
    <xf numFmtId="167" fontId="14" fillId="4" borderId="2" xfId="14" applyNumberFormat="1" applyFont="1" applyFill="1" applyBorder="1" applyAlignment="1" applyProtection="1">
      <alignment horizontal="center" vertical="center" wrapText="1"/>
    </xf>
    <xf numFmtId="3" fontId="0" fillId="0" borderId="0" xfId="0" applyNumberFormat="1" applyProtection="1"/>
    <xf numFmtId="0" fontId="108" fillId="0" borderId="0" xfId="0" applyFont="1"/>
    <xf numFmtId="0" fontId="10" fillId="0" borderId="0" xfId="19" applyFont="1" applyFill="1"/>
    <xf numFmtId="0" fontId="55" fillId="50" borderId="17" xfId="19" applyFont="1" applyFill="1" applyBorder="1" applyAlignment="1">
      <alignment horizontal="center" wrapText="1"/>
    </xf>
    <xf numFmtId="0" fontId="10" fillId="51" borderId="0" xfId="19" applyFont="1" applyFill="1"/>
    <xf numFmtId="0" fontId="56" fillId="0" borderId="18" xfId="0" applyFont="1" applyBorder="1" applyAlignment="1">
      <alignment horizontal="left" vertical="center" wrapText="1"/>
    </xf>
    <xf numFmtId="0" fontId="14" fillId="3" borderId="4" xfId="5" applyFont="1" applyFill="1" applyBorder="1" applyAlignment="1" applyProtection="1">
      <alignment horizontal="center" vertical="center" wrapText="1"/>
    </xf>
    <xf numFmtId="0" fontId="14" fillId="3" borderId="6" xfId="5" applyFont="1" applyFill="1" applyBorder="1" applyAlignment="1" applyProtection="1">
      <alignment horizontal="center" vertical="center" wrapText="1"/>
    </xf>
    <xf numFmtId="168" fontId="57" fillId="0" borderId="18" xfId="0" applyNumberFormat="1" applyFont="1" applyBorder="1" applyAlignment="1">
      <alignment horizontal="right" vertical="center"/>
    </xf>
    <xf numFmtId="168" fontId="57" fillId="0" borderId="16" xfId="0" applyNumberFormat="1" applyFont="1" applyBorder="1" applyAlignment="1">
      <alignment horizontal="right" vertical="center"/>
    </xf>
    <xf numFmtId="0" fontId="57" fillId="0" borderId="16" xfId="0" applyFont="1" applyBorder="1" applyAlignment="1">
      <alignment horizontal="right" vertical="center"/>
    </xf>
    <xf numFmtId="43" fontId="57" fillId="0" borderId="18" xfId="484" applyFont="1" applyBorder="1" applyAlignment="1">
      <alignment horizontal="right" vertical="center"/>
    </xf>
    <xf numFmtId="4" fontId="129" fillId="0" borderId="16" xfId="0" applyNumberFormat="1" applyFont="1" applyBorder="1" applyAlignment="1">
      <alignment horizontal="right" vertical="center"/>
    </xf>
    <xf numFmtId="0" fontId="10" fillId="0" borderId="0" xfId="19" applyFont="1"/>
    <xf numFmtId="0" fontId="56" fillId="50" borderId="25" xfId="19" applyFont="1" applyFill="1" applyBorder="1" applyAlignment="1">
      <alignment horizontal="center" vertical="center"/>
    </xf>
    <xf numFmtId="0" fontId="56" fillId="50" borderId="26" xfId="19" applyFont="1" applyFill="1" applyBorder="1" applyAlignment="1">
      <alignment horizontal="center" vertical="center"/>
    </xf>
    <xf numFmtId="0" fontId="55" fillId="50" borderId="23" xfId="19" applyFont="1" applyFill="1" applyBorder="1" applyAlignment="1">
      <alignment horizontal="center" wrapText="1"/>
    </xf>
    <xf numFmtId="0" fontId="55" fillId="50" borderId="17" xfId="19" applyFont="1" applyFill="1" applyBorder="1" applyAlignment="1">
      <alignment horizontal="center"/>
    </xf>
    <xf numFmtId="3" fontId="15" fillId="0" borderId="2" xfId="0" applyNumberFormat="1" applyFont="1" applyBorder="1" applyAlignment="1" applyProtection="1">
      <alignment horizontal="center"/>
    </xf>
    <xf numFmtId="167" fontId="15" fillId="0" borderId="2" xfId="14" applyNumberFormat="1" applyFont="1" applyBorder="1" applyAlignment="1" applyProtection="1">
      <alignment horizontal="center"/>
    </xf>
    <xf numFmtId="0" fontId="56" fillId="0" borderId="18" xfId="0" applyFont="1" applyBorder="1" applyAlignment="1">
      <alignment horizontal="left" vertical="center" wrapText="1"/>
    </xf>
    <xf numFmtId="166" fontId="57" fillId="0" borderId="18" xfId="0" applyNumberFormat="1" applyFont="1" applyBorder="1" applyAlignment="1">
      <alignment horizontal="right" vertical="center"/>
    </xf>
    <xf numFmtId="166" fontId="57" fillId="0" borderId="16" xfId="0" applyNumberFormat="1" applyFont="1" applyBorder="1" applyAlignment="1">
      <alignment horizontal="right" vertical="center"/>
    </xf>
    <xf numFmtId="0" fontId="56" fillId="0" borderId="18" xfId="0" applyFont="1" applyBorder="1" applyAlignment="1">
      <alignment horizontal="left" vertical="center" wrapText="1"/>
    </xf>
    <xf numFmtId="0" fontId="132" fillId="3" borderId="6" xfId="5" applyFont="1" applyFill="1" applyBorder="1" applyAlignment="1" applyProtection="1">
      <alignment horizontal="center" vertical="center" wrapText="1"/>
    </xf>
    <xf numFmtId="0" fontId="131" fillId="0" borderId="0" xfId="0" applyFont="1"/>
    <xf numFmtId="3" fontId="131" fillId="0" borderId="0" xfId="0" applyNumberFormat="1" applyFont="1" applyProtection="1"/>
    <xf numFmtId="4" fontId="129" fillId="0" borderId="18" xfId="0" applyNumberFormat="1" applyFont="1" applyBorder="1" applyAlignment="1">
      <alignment horizontal="right" vertical="center"/>
    </xf>
    <xf numFmtId="3" fontId="0" fillId="0" borderId="0" xfId="0" applyNumberFormat="1"/>
    <xf numFmtId="3" fontId="15" fillId="3" borderId="2" xfId="5" applyNumberFormat="1" applyFont="1" applyFill="1" applyBorder="1" applyAlignment="1" applyProtection="1">
      <alignment horizontal="center" vertical="center" wrapText="1"/>
    </xf>
    <xf numFmtId="3" fontId="133" fillId="3" borderId="2" xfId="5" applyNumberFormat="1" applyFont="1" applyFill="1" applyBorder="1" applyAlignment="1" applyProtection="1">
      <alignment horizontal="center" vertical="center" wrapText="1"/>
    </xf>
    <xf numFmtId="0" fontId="134" fillId="0" borderId="0" xfId="0" applyFont="1" applyProtection="1"/>
    <xf numFmtId="0" fontId="134" fillId="0" borderId="0" xfId="0" applyFont="1"/>
    <xf numFmtId="0" fontId="135" fillId="0" borderId="0" xfId="0" applyFont="1" applyProtection="1"/>
    <xf numFmtId="0" fontId="136" fillId="3" borderId="4" xfId="5" applyFont="1" applyFill="1" applyBorder="1" applyAlignment="1" applyProtection="1">
      <alignment horizontal="center" vertical="center" wrapText="1"/>
    </xf>
    <xf numFmtId="0" fontId="136" fillId="3" borderId="6" xfId="5" applyFont="1" applyFill="1" applyBorder="1" applyAlignment="1" applyProtection="1">
      <alignment horizontal="center" vertical="center" wrapText="1"/>
    </xf>
    <xf numFmtId="0" fontId="136" fillId="3" borderId="2" xfId="5" applyFont="1" applyFill="1" applyBorder="1" applyAlignment="1" applyProtection="1">
      <alignment horizontal="center" vertical="center" wrapText="1"/>
    </xf>
    <xf numFmtId="3" fontId="137" fillId="0" borderId="2" xfId="0" applyNumberFormat="1" applyFont="1" applyBorder="1" applyAlignment="1" applyProtection="1">
      <alignment horizontal="center" vertical="center"/>
    </xf>
    <xf numFmtId="3" fontId="136" fillId="3" borderId="2" xfId="5" applyNumberFormat="1" applyFont="1" applyFill="1" applyBorder="1" applyAlignment="1" applyProtection="1">
      <alignment horizontal="center" vertical="center" wrapText="1"/>
    </xf>
    <xf numFmtId="3" fontId="137" fillId="0" borderId="2" xfId="0" applyNumberFormat="1" applyFont="1" applyBorder="1" applyProtection="1"/>
    <xf numFmtId="3" fontId="138" fillId="2" borderId="2" xfId="5" applyNumberFormat="1" applyFont="1" applyFill="1" applyBorder="1" applyAlignment="1" applyProtection="1">
      <alignment horizontal="center" vertical="center" wrapText="1"/>
    </xf>
    <xf numFmtId="3" fontId="136" fillId="0" borderId="2" xfId="5" applyNumberFormat="1" applyFont="1" applyFill="1" applyBorder="1" applyAlignment="1" applyProtection="1">
      <alignment horizontal="center" vertical="center" wrapText="1"/>
    </xf>
    <xf numFmtId="0" fontId="139" fillId="0" borderId="2" xfId="5" applyFont="1" applyFill="1" applyBorder="1" applyAlignment="1" applyProtection="1">
      <alignment horizontal="center" vertical="center" wrapText="1"/>
      <protection locked="0"/>
    </xf>
    <xf numFmtId="3" fontId="139" fillId="0" borderId="2" xfId="5" applyNumberFormat="1" applyFont="1" applyFill="1" applyBorder="1" applyAlignment="1" applyProtection="1">
      <alignment horizontal="center" vertical="center" wrapText="1"/>
      <protection locked="0"/>
    </xf>
    <xf numFmtId="3" fontId="140" fillId="0" borderId="2" xfId="5" applyNumberFormat="1" applyFont="1" applyFill="1" applyBorder="1" applyAlignment="1" applyProtection="1">
      <alignment horizontal="center" vertical="center" wrapText="1"/>
    </xf>
    <xf numFmtId="3" fontId="139" fillId="0" borderId="2" xfId="5" applyNumberFormat="1" applyFont="1" applyFill="1" applyBorder="1" applyAlignment="1" applyProtection="1">
      <alignment horizontal="center" vertical="center" wrapText="1"/>
    </xf>
    <xf numFmtId="174" fontId="139" fillId="0" borderId="2" xfId="5" applyNumberFormat="1" applyFont="1" applyFill="1" applyBorder="1" applyAlignment="1" applyProtection="1">
      <alignment horizontal="center" vertical="center" wrapText="1"/>
      <protection locked="0"/>
    </xf>
    <xf numFmtId="3" fontId="136" fillId="4" borderId="2" xfId="5" applyNumberFormat="1" applyFont="1" applyFill="1" applyBorder="1" applyAlignment="1" applyProtection="1">
      <alignment horizontal="center" vertical="center" wrapText="1"/>
    </xf>
    <xf numFmtId="0" fontId="135" fillId="0" borderId="0" xfId="0" applyFont="1"/>
    <xf numFmtId="4" fontId="139" fillId="0" borderId="2" xfId="5" applyNumberFormat="1" applyFont="1" applyFill="1" applyBorder="1" applyAlignment="1" applyProtection="1">
      <alignment horizontal="center" vertical="center" wrapText="1"/>
    </xf>
    <xf numFmtId="3" fontId="135" fillId="0" borderId="0" xfId="0" applyNumberFormat="1" applyFont="1" applyProtection="1"/>
    <xf numFmtId="0" fontId="70" fillId="6" borderId="0" xfId="0" applyFont="1" applyFill="1" applyAlignment="1">
      <alignment wrapText="1"/>
    </xf>
    <xf numFmtId="0" fontId="70" fillId="0" borderId="0" xfId="0" applyFont="1" applyAlignment="1">
      <alignment wrapText="1"/>
    </xf>
    <xf numFmtId="0" fontId="143" fillId="0" borderId="52" xfId="0" applyFont="1" applyBorder="1" applyAlignment="1">
      <alignment horizontal="center" vertical="center" wrapText="1"/>
    </xf>
    <xf numFmtId="3" fontId="143" fillId="0" borderId="53" xfId="0" applyNumberFormat="1" applyFont="1" applyFill="1" applyBorder="1" applyAlignment="1">
      <alignment horizontal="center" vertical="center" wrapText="1"/>
    </xf>
    <xf numFmtId="0" fontId="143" fillId="0" borderId="54" xfId="0" applyFont="1" applyFill="1" applyBorder="1" applyAlignment="1">
      <alignment horizontal="center" vertical="center" wrapText="1"/>
    </xf>
    <xf numFmtId="3" fontId="143" fillId="0" borderId="52" xfId="0" applyNumberFormat="1" applyFont="1" applyFill="1" applyBorder="1" applyAlignment="1">
      <alignment horizontal="center" vertical="center" wrapText="1"/>
    </xf>
    <xf numFmtId="0" fontId="143" fillId="0" borderId="55" xfId="0" applyFont="1" applyFill="1" applyBorder="1" applyAlignment="1">
      <alignment horizontal="center" vertical="center" wrapText="1"/>
    </xf>
    <xf numFmtId="9" fontId="143" fillId="0" borderId="55" xfId="0" applyNumberFormat="1" applyFont="1" applyFill="1" applyBorder="1" applyAlignment="1">
      <alignment horizontal="center" vertical="center" wrapText="1"/>
    </xf>
    <xf numFmtId="9" fontId="143" fillId="0" borderId="53" xfId="0" applyNumberFormat="1" applyFont="1" applyFill="1" applyBorder="1" applyAlignment="1">
      <alignment horizontal="center" vertical="center" wrapText="1"/>
    </xf>
    <xf numFmtId="9" fontId="143" fillId="6" borderId="52" xfId="0" applyNumberFormat="1" applyFont="1" applyFill="1" applyBorder="1" applyAlignment="1">
      <alignment horizontal="center" vertical="center" wrapText="1"/>
    </xf>
    <xf numFmtId="0" fontId="143" fillId="6" borderId="55" xfId="0" applyFont="1" applyFill="1" applyBorder="1" applyAlignment="1">
      <alignment horizontal="center" vertical="center" wrapText="1"/>
    </xf>
    <xf numFmtId="9" fontId="143" fillId="0" borderId="52" xfId="0" applyNumberFormat="1" applyFont="1" applyFill="1" applyBorder="1" applyAlignment="1">
      <alignment horizontal="center" vertical="center" wrapText="1"/>
    </xf>
    <xf numFmtId="9" fontId="143" fillId="0" borderId="56" xfId="0" applyNumberFormat="1" applyFont="1" applyFill="1" applyBorder="1" applyAlignment="1">
      <alignment horizontal="center" vertical="center" wrapText="1"/>
    </xf>
    <xf numFmtId="9" fontId="143" fillId="0" borderId="57" xfId="0" applyNumberFormat="1" applyFont="1" applyFill="1" applyBorder="1" applyAlignment="1">
      <alignment horizontal="center" vertical="center" wrapText="1"/>
    </xf>
    <xf numFmtId="0" fontId="143" fillId="0" borderId="58" xfId="0" applyFont="1" applyBorder="1" applyAlignment="1">
      <alignment horizontal="center" vertical="center" wrapText="1"/>
    </xf>
    <xf numFmtId="0" fontId="143" fillId="0" borderId="33" xfId="0" applyFont="1" applyFill="1" applyBorder="1" applyAlignment="1">
      <alignment horizontal="center" vertical="center" wrapText="1"/>
    </xf>
    <xf numFmtId="175" fontId="143" fillId="0" borderId="2" xfId="0" applyNumberFormat="1" applyFont="1" applyFill="1" applyBorder="1" applyAlignment="1">
      <alignment horizontal="center" vertical="center" wrapText="1"/>
    </xf>
    <xf numFmtId="3" fontId="143" fillId="6" borderId="58" xfId="0" applyNumberFormat="1" applyFont="1" applyFill="1" applyBorder="1" applyAlignment="1">
      <alignment horizontal="center" vertical="center" wrapText="1"/>
    </xf>
    <xf numFmtId="3" fontId="143" fillId="6" borderId="2" xfId="0" applyNumberFormat="1" applyFont="1" applyFill="1" applyBorder="1" applyAlignment="1">
      <alignment horizontal="center" vertical="center" wrapText="1"/>
    </xf>
    <xf numFmtId="3" fontId="143" fillId="0" borderId="60" xfId="0" applyNumberFormat="1" applyFont="1" applyFill="1" applyBorder="1" applyAlignment="1">
      <alignment horizontal="center" vertical="center" wrapText="1"/>
    </xf>
    <xf numFmtId="3" fontId="143" fillId="0" borderId="61" xfId="0" applyNumberFormat="1" applyFont="1" applyFill="1" applyBorder="1" applyAlignment="1">
      <alignment horizontal="center" vertical="center" wrapText="1"/>
    </xf>
    <xf numFmtId="3" fontId="143" fillId="0" borderId="6" xfId="0" applyNumberFormat="1" applyFont="1" applyFill="1" applyBorder="1" applyAlignment="1">
      <alignment horizontal="center" vertical="center" wrapText="1"/>
    </xf>
    <xf numFmtId="3" fontId="143" fillId="0" borderId="33" xfId="0" applyNumberFormat="1" applyFont="1" applyFill="1" applyBorder="1" applyAlignment="1">
      <alignment vertical="center" wrapText="1"/>
    </xf>
    <xf numFmtId="3" fontId="143" fillId="0" borderId="59" xfId="0" applyNumberFormat="1" applyFont="1" applyBorder="1" applyAlignment="1">
      <alignment horizontal="center" vertical="center" wrapText="1"/>
    </xf>
    <xf numFmtId="175" fontId="143" fillId="0" borderId="33" xfId="0" applyNumberFormat="1" applyFont="1" applyBorder="1" applyAlignment="1">
      <alignment horizontal="center" vertical="center" wrapText="1"/>
    </xf>
    <xf numFmtId="3" fontId="143" fillId="0" borderId="58" xfId="0" applyNumberFormat="1" applyFont="1" applyBorder="1" applyAlignment="1">
      <alignment horizontal="center" vertical="center" wrapText="1"/>
    </xf>
    <xf numFmtId="175" fontId="143" fillId="0" borderId="2" xfId="0" applyNumberFormat="1" applyFont="1" applyBorder="1" applyAlignment="1">
      <alignment horizontal="center" vertical="center" wrapText="1"/>
    </xf>
    <xf numFmtId="3" fontId="143" fillId="0" borderId="2" xfId="0" applyNumberFormat="1" applyFont="1" applyBorder="1" applyAlignment="1">
      <alignment horizontal="center" vertical="center" wrapText="1"/>
    </xf>
    <xf numFmtId="0" fontId="0" fillId="6" borderId="58" xfId="0" applyFill="1" applyBorder="1"/>
    <xf numFmtId="0" fontId="0" fillId="0" borderId="2" xfId="0" applyBorder="1"/>
    <xf numFmtId="0" fontId="0" fillId="6" borderId="2" xfId="0" applyFill="1" applyBorder="1"/>
    <xf numFmtId="0" fontId="0" fillId="0" borderId="59" xfId="0" applyBorder="1"/>
    <xf numFmtId="0" fontId="0" fillId="0" borderId="58" xfId="0" applyBorder="1"/>
    <xf numFmtId="0" fontId="0" fillId="0" borderId="64" xfId="0" applyBorder="1"/>
    <xf numFmtId="0" fontId="0" fillId="0" borderId="0" xfId="0" applyBorder="1"/>
    <xf numFmtId="0" fontId="0" fillId="0" borderId="65" xfId="0" applyBorder="1"/>
    <xf numFmtId="0" fontId="143" fillId="53" borderId="58" xfId="0" applyFont="1" applyFill="1" applyBorder="1" applyAlignment="1">
      <alignment wrapText="1"/>
    </xf>
    <xf numFmtId="3" fontId="143" fillId="53" borderId="59" xfId="0" applyNumberFormat="1" applyFont="1" applyFill="1" applyBorder="1" applyAlignment="1">
      <alignment wrapText="1"/>
    </xf>
    <xf numFmtId="3" fontId="143" fillId="53" borderId="33" xfId="0" applyNumberFormat="1" applyFont="1" applyFill="1" applyBorder="1" applyAlignment="1">
      <alignment wrapText="1"/>
    </xf>
    <xf numFmtId="3" fontId="143" fillId="53" borderId="58" xfId="0" applyNumberFormat="1" applyFont="1" applyFill="1" applyBorder="1" applyAlignment="1">
      <alignment wrapText="1"/>
    </xf>
    <xf numFmtId="3" fontId="143" fillId="53" borderId="2" xfId="0" applyNumberFormat="1" applyFont="1" applyFill="1" applyBorder="1" applyAlignment="1">
      <alignment wrapText="1"/>
    </xf>
    <xf numFmtId="9" fontId="143" fillId="53" borderId="2" xfId="0" applyNumberFormat="1" applyFont="1" applyFill="1" applyBorder="1" applyAlignment="1">
      <alignment wrapText="1"/>
    </xf>
    <xf numFmtId="9" fontId="143" fillId="53" borderId="59" xfId="0" applyNumberFormat="1" applyFont="1" applyFill="1" applyBorder="1" applyAlignment="1">
      <alignment wrapText="1"/>
    </xf>
    <xf numFmtId="3" fontId="143" fillId="53" borderId="34" xfId="0" applyNumberFormat="1" applyFont="1" applyFill="1" applyBorder="1" applyAlignment="1">
      <alignment wrapText="1"/>
    </xf>
    <xf numFmtId="9" fontId="143" fillId="53" borderId="2" xfId="0" applyNumberFormat="1" applyFont="1" applyFill="1" applyBorder="1"/>
    <xf numFmtId="9" fontId="143" fillId="53" borderId="59" xfId="0" applyNumberFormat="1" applyFont="1" applyFill="1" applyBorder="1" applyAlignment="1">
      <alignment horizontal="right"/>
    </xf>
    <xf numFmtId="0" fontId="144" fillId="0" borderId="58" xfId="0" applyFont="1" applyBorder="1"/>
    <xf numFmtId="3" fontId="144" fillId="0" borderId="59" xfId="0" applyNumberFormat="1" applyFont="1" applyFill="1" applyBorder="1"/>
    <xf numFmtId="3" fontId="144" fillId="0" borderId="33" xfId="0" applyNumberFormat="1" applyFont="1" applyFill="1" applyBorder="1"/>
    <xf numFmtId="3" fontId="144" fillId="0" borderId="58" xfId="0" applyNumberFormat="1" applyFont="1" applyFill="1" applyBorder="1"/>
    <xf numFmtId="3" fontId="144" fillId="0" borderId="2" xfId="0" applyNumberFormat="1" applyFont="1" applyFill="1" applyBorder="1"/>
    <xf numFmtId="9" fontId="144" fillId="0" borderId="2" xfId="0" applyNumberFormat="1" applyFont="1" applyFill="1" applyBorder="1"/>
    <xf numFmtId="9" fontId="144" fillId="0" borderId="59" xfId="0" applyNumberFormat="1" applyFont="1" applyFill="1" applyBorder="1" applyAlignment="1">
      <alignment horizontal="right"/>
    </xf>
    <xf numFmtId="3" fontId="144" fillId="6" borderId="58" xfId="0" applyNumberFormat="1" applyFont="1" applyFill="1" applyBorder="1"/>
    <xf numFmtId="3" fontId="144" fillId="6" borderId="2" xfId="0" applyNumberFormat="1" applyFont="1" applyFill="1" applyBorder="1"/>
    <xf numFmtId="9" fontId="144" fillId="97" borderId="59" xfId="0" applyNumberFormat="1" applyFont="1" applyFill="1" applyBorder="1" applyAlignment="1">
      <alignment horizontal="right"/>
    </xf>
    <xf numFmtId="3" fontId="144" fillId="97" borderId="2" xfId="0" applyNumberFormat="1" applyFont="1" applyFill="1" applyBorder="1"/>
    <xf numFmtId="3" fontId="144" fillId="0" borderId="34" xfId="0" applyNumberFormat="1" applyFont="1" applyFill="1" applyBorder="1"/>
    <xf numFmtId="0" fontId="144" fillId="0" borderId="58" xfId="0" applyFont="1" applyFill="1" applyBorder="1"/>
    <xf numFmtId="0" fontId="143" fillId="53" borderId="58" xfId="0" applyFont="1" applyFill="1" applyBorder="1" applyAlignment="1">
      <alignment vertical="center" wrapText="1"/>
    </xf>
    <xf numFmtId="9" fontId="144" fillId="0" borderId="59" xfId="0" applyNumberFormat="1" applyFont="1" applyFill="1" applyBorder="1"/>
    <xf numFmtId="9" fontId="144" fillId="98" borderId="59" xfId="0" applyNumberFormat="1" applyFont="1" applyFill="1" applyBorder="1"/>
    <xf numFmtId="9" fontId="144" fillId="98" borderId="2" xfId="0" applyNumberFormat="1" applyFont="1" applyFill="1" applyBorder="1"/>
    <xf numFmtId="3" fontId="144" fillId="98" borderId="2" xfId="0" applyNumberFormat="1" applyFont="1" applyFill="1" applyBorder="1"/>
    <xf numFmtId="9" fontId="144" fillId="97" borderId="2" xfId="0" applyNumberFormat="1" applyFont="1" applyFill="1" applyBorder="1"/>
    <xf numFmtId="9" fontId="144" fillId="98" borderId="59" xfId="0" applyNumberFormat="1" applyFont="1" applyFill="1" applyBorder="1" applyAlignment="1">
      <alignment horizontal="right"/>
    </xf>
    <xf numFmtId="0" fontId="143" fillId="99" borderId="66" xfId="0" applyFont="1" applyFill="1" applyBorder="1"/>
    <xf numFmtId="3" fontId="143" fillId="99" borderId="67" xfId="0" applyNumberFormat="1" applyFont="1" applyFill="1" applyBorder="1"/>
    <xf numFmtId="3" fontId="143" fillId="99" borderId="68" xfId="0" applyNumberFormat="1" applyFont="1" applyFill="1" applyBorder="1"/>
    <xf numFmtId="3" fontId="143" fillId="99" borderId="66" xfId="0" applyNumberFormat="1" applyFont="1" applyFill="1" applyBorder="1"/>
    <xf numFmtId="3" fontId="143" fillId="99" borderId="69" xfId="0" applyNumberFormat="1" applyFont="1" applyFill="1" applyBorder="1"/>
    <xf numFmtId="9" fontId="143" fillId="99" borderId="69" xfId="0" applyNumberFormat="1" applyFont="1" applyFill="1" applyBorder="1"/>
    <xf numFmtId="9" fontId="143" fillId="99" borderId="67" xfId="0" applyNumberFormat="1" applyFont="1" applyFill="1" applyBorder="1"/>
    <xf numFmtId="3" fontId="143" fillId="99" borderId="70" xfId="0" applyNumberFormat="1" applyFont="1" applyFill="1" applyBorder="1"/>
    <xf numFmtId="9" fontId="143" fillId="99" borderId="2" xfId="0" applyNumberFormat="1" applyFont="1" applyFill="1" applyBorder="1"/>
    <xf numFmtId="9" fontId="143" fillId="99" borderId="59" xfId="0" applyNumberFormat="1" applyFont="1" applyFill="1" applyBorder="1" applyAlignment="1">
      <alignment horizontal="right"/>
    </xf>
    <xf numFmtId="0" fontId="143" fillId="0" borderId="0" xfId="0" applyFont="1" applyFill="1" applyBorder="1"/>
    <xf numFmtId="3" fontId="143" fillId="0" borderId="0" xfId="0" applyNumberFormat="1" applyFont="1" applyFill="1" applyBorder="1"/>
    <xf numFmtId="0" fontId="145" fillId="0" borderId="0" xfId="0" applyFont="1" applyFill="1"/>
    <xf numFmtId="9" fontId="143" fillId="0" borderId="0" xfId="0" applyNumberFormat="1" applyFont="1" applyFill="1" applyBorder="1"/>
    <xf numFmtId="0" fontId="145" fillId="6" borderId="0" xfId="0" applyFont="1" applyFill="1"/>
    <xf numFmtId="3" fontId="143" fillId="6" borderId="0" xfId="0" applyNumberFormat="1" applyFont="1" applyFill="1" applyBorder="1"/>
    <xf numFmtId="0" fontId="0" fillId="0" borderId="0" xfId="0" applyFill="1"/>
    <xf numFmtId="0" fontId="146" fillId="0" borderId="52" xfId="0" applyFont="1" applyFill="1" applyBorder="1" applyAlignment="1">
      <alignment horizontal="center" vertical="center" wrapText="1"/>
    </xf>
    <xf numFmtId="0" fontId="143" fillId="0" borderId="71" xfId="0" applyFont="1" applyFill="1" applyBorder="1" applyAlignment="1">
      <alignment horizontal="center" vertical="center" wrapText="1"/>
    </xf>
    <xf numFmtId="3" fontId="143" fillId="0" borderId="55" xfId="0" applyNumberFormat="1" applyFont="1" applyFill="1" applyBorder="1" applyAlignment="1">
      <alignment horizontal="center" vertical="center" wrapText="1"/>
    </xf>
    <xf numFmtId="3" fontId="143" fillId="6" borderId="55" xfId="0" applyNumberFormat="1" applyFont="1" applyFill="1" applyBorder="1" applyAlignment="1">
      <alignment horizontal="center" vertical="center" wrapText="1"/>
    </xf>
    <xf numFmtId="9" fontId="143" fillId="6" borderId="55" xfId="0" applyNumberFormat="1" applyFont="1" applyFill="1" applyBorder="1" applyAlignment="1">
      <alignment horizontal="center" vertical="center" wrapText="1"/>
    </xf>
    <xf numFmtId="9" fontId="143" fillId="0" borderId="72" xfId="0" applyNumberFormat="1" applyFont="1" applyFill="1" applyBorder="1" applyAlignment="1">
      <alignment horizontal="center" vertical="center" wrapText="1"/>
    </xf>
    <xf numFmtId="0" fontId="143" fillId="0" borderId="34" xfId="0" applyFont="1" applyFill="1" applyBorder="1" applyAlignment="1">
      <alignment horizontal="center" vertical="center" wrapText="1"/>
    </xf>
    <xf numFmtId="3" fontId="143" fillId="0" borderId="30" xfId="0" applyNumberFormat="1" applyFont="1" applyFill="1" applyBorder="1" applyAlignment="1">
      <alignment horizontal="center" vertical="center" wrapText="1"/>
    </xf>
    <xf numFmtId="9" fontId="144" fillId="0" borderId="32" xfId="0" applyNumberFormat="1" applyFont="1" applyFill="1" applyBorder="1"/>
    <xf numFmtId="3" fontId="144" fillId="98" borderId="58" xfId="0" applyNumberFormat="1" applyFont="1" applyFill="1" applyBorder="1"/>
    <xf numFmtId="3" fontId="144" fillId="97" borderId="58" xfId="0" applyNumberFormat="1" applyFont="1" applyFill="1" applyBorder="1"/>
    <xf numFmtId="0" fontId="144" fillId="0" borderId="58" xfId="0" applyFont="1" applyBorder="1" applyAlignment="1">
      <alignment wrapText="1"/>
    </xf>
    <xf numFmtId="9" fontId="144" fillId="97" borderId="59" xfId="0" applyNumberFormat="1" applyFont="1" applyFill="1" applyBorder="1"/>
    <xf numFmtId="9" fontId="143" fillId="99" borderId="73" xfId="0" applyNumberFormat="1" applyFont="1" applyFill="1" applyBorder="1"/>
    <xf numFmtId="0" fontId="72" fillId="0" borderId="0" xfId="0" applyFont="1" applyFill="1" applyBorder="1"/>
    <xf numFmtId="3" fontId="72" fillId="0" borderId="0" xfId="0" applyNumberFormat="1" applyFont="1" applyFill="1" applyBorder="1"/>
    <xf numFmtId="9" fontId="72" fillId="0" borderId="0" xfId="0" applyNumberFormat="1" applyFont="1" applyFill="1" applyBorder="1"/>
    <xf numFmtId="0" fontId="0" fillId="6" borderId="0" xfId="0" applyFill="1"/>
    <xf numFmtId="0" fontId="145" fillId="0" borderId="0" xfId="0" applyFont="1" applyAlignment="1">
      <alignment vertical="center" wrapText="1"/>
    </xf>
    <xf numFmtId="0" fontId="110" fillId="0" borderId="0" xfId="0" applyFont="1" applyFill="1" applyBorder="1"/>
    <xf numFmtId="3" fontId="147" fillId="0" borderId="0" xfId="0" applyNumberFormat="1" applyFont="1" applyFill="1" applyBorder="1"/>
    <xf numFmtId="9" fontId="147" fillId="0" borderId="0" xfId="0" applyNumberFormat="1" applyFont="1" applyFill="1" applyBorder="1"/>
    <xf numFmtId="0" fontId="23" fillId="0" borderId="0" xfId="0" applyFont="1" applyFill="1" applyBorder="1"/>
    <xf numFmtId="3" fontId="23" fillId="0" borderId="0" xfId="0" applyNumberFormat="1" applyFont="1" applyFill="1" applyBorder="1"/>
    <xf numFmtId="9" fontId="148" fillId="0" borderId="0" xfId="0" applyNumberFormat="1" applyFont="1" applyFill="1" applyBorder="1"/>
    <xf numFmtId="0" fontId="70" fillId="0" borderId="0" xfId="0" applyFont="1"/>
    <xf numFmtId="3" fontId="70" fillId="0" borderId="0" xfId="0" applyNumberFormat="1" applyFont="1"/>
    <xf numFmtId="9" fontId="149" fillId="0" borderId="0" xfId="0" applyNumberFormat="1" applyFont="1"/>
    <xf numFmtId="3" fontId="150" fillId="0" borderId="0" xfId="0" applyNumberFormat="1" applyFont="1" applyAlignment="1" applyProtection="1">
      <alignment horizontal="left" vertical="center"/>
      <protection locked="0"/>
    </xf>
    <xf numFmtId="9" fontId="125" fillId="0" borderId="0" xfId="0" applyNumberFormat="1" applyFont="1" applyAlignment="1" applyProtection="1">
      <alignment horizontal="left" vertical="center"/>
      <protection locked="0"/>
    </xf>
    <xf numFmtId="0" fontId="151" fillId="0" borderId="0" xfId="0" applyFont="1"/>
    <xf numFmtId="0" fontId="152" fillId="0" borderId="0" xfId="0" applyFont="1"/>
    <xf numFmtId="3" fontId="152" fillId="0" borderId="0" xfId="0" applyNumberFormat="1" applyFont="1"/>
    <xf numFmtId="9" fontId="153" fillId="0" borderId="0" xfId="0" applyNumberFormat="1" applyFont="1"/>
    <xf numFmtId="0" fontId="151" fillId="0" borderId="0" xfId="0" applyFont="1" applyAlignment="1">
      <alignment horizontal="left" wrapText="1"/>
    </xf>
    <xf numFmtId="3" fontId="151" fillId="0" borderId="0" xfId="0" applyNumberFormat="1" applyFont="1" applyAlignment="1">
      <alignment horizontal="left" wrapText="1"/>
    </xf>
    <xf numFmtId="9" fontId="154" fillId="0" borderId="0" xfId="0" applyNumberFormat="1" applyFont="1" applyAlignment="1">
      <alignment horizontal="left" wrapText="1"/>
    </xf>
    <xf numFmtId="0" fontId="23" fillId="0" borderId="0" xfId="0" applyFont="1"/>
    <xf numFmtId="3" fontId="155" fillId="0" borderId="0" xfId="0" applyNumberFormat="1" applyFont="1" applyAlignment="1" applyProtection="1">
      <alignment horizontal="left" vertical="center"/>
      <protection locked="0"/>
    </xf>
    <xf numFmtId="9" fontId="156" fillId="0" borderId="0" xfId="0" applyNumberFormat="1" applyFont="1" applyAlignment="1" applyProtection="1">
      <alignment horizontal="left" vertical="center"/>
      <protection locked="0"/>
    </xf>
    <xf numFmtId="49" fontId="23" fillId="0" borderId="0" xfId="0" applyNumberFormat="1" applyFont="1"/>
    <xf numFmtId="49" fontId="23" fillId="0" borderId="0" xfId="526" applyNumberFormat="1" applyFont="1" applyBorder="1" applyAlignment="1" applyProtection="1">
      <alignment horizontal="left"/>
    </xf>
    <xf numFmtId="9" fontId="144" fillId="51" borderId="2" xfId="0" applyNumberFormat="1" applyFont="1" applyFill="1" applyBorder="1"/>
    <xf numFmtId="0" fontId="109" fillId="3" borderId="2" xfId="5" applyFont="1" applyFill="1" applyBorder="1" applyAlignment="1" applyProtection="1">
      <alignment horizontal="center" vertical="center" wrapText="1"/>
    </xf>
    <xf numFmtId="0" fontId="58" fillId="0" borderId="0" xfId="0" applyFont="1"/>
    <xf numFmtId="3" fontId="148" fillId="100" borderId="2" xfId="0" applyNumberFormat="1" applyFont="1" applyFill="1" applyBorder="1"/>
    <xf numFmtId="3" fontId="148" fillId="100" borderId="0" xfId="0" applyNumberFormat="1" applyFont="1" applyFill="1" applyBorder="1"/>
    <xf numFmtId="0" fontId="54" fillId="0" borderId="0" xfId="5" applyFont="1" applyAlignment="1" applyProtection="1">
      <alignment horizontal="center"/>
    </xf>
    <xf numFmtId="0" fontId="69" fillId="0" borderId="0" xfId="5" applyFont="1" applyBorder="1" applyAlignment="1" applyProtection="1">
      <alignment horizontal="center"/>
    </xf>
    <xf numFmtId="0" fontId="53" fillId="0" borderId="0" xfId="5" applyFont="1" applyBorder="1" applyAlignment="1" applyProtection="1">
      <alignment horizontal="center"/>
    </xf>
    <xf numFmtId="3" fontId="71" fillId="52" borderId="6" xfId="210" applyNumberFormat="1" applyFont="1" applyFill="1" applyBorder="1" applyAlignment="1" applyProtection="1">
      <alignment vertical="center" wrapText="1"/>
      <protection locked="0"/>
    </xf>
    <xf numFmtId="4" fontId="10" fillId="0" borderId="0" xfId="0" applyNumberFormat="1" applyFont="1"/>
    <xf numFmtId="0" fontId="158" fillId="0" borderId="0" xfId="5" applyFont="1" applyAlignment="1" applyProtection="1">
      <alignment horizontal="center"/>
    </xf>
    <xf numFmtId="0" fontId="159" fillId="0" borderId="0" xfId="5" applyFont="1" applyBorder="1" applyAlignment="1" applyProtection="1">
      <alignment horizontal="center"/>
    </xf>
    <xf numFmtId="3" fontId="160" fillId="2" borderId="2" xfId="5" applyNumberFormat="1" applyFont="1" applyFill="1" applyBorder="1" applyAlignment="1" applyProtection="1">
      <alignment horizontal="center" vertical="center" wrapText="1"/>
    </xf>
    <xf numFmtId="3" fontId="15" fillId="0" borderId="2" xfId="5" applyNumberFormat="1" applyFont="1" applyFill="1" applyBorder="1" applyAlignment="1" applyProtection="1">
      <alignment horizontal="center" vertical="center" wrapText="1"/>
    </xf>
    <xf numFmtId="3" fontId="18" fillId="0" borderId="2" xfId="5" applyNumberFormat="1" applyFont="1" applyFill="1" applyBorder="1" applyAlignment="1" applyProtection="1">
      <alignment horizontal="center" vertical="center" wrapText="1"/>
      <protection locked="0"/>
    </xf>
    <xf numFmtId="0" fontId="161" fillId="0" borderId="0" xfId="5" applyFont="1" applyAlignment="1" applyProtection="1">
      <alignment horizontal="center"/>
    </xf>
    <xf numFmtId="0" fontId="162" fillId="0" borderId="0" xfId="5" applyFont="1" applyBorder="1" applyAlignment="1" applyProtection="1">
      <alignment horizontal="center"/>
    </xf>
    <xf numFmtId="0" fontId="132" fillId="3" borderId="4" xfId="5" applyFont="1" applyFill="1" applyBorder="1" applyAlignment="1" applyProtection="1">
      <alignment horizontal="center" vertical="center" wrapText="1"/>
    </xf>
    <xf numFmtId="0" fontId="132" fillId="3" borderId="2" xfId="5" applyFont="1" applyFill="1" applyBorder="1" applyAlignment="1" applyProtection="1">
      <alignment horizontal="center" vertical="center" wrapText="1"/>
    </xf>
    <xf numFmtId="3" fontId="163" fillId="0" borderId="2" xfId="0" applyNumberFormat="1" applyFont="1" applyBorder="1" applyAlignment="1" applyProtection="1">
      <alignment horizontal="center" vertical="center"/>
    </xf>
    <xf numFmtId="3" fontId="163" fillId="0" borderId="2" xfId="0" applyNumberFormat="1" applyFont="1" applyBorder="1" applyProtection="1"/>
    <xf numFmtId="3" fontId="164" fillId="0" borderId="2" xfId="5" applyNumberFormat="1" applyFont="1" applyFill="1" applyBorder="1" applyAlignment="1" applyProtection="1">
      <alignment horizontal="center" vertical="center" wrapText="1"/>
    </xf>
    <xf numFmtId="3" fontId="132" fillId="0" borderId="2" xfId="5" applyNumberFormat="1" applyFont="1" applyFill="1" applyBorder="1" applyAlignment="1" applyProtection="1">
      <alignment horizontal="center" vertical="center" wrapText="1"/>
    </xf>
    <xf numFmtId="3" fontId="165" fillId="0" borderId="2" xfId="5" applyNumberFormat="1" applyFont="1" applyFill="1" applyBorder="1" applyAlignment="1" applyProtection="1">
      <alignment horizontal="center" vertical="center" wrapText="1"/>
      <protection locked="0"/>
    </xf>
    <xf numFmtId="3" fontId="165" fillId="0" borderId="2" xfId="5" applyNumberFormat="1" applyFont="1" applyFill="1" applyBorder="1" applyAlignment="1" applyProtection="1">
      <alignment horizontal="center" vertical="center" wrapText="1"/>
    </xf>
    <xf numFmtId="3" fontId="166" fillId="2" borderId="2" xfId="5" applyNumberFormat="1" applyFont="1" applyFill="1" applyBorder="1" applyAlignment="1" applyProtection="1">
      <alignment horizontal="center" vertical="center" wrapText="1"/>
    </xf>
    <xf numFmtId="3" fontId="132" fillId="4" borderId="2" xfId="5" applyNumberFormat="1" applyFont="1" applyFill="1" applyBorder="1" applyAlignment="1" applyProtection="1">
      <alignment horizontal="center" vertical="center" wrapText="1"/>
    </xf>
    <xf numFmtId="0" fontId="131" fillId="0" borderId="0" xfId="0" applyFont="1" applyProtection="1"/>
    <xf numFmtId="3" fontId="132" fillId="3" borderId="2" xfId="5" applyNumberFormat="1" applyFont="1" applyFill="1" applyBorder="1" applyAlignment="1" applyProtection="1">
      <alignment horizontal="center" vertical="center" wrapText="1"/>
    </xf>
    <xf numFmtId="0" fontId="167" fillId="0" borderId="0" xfId="5" applyFont="1" applyAlignment="1" applyProtection="1">
      <protection locked="0"/>
    </xf>
    <xf numFmtId="0" fontId="167" fillId="0" borderId="0" xfId="5" applyFont="1" applyFill="1" applyAlignment="1" applyProtection="1">
      <protection locked="0"/>
    </xf>
    <xf numFmtId="0" fontId="54" fillId="0" borderId="0" xfId="5" applyFont="1" applyFill="1" applyAlignment="1" applyProtection="1">
      <protection locked="0"/>
    </xf>
    <xf numFmtId="0" fontId="168" fillId="0" borderId="0" xfId="0" applyFont="1" applyBorder="1"/>
    <xf numFmtId="0" fontId="169" fillId="0" borderId="0" xfId="0" applyFont="1" applyBorder="1"/>
    <xf numFmtId="0" fontId="51" fillId="0" borderId="0" xfId="0" applyFont="1" applyBorder="1"/>
    <xf numFmtId="0" fontId="168" fillId="0" borderId="0" xfId="0" applyFont="1"/>
    <xf numFmtId="0" fontId="170" fillId="0" borderId="0" xfId="5" applyFont="1" applyAlignment="1" applyProtection="1">
      <protection locked="0"/>
    </xf>
    <xf numFmtId="0" fontId="14" fillId="3" borderId="74" xfId="5" applyFont="1" applyFill="1" applyBorder="1" applyAlignment="1" applyProtection="1">
      <alignment horizontal="center" vertical="center" wrapText="1"/>
    </xf>
    <xf numFmtId="0" fontId="171" fillId="3" borderId="74" xfId="5" applyFont="1" applyFill="1" applyBorder="1" applyAlignment="1" applyProtection="1">
      <alignment horizontal="center" vertical="center" wrapText="1"/>
    </xf>
    <xf numFmtId="0" fontId="168" fillId="0" borderId="0" xfId="0" applyFont="1" applyProtection="1"/>
    <xf numFmtId="0" fontId="15" fillId="101" borderId="2" xfId="5" applyFont="1" applyFill="1" applyBorder="1" applyAlignment="1" applyProtection="1">
      <alignment horizontal="center" vertical="center" wrapText="1"/>
    </xf>
    <xf numFmtId="49" fontId="15" fillId="101" borderId="2" xfId="5" applyNumberFormat="1" applyFont="1" applyFill="1" applyBorder="1" applyAlignment="1" applyProtection="1">
      <alignment horizontal="center" vertical="center" wrapText="1"/>
    </xf>
    <xf numFmtId="49" fontId="172" fillId="101" borderId="2" xfId="5" applyNumberFormat="1" applyFont="1" applyFill="1" applyBorder="1" applyAlignment="1" applyProtection="1">
      <alignment horizontal="center" vertical="center" wrapText="1"/>
    </xf>
    <xf numFmtId="49" fontId="14" fillId="101" borderId="2" xfId="5" applyNumberFormat="1" applyFont="1" applyFill="1" applyBorder="1" applyAlignment="1" applyProtection="1">
      <alignment horizontal="center" vertical="center" wrapText="1"/>
    </xf>
    <xf numFmtId="0" fontId="173" fillId="0" borderId="0" xfId="0" applyFont="1" applyProtection="1"/>
    <xf numFmtId="0" fontId="174" fillId="0" borderId="0" xfId="0" applyFont="1" applyProtection="1"/>
    <xf numFmtId="3" fontId="15" fillId="0" borderId="2" xfId="0" applyNumberFormat="1" applyFont="1" applyFill="1" applyBorder="1" applyAlignment="1" applyProtection="1">
      <alignment horizontal="center" vertical="center"/>
      <protection locked="0"/>
    </xf>
    <xf numFmtId="3" fontId="175" fillId="0" borderId="2" xfId="0" applyNumberFormat="1" applyFont="1" applyFill="1" applyBorder="1" applyAlignment="1" applyProtection="1">
      <alignment horizontal="center" vertical="center"/>
      <protection locked="0"/>
    </xf>
    <xf numFmtId="3" fontId="172" fillId="0" borderId="2" xfId="0" applyNumberFormat="1" applyFont="1" applyFill="1" applyBorder="1" applyAlignment="1" applyProtection="1">
      <alignment horizontal="center" vertical="center"/>
      <protection locked="0"/>
    </xf>
    <xf numFmtId="3" fontId="14" fillId="0" borderId="2" xfId="0" applyNumberFormat="1" applyFont="1" applyFill="1" applyBorder="1" applyAlignment="1" applyProtection="1">
      <alignment horizontal="center" vertical="center"/>
      <protection locked="0"/>
    </xf>
    <xf numFmtId="3" fontId="15" fillId="0" borderId="2" xfId="0" applyNumberFormat="1" applyFont="1" applyFill="1" applyBorder="1" applyAlignment="1" applyProtection="1">
      <alignment horizontal="left" vertical="center"/>
      <protection locked="0"/>
    </xf>
    <xf numFmtId="0" fontId="174" fillId="0" borderId="0" xfId="0" applyFont="1" applyFill="1"/>
    <xf numFmtId="0" fontId="132" fillId="3" borderId="2" xfId="5" applyFont="1" applyFill="1" applyBorder="1" applyAlignment="1" applyProtection="1">
      <alignment horizontal="left" vertical="center" wrapText="1"/>
    </xf>
    <xf numFmtId="3" fontId="175" fillId="3" borderId="2" xfId="5" applyNumberFormat="1" applyFont="1" applyFill="1" applyBorder="1" applyAlignment="1" applyProtection="1">
      <alignment horizontal="center" vertical="center" wrapText="1"/>
    </xf>
    <xf numFmtId="3" fontId="171" fillId="3" borderId="2" xfId="5" applyNumberFormat="1" applyFont="1" applyFill="1" applyBorder="1" applyAlignment="1" applyProtection="1">
      <alignment horizontal="center" vertical="center" wrapText="1"/>
    </xf>
    <xf numFmtId="3" fontId="163" fillId="3" borderId="2" xfId="5" applyNumberFormat="1" applyFont="1" applyFill="1" applyBorder="1" applyAlignment="1" applyProtection="1">
      <alignment horizontal="left" vertical="center" wrapText="1"/>
    </xf>
    <xf numFmtId="3" fontId="15" fillId="3" borderId="2" xfId="0" applyNumberFormat="1" applyFont="1" applyFill="1" applyBorder="1" applyAlignment="1" applyProtection="1">
      <alignment horizontal="center" vertical="center"/>
      <protection locked="0"/>
    </xf>
    <xf numFmtId="0" fontId="51" fillId="0" borderId="0" xfId="0" applyFont="1" applyFill="1"/>
    <xf numFmtId="0" fontId="163" fillId="0" borderId="2" xfId="0" applyFont="1" applyBorder="1" applyProtection="1"/>
    <xf numFmtId="3" fontId="14" fillId="3" borderId="2" xfId="0" applyNumberFormat="1" applyFont="1" applyFill="1" applyBorder="1" applyAlignment="1" applyProtection="1">
      <alignment horizontal="center" vertical="center"/>
      <protection locked="0"/>
    </xf>
    <xf numFmtId="3" fontId="15" fillId="0" borderId="2" xfId="0" applyNumberFormat="1" applyFont="1" applyBorder="1" applyAlignment="1" applyProtection="1">
      <alignment horizontal="center" vertical="center"/>
      <protection locked="0"/>
    </xf>
    <xf numFmtId="3" fontId="14" fillId="102" borderId="2" xfId="0" applyNumberFormat="1" applyFont="1" applyFill="1" applyBorder="1" applyAlignment="1" applyProtection="1">
      <alignment horizontal="center" vertical="center"/>
      <protection locked="0"/>
    </xf>
    <xf numFmtId="3" fontId="175" fillId="102" borderId="2" xfId="0" applyNumberFormat="1" applyFont="1" applyFill="1" applyBorder="1" applyAlignment="1" applyProtection="1">
      <alignment horizontal="center" vertical="center"/>
      <protection locked="0"/>
    </xf>
    <xf numFmtId="3" fontId="171" fillId="102" borderId="2" xfId="0" applyNumberFormat="1" applyFont="1" applyFill="1" applyBorder="1" applyAlignment="1" applyProtection="1">
      <alignment horizontal="center" vertical="center"/>
      <protection locked="0"/>
    </xf>
    <xf numFmtId="3" fontId="15" fillId="102" borderId="2" xfId="0" applyNumberFormat="1" applyFont="1" applyFill="1" applyBorder="1" applyAlignment="1" applyProtection="1">
      <alignment horizontal="left" vertical="center"/>
      <protection locked="0"/>
    </xf>
    <xf numFmtId="0" fontId="173" fillId="102" borderId="0" xfId="0" applyFont="1" applyFill="1"/>
    <xf numFmtId="0" fontId="18" fillId="0" borderId="1" xfId="5" applyFont="1" applyFill="1" applyBorder="1" applyAlignment="1" applyProtection="1">
      <alignment horizontal="left" vertical="center" wrapText="1"/>
      <protection locked="0"/>
    </xf>
    <xf numFmtId="0" fontId="18" fillId="0" borderId="2" xfId="5" applyFont="1" applyFill="1" applyBorder="1" applyAlignment="1" applyProtection="1">
      <alignment horizontal="left" vertical="center" wrapText="1"/>
      <protection locked="0"/>
    </xf>
    <xf numFmtId="0" fontId="18" fillId="0" borderId="2" xfId="5" applyFont="1" applyFill="1" applyBorder="1" applyAlignment="1" applyProtection="1">
      <alignment horizontal="center" vertical="center" wrapText="1"/>
      <protection locked="0"/>
    </xf>
    <xf numFmtId="3" fontId="18" fillId="0" borderId="2" xfId="0" applyNumberFormat="1" applyFont="1" applyFill="1" applyBorder="1" applyAlignment="1" applyProtection="1">
      <alignment horizontal="center" vertical="center"/>
      <protection locked="0"/>
    </xf>
    <xf numFmtId="3" fontId="18" fillId="0" borderId="2" xfId="0" applyNumberFormat="1" applyFont="1" applyFill="1" applyBorder="1" applyAlignment="1" applyProtection="1">
      <alignment horizontal="center" vertical="center" wrapText="1"/>
      <protection locked="0"/>
    </xf>
    <xf numFmtId="3" fontId="18" fillId="0" borderId="2" xfId="0" applyNumberFormat="1" applyFont="1" applyFill="1" applyBorder="1" applyAlignment="1" applyProtection="1">
      <alignment horizontal="left" vertical="center" wrapText="1"/>
      <protection locked="0"/>
    </xf>
    <xf numFmtId="0" fontId="168" fillId="0" borderId="0" xfId="0" applyFont="1" applyFill="1"/>
    <xf numFmtId="0" fontId="173" fillId="0" borderId="0" xfId="0" applyFont="1"/>
    <xf numFmtId="3" fontId="15" fillId="0" borderId="2" xfId="5" applyNumberFormat="1" applyFont="1" applyFill="1" applyBorder="1" applyAlignment="1" applyProtection="1">
      <alignment horizontal="center" vertical="center"/>
      <protection locked="0"/>
    </xf>
    <xf numFmtId="0" fontId="176" fillId="0" borderId="0" xfId="0" applyFont="1" applyFill="1"/>
    <xf numFmtId="3" fontId="14" fillId="0" borderId="2" xfId="5" applyNumberFormat="1" applyFont="1" applyFill="1" applyBorder="1" applyAlignment="1" applyProtection="1">
      <alignment horizontal="center" vertical="center"/>
      <protection locked="0"/>
    </xf>
    <xf numFmtId="0" fontId="177" fillId="0" borderId="0" xfId="0" applyFont="1" applyFill="1"/>
    <xf numFmtId="3" fontId="18" fillId="104" borderId="2" xfId="0" applyNumberFormat="1" applyFont="1" applyFill="1" applyBorder="1" applyAlignment="1" applyProtection="1">
      <alignment horizontal="left" vertical="center" wrapText="1"/>
      <protection locked="0"/>
    </xf>
    <xf numFmtId="0" fontId="13" fillId="0" borderId="1" xfId="5" applyFont="1" applyFill="1" applyBorder="1" applyAlignment="1" applyProtection="1">
      <alignment horizontal="left" vertical="center" wrapText="1"/>
      <protection locked="0"/>
    </xf>
    <xf numFmtId="0" fontId="13" fillId="0" borderId="2" xfId="5" applyFont="1" applyFill="1" applyBorder="1" applyAlignment="1" applyProtection="1">
      <alignment horizontal="left" vertical="center" wrapText="1"/>
      <protection locked="0"/>
    </xf>
    <xf numFmtId="0" fontId="13" fillId="0" borderId="2" xfId="5" applyFont="1" applyFill="1" applyBorder="1" applyAlignment="1" applyProtection="1">
      <alignment horizontal="center" vertical="center" wrapText="1"/>
      <protection locked="0"/>
    </xf>
    <xf numFmtId="3" fontId="13" fillId="51" borderId="2" xfId="5" applyNumberFormat="1" applyFont="1" applyFill="1" applyBorder="1" applyAlignment="1" applyProtection="1">
      <alignment horizontal="center" vertical="center"/>
      <protection locked="0"/>
    </xf>
    <xf numFmtId="3" fontId="13" fillId="0" borderId="2" xfId="5" applyNumberFormat="1" applyFont="1" applyFill="1" applyBorder="1" applyAlignment="1" applyProtection="1">
      <alignment horizontal="center" vertical="center"/>
      <protection locked="0"/>
    </xf>
    <xf numFmtId="3" fontId="13" fillId="0" borderId="2" xfId="0" applyNumberFormat="1" applyFont="1" applyFill="1" applyBorder="1" applyAlignment="1" applyProtection="1">
      <alignment horizontal="center" vertical="center"/>
      <protection locked="0"/>
    </xf>
    <xf numFmtId="0" fontId="176" fillId="102" borderId="0" xfId="0" applyFont="1" applyFill="1"/>
    <xf numFmtId="3" fontId="174" fillId="0" borderId="0" xfId="0" applyNumberFormat="1" applyFont="1"/>
    <xf numFmtId="0" fontId="174" fillId="0" borderId="0" xfId="0" applyFont="1"/>
    <xf numFmtId="0" fontId="176" fillId="0" borderId="0" xfId="0" applyFont="1"/>
    <xf numFmtId="0" fontId="178" fillId="0" borderId="2" xfId="0" applyFont="1" applyFill="1" applyBorder="1" applyAlignment="1">
      <alignment horizontal="left" vertical="top" wrapText="1"/>
    </xf>
    <xf numFmtId="3" fontId="174" fillId="0" borderId="0" xfId="0" applyNumberFormat="1" applyFont="1" applyFill="1"/>
    <xf numFmtId="0" fontId="18" fillId="0" borderId="2" xfId="0" applyNumberFormat="1" applyFont="1" applyFill="1" applyBorder="1" applyAlignment="1" applyProtection="1">
      <alignment horizontal="left" vertical="center" wrapText="1"/>
      <protection locked="0"/>
    </xf>
    <xf numFmtId="3" fontId="163" fillId="102" borderId="2" xfId="0" applyNumberFormat="1" applyFont="1" applyFill="1" applyBorder="1" applyAlignment="1" applyProtection="1">
      <alignment horizontal="left" vertical="center"/>
      <protection locked="0"/>
    </xf>
    <xf numFmtId="3" fontId="165" fillId="0" borderId="2" xfId="5" applyNumberFormat="1" applyFont="1" applyFill="1" applyBorder="1" applyAlignment="1" applyProtection="1">
      <alignment horizontal="center" vertical="center"/>
      <protection locked="0"/>
    </xf>
    <xf numFmtId="3" fontId="18" fillId="0" borderId="2" xfId="0" applyNumberFormat="1" applyFont="1" applyFill="1" applyBorder="1" applyAlignment="1" applyProtection="1">
      <alignment horizontal="left" vertical="center"/>
      <protection locked="0"/>
    </xf>
    <xf numFmtId="0" fontId="53" fillId="0" borderId="0" xfId="5" applyFont="1" applyFill="1" applyBorder="1" applyAlignment="1" applyProtection="1">
      <protection locked="0"/>
    </xf>
    <xf numFmtId="3" fontId="53" fillId="0" borderId="0" xfId="5" applyNumberFormat="1" applyFont="1" applyFill="1" applyBorder="1" applyAlignment="1" applyProtection="1">
      <protection locked="0"/>
    </xf>
    <xf numFmtId="167" fontId="52" fillId="0" borderId="0" xfId="5" applyNumberFormat="1" applyFont="1" applyFill="1" applyBorder="1" applyAlignment="1" applyProtection="1">
      <alignment horizontal="center" vertical="center" wrapText="1"/>
      <protection locked="0"/>
    </xf>
    <xf numFmtId="167" fontId="179" fillId="0" borderId="0" xfId="5" applyNumberFormat="1" applyFont="1" applyFill="1" applyBorder="1" applyAlignment="1" applyProtection="1">
      <alignment horizontal="center" vertical="center" wrapText="1"/>
      <protection locked="0"/>
    </xf>
    <xf numFmtId="0" fontId="168" fillId="0" borderId="0" xfId="0" applyFont="1" applyFill="1" applyAlignment="1">
      <alignment horizontal="left"/>
    </xf>
    <xf numFmtId="0" fontId="168" fillId="0" borderId="0" xfId="0" applyFont="1" applyFill="1" applyAlignment="1">
      <alignment wrapText="1"/>
    </xf>
    <xf numFmtId="3" fontId="168" fillId="0" borderId="0" xfId="0" applyNumberFormat="1" applyFont="1"/>
    <xf numFmtId="4" fontId="168" fillId="0" borderId="0" xfId="0" applyNumberFormat="1" applyFont="1" applyFill="1"/>
    <xf numFmtId="0" fontId="180" fillId="0" borderId="0" xfId="0" applyFont="1" applyAlignment="1">
      <alignment vertical="center"/>
    </xf>
    <xf numFmtId="0" fontId="181" fillId="0" borderId="0" xfId="0" applyFont="1" applyFill="1"/>
    <xf numFmtId="0" fontId="182" fillId="0" borderId="0" xfId="0" applyFont="1" applyFill="1"/>
    <xf numFmtId="0" fontId="181" fillId="0" borderId="0" xfId="0" applyFont="1"/>
    <xf numFmtId="0" fontId="70" fillId="0" borderId="0" xfId="0" applyFont="1" applyFill="1" applyAlignment="1">
      <alignment vertical="center"/>
    </xf>
    <xf numFmtId="0" fontId="183" fillId="0" borderId="0" xfId="0" applyFont="1" applyFill="1" applyAlignment="1">
      <alignment vertical="center"/>
    </xf>
    <xf numFmtId="0" fontId="183" fillId="0" borderId="0" xfId="0" applyFont="1" applyFill="1" applyAlignment="1">
      <alignment horizontal="left" vertical="center"/>
    </xf>
    <xf numFmtId="0" fontId="157" fillId="0" borderId="0" xfId="526" applyFill="1" applyAlignment="1" applyProtection="1">
      <alignment vertical="center"/>
    </xf>
    <xf numFmtId="0" fontId="168" fillId="0" borderId="0" xfId="0" applyFont="1" applyAlignment="1">
      <alignment horizontal="left"/>
    </xf>
    <xf numFmtId="4" fontId="51" fillId="0" borderId="0" xfId="0" applyNumberFormat="1" applyFont="1" applyFill="1"/>
    <xf numFmtId="0" fontId="168" fillId="0" borderId="0" xfId="0" applyFont="1" applyAlignment="1">
      <alignment wrapText="1"/>
    </xf>
    <xf numFmtId="0" fontId="158" fillId="0" borderId="0" xfId="5" applyFont="1" applyFill="1" applyAlignment="1" applyProtection="1">
      <protection locked="0"/>
    </xf>
    <xf numFmtId="0" fontId="186" fillId="0" borderId="0" xfId="0" applyFont="1" applyFill="1"/>
    <xf numFmtId="4" fontId="174" fillId="0" borderId="0" xfId="0" applyNumberFormat="1" applyFont="1" applyFill="1"/>
    <xf numFmtId="3" fontId="51" fillId="0" borderId="0" xfId="0" applyNumberFormat="1" applyFont="1"/>
    <xf numFmtId="9" fontId="144" fillId="51" borderId="59" xfId="0" applyNumberFormat="1" applyFont="1" applyFill="1" applyBorder="1" applyAlignment="1">
      <alignment horizontal="right"/>
    </xf>
    <xf numFmtId="0" fontId="14" fillId="3" borderId="28" xfId="5"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protection locked="0"/>
    </xf>
    <xf numFmtId="9" fontId="187" fillId="0" borderId="55" xfId="0" applyNumberFormat="1" applyFont="1" applyFill="1" applyBorder="1" applyAlignment="1">
      <alignment horizontal="center" vertical="center" wrapText="1"/>
    </xf>
    <xf numFmtId="3" fontId="187" fillId="0" borderId="6" xfId="0" applyNumberFormat="1" applyFont="1" applyFill="1" applyBorder="1" applyAlignment="1">
      <alignment horizontal="center" vertical="center" wrapText="1"/>
    </xf>
    <xf numFmtId="0" fontId="131" fillId="0" borderId="65" xfId="0" applyFont="1" applyBorder="1"/>
    <xf numFmtId="3" fontId="187" fillId="53" borderId="2" xfId="0" applyNumberFormat="1" applyFont="1" applyFill="1" applyBorder="1" applyAlignment="1">
      <alignment wrapText="1"/>
    </xf>
    <xf numFmtId="3" fontId="188" fillId="51" borderId="2" xfId="0" applyNumberFormat="1" applyFont="1" applyFill="1" applyBorder="1"/>
    <xf numFmtId="3" fontId="188" fillId="0" borderId="2" xfId="0" applyNumberFormat="1" applyFont="1" applyFill="1" applyBorder="1"/>
    <xf numFmtId="3" fontId="187" fillId="99" borderId="69" xfId="0" applyNumberFormat="1" applyFont="1" applyFill="1" applyBorder="1"/>
    <xf numFmtId="3" fontId="143" fillId="99" borderId="2" xfId="0" applyNumberFormat="1" applyFont="1" applyFill="1" applyBorder="1"/>
    <xf numFmtId="0" fontId="189" fillId="0" borderId="0" xfId="5" applyFont="1" applyFill="1" applyBorder="1" applyAlignment="1" applyProtection="1">
      <protection locked="0"/>
    </xf>
    <xf numFmtId="49" fontId="53" fillId="0" borderId="0" xfId="5" applyNumberFormat="1" applyFont="1" applyFill="1" applyBorder="1" applyAlignment="1" applyProtection="1">
      <protection locked="0"/>
    </xf>
    <xf numFmtId="0" fontId="190" fillId="0" borderId="30" xfId="0" applyFont="1" applyFill="1" applyBorder="1" applyAlignment="1"/>
    <xf numFmtId="0" fontId="53" fillId="105" borderId="2" xfId="5" applyFont="1" applyFill="1" applyBorder="1" applyAlignment="1" applyProtection="1">
      <alignment horizontal="center" vertical="center"/>
      <protection locked="0"/>
    </xf>
    <xf numFmtId="49" fontId="168" fillId="0" borderId="0" xfId="0" applyNumberFormat="1" applyFont="1"/>
    <xf numFmtId="4" fontId="191" fillId="0" borderId="0" xfId="0" applyNumberFormat="1" applyFont="1" applyFill="1"/>
    <xf numFmtId="0" fontId="15" fillId="5" borderId="76" xfId="5" applyFont="1" applyFill="1" applyBorder="1" applyAlignment="1" applyProtection="1">
      <alignment horizontal="center" vertical="center" wrapText="1"/>
    </xf>
    <xf numFmtId="49" fontId="14" fillId="3" borderId="3" xfId="5" applyNumberFormat="1" applyFont="1" applyFill="1" applyBorder="1" applyAlignment="1" applyProtection="1">
      <alignment horizontal="left" vertical="center" wrapText="1"/>
    </xf>
    <xf numFmtId="0" fontId="192" fillId="3" borderId="4" xfId="5" applyFont="1" applyFill="1" applyBorder="1" applyAlignment="1" applyProtection="1">
      <alignment horizontal="center" vertical="center" wrapText="1"/>
    </xf>
    <xf numFmtId="0" fontId="14" fillId="3" borderId="77" xfId="5" applyFont="1" applyFill="1" applyBorder="1" applyAlignment="1" applyProtection="1">
      <alignment horizontal="center" vertical="center" wrapText="1"/>
    </xf>
    <xf numFmtId="0" fontId="14" fillId="3" borderId="3" xfId="5" applyFont="1" applyFill="1" applyBorder="1" applyAlignment="1" applyProtection="1">
      <alignment horizontal="center" vertical="center" wrapText="1"/>
    </xf>
    <xf numFmtId="49" fontId="175" fillId="101" borderId="2" xfId="5" applyNumberFormat="1" applyFont="1" applyFill="1" applyBorder="1" applyAlignment="1" applyProtection="1">
      <alignment horizontal="center" vertical="center" wrapText="1"/>
    </xf>
    <xf numFmtId="0" fontId="15" fillId="101" borderId="32" xfId="5" applyFont="1" applyFill="1" applyBorder="1" applyAlignment="1" applyProtection="1">
      <alignment horizontal="center" vertical="center" wrapText="1"/>
    </xf>
    <xf numFmtId="0" fontId="15" fillId="101" borderId="1" xfId="5" applyFont="1" applyFill="1" applyBorder="1" applyAlignment="1" applyProtection="1">
      <alignment horizontal="center" vertical="center" wrapText="1"/>
    </xf>
    <xf numFmtId="49" fontId="174" fillId="0" borderId="2" xfId="0" applyNumberFormat="1" applyFont="1" applyBorder="1" applyProtection="1"/>
    <xf numFmtId="3" fontId="193" fillId="6" borderId="2" xfId="0" applyNumberFormat="1" applyFont="1" applyFill="1" applyBorder="1" applyAlignment="1" applyProtection="1">
      <alignment horizontal="center" vertical="center"/>
      <protection locked="0"/>
    </xf>
    <xf numFmtId="3" fontId="15" fillId="0" borderId="32" xfId="0" applyNumberFormat="1" applyFont="1" applyFill="1" applyBorder="1" applyAlignment="1" applyProtection="1">
      <alignment horizontal="center" vertical="center"/>
      <protection locked="0"/>
    </xf>
    <xf numFmtId="3" fontId="15" fillId="0" borderId="1" xfId="0" applyNumberFormat="1" applyFont="1" applyFill="1" applyBorder="1" applyAlignment="1" applyProtection="1">
      <alignment horizontal="center" vertical="center"/>
      <protection locked="0"/>
    </xf>
    <xf numFmtId="49" fontId="132" fillId="3" borderId="2" xfId="5" applyNumberFormat="1" applyFont="1" applyFill="1" applyBorder="1" applyAlignment="1" applyProtection="1">
      <alignment horizontal="left" vertical="center" wrapText="1"/>
    </xf>
    <xf numFmtId="0" fontId="192" fillId="3" borderId="2" xfId="5" applyFont="1" applyFill="1" applyBorder="1" applyAlignment="1" applyProtection="1">
      <alignment horizontal="left" vertical="center" wrapText="1"/>
    </xf>
    <xf numFmtId="3" fontId="132" fillId="3" borderId="32" xfId="5" applyNumberFormat="1" applyFont="1" applyFill="1" applyBorder="1" applyAlignment="1" applyProtection="1">
      <alignment horizontal="center" vertical="center" wrapText="1"/>
    </xf>
    <xf numFmtId="3" fontId="132" fillId="3" borderId="1" xfId="5" applyNumberFormat="1" applyFont="1" applyFill="1" applyBorder="1" applyAlignment="1" applyProtection="1">
      <alignment horizontal="center" vertical="center" wrapText="1"/>
    </xf>
    <xf numFmtId="49" fontId="51" fillId="0" borderId="2" xfId="0" applyNumberFormat="1" applyFont="1" applyBorder="1" applyProtection="1"/>
    <xf numFmtId="0" fontId="192" fillId="3" borderId="2" xfId="5" applyFont="1" applyFill="1" applyBorder="1" applyAlignment="1" applyProtection="1">
      <alignment horizontal="center" vertical="center" wrapText="1"/>
    </xf>
    <xf numFmtId="3" fontId="15" fillId="0" borderId="32" xfId="0" applyNumberFormat="1" applyFont="1" applyBorder="1" applyAlignment="1" applyProtection="1">
      <alignment horizontal="center" vertical="center"/>
      <protection locked="0"/>
    </xf>
    <xf numFmtId="3" fontId="15" fillId="0" borderId="1" xfId="0" applyNumberFormat="1" applyFont="1" applyBorder="1" applyAlignment="1" applyProtection="1">
      <alignment horizontal="center" vertical="center"/>
      <protection locked="0"/>
    </xf>
    <xf numFmtId="49" fontId="15" fillId="102" borderId="75" xfId="5" applyNumberFormat="1" applyFont="1" applyFill="1" applyBorder="1" applyAlignment="1" applyProtection="1">
      <alignment vertical="center" wrapText="1"/>
      <protection locked="0"/>
    </xf>
    <xf numFmtId="0" fontId="15" fillId="102" borderId="33" xfId="5" applyFont="1" applyFill="1" applyBorder="1" applyAlignment="1" applyProtection="1">
      <alignment vertical="center" wrapText="1"/>
      <protection locked="0"/>
    </xf>
    <xf numFmtId="0" fontId="15" fillId="102" borderId="34" xfId="5" applyFont="1" applyFill="1" applyBorder="1" applyAlignment="1" applyProtection="1">
      <alignment vertical="center" wrapText="1"/>
      <protection locked="0"/>
    </xf>
    <xf numFmtId="3" fontId="192" fillId="102" borderId="2" xfId="0" applyNumberFormat="1" applyFont="1" applyFill="1" applyBorder="1" applyAlignment="1" applyProtection="1">
      <alignment horizontal="center" vertical="center"/>
      <protection locked="0"/>
    </xf>
    <xf numFmtId="3" fontId="14" fillId="102" borderId="32" xfId="0" applyNumberFormat="1" applyFont="1" applyFill="1" applyBorder="1" applyAlignment="1" applyProtection="1">
      <alignment horizontal="center" vertical="center"/>
      <protection locked="0"/>
    </xf>
    <xf numFmtId="3" fontId="14" fillId="102" borderId="1" xfId="0" applyNumberFormat="1" applyFont="1" applyFill="1" applyBorder="1" applyAlignment="1" applyProtection="1">
      <alignment horizontal="center" vertical="center"/>
      <protection locked="0"/>
    </xf>
    <xf numFmtId="3" fontId="13" fillId="3" borderId="2" xfId="0" applyNumberFormat="1" applyFont="1" applyFill="1" applyBorder="1" applyAlignment="1" applyProtection="1">
      <alignment horizontal="center" vertical="center"/>
      <protection locked="0"/>
    </xf>
    <xf numFmtId="3" fontId="194" fillId="0" borderId="2" xfId="0" applyNumberFormat="1" applyFont="1" applyFill="1" applyBorder="1" applyAlignment="1" applyProtection="1">
      <alignment horizontal="center" vertical="center"/>
      <protection locked="0"/>
    </xf>
    <xf numFmtId="3" fontId="195" fillId="0" borderId="2" xfId="0" applyNumberFormat="1" applyFont="1" applyFill="1" applyBorder="1" applyAlignment="1" applyProtection="1">
      <alignment horizontal="center" vertical="center"/>
      <protection locked="0"/>
    </xf>
    <xf numFmtId="3" fontId="13" fillId="0" borderId="2" xfId="0" applyNumberFormat="1" applyFont="1" applyFill="1" applyBorder="1" applyAlignment="1" applyProtection="1">
      <alignment horizontal="center" vertical="center" wrapText="1"/>
      <protection locked="0"/>
    </xf>
    <xf numFmtId="3" fontId="13" fillId="3" borderId="2" xfId="0" applyNumberFormat="1" applyFont="1" applyFill="1" applyBorder="1" applyAlignment="1" applyProtection="1">
      <alignment horizontal="center" vertical="center" wrapText="1"/>
      <protection locked="0"/>
    </xf>
    <xf numFmtId="3" fontId="13" fillId="0" borderId="32" xfId="0" applyNumberFormat="1" applyFont="1" applyFill="1" applyBorder="1" applyAlignment="1" applyProtection="1">
      <alignment horizontal="center" vertical="center"/>
      <protection locked="0"/>
    </xf>
    <xf numFmtId="3" fontId="13" fillId="0" borderId="1" xfId="0" applyNumberFormat="1" applyFont="1" applyFill="1" applyBorder="1" applyAlignment="1" applyProtection="1">
      <alignment horizontal="center" vertical="center"/>
      <protection locked="0"/>
    </xf>
    <xf numFmtId="3" fontId="13" fillId="3" borderId="2" xfId="5" applyNumberFormat="1" applyFont="1" applyFill="1" applyBorder="1" applyAlignment="1" applyProtection="1">
      <alignment horizontal="center" vertical="center" wrapText="1"/>
      <protection locked="0"/>
    </xf>
    <xf numFmtId="3" fontId="13" fillId="0" borderId="32" xfId="5" applyNumberFormat="1" applyFont="1" applyFill="1" applyBorder="1" applyAlignment="1" applyProtection="1">
      <alignment horizontal="center" vertical="center"/>
      <protection locked="0"/>
    </xf>
    <xf numFmtId="3" fontId="13" fillId="0" borderId="1" xfId="5" applyNumberFormat="1" applyFont="1" applyFill="1" applyBorder="1" applyAlignment="1" applyProtection="1">
      <alignment horizontal="center" vertical="center"/>
      <protection locked="0"/>
    </xf>
    <xf numFmtId="3" fontId="13" fillId="0" borderId="2" xfId="0" applyNumberFormat="1" applyFont="1" applyFill="1" applyBorder="1" applyAlignment="1" applyProtection="1">
      <alignment horizontal="left" vertical="center" wrapText="1"/>
      <protection locked="0"/>
    </xf>
    <xf numFmtId="3" fontId="195" fillId="51" borderId="2" xfId="0" applyNumberFormat="1" applyFont="1" applyFill="1" applyBorder="1" applyAlignment="1" applyProtection="1">
      <alignment horizontal="center" vertical="center"/>
      <protection locked="0"/>
    </xf>
    <xf numFmtId="3" fontId="13" fillId="3" borderId="2" xfId="5" applyNumberFormat="1" applyFont="1" applyFill="1" applyBorder="1" applyAlignment="1" applyProtection="1">
      <alignment horizontal="center" vertical="center"/>
      <protection locked="0"/>
    </xf>
    <xf numFmtId="3" fontId="194" fillId="0" borderId="2" xfId="5" applyNumberFormat="1" applyFont="1" applyFill="1" applyBorder="1" applyAlignment="1" applyProtection="1">
      <alignment horizontal="center" vertical="center"/>
      <protection locked="0"/>
    </xf>
    <xf numFmtId="3" fontId="195" fillId="103" borderId="2" xfId="5" applyNumberFormat="1" applyFont="1" applyFill="1" applyBorder="1" applyAlignment="1" applyProtection="1">
      <alignment horizontal="center" vertical="center"/>
      <protection locked="0"/>
    </xf>
    <xf numFmtId="3" fontId="195" fillId="0" borderId="2" xfId="5" applyNumberFormat="1" applyFont="1" applyFill="1" applyBorder="1" applyAlignment="1" applyProtection="1">
      <alignment horizontal="center" vertical="center"/>
      <protection locked="0"/>
    </xf>
    <xf numFmtId="49" fontId="13" fillId="0" borderId="1" xfId="5" applyNumberFormat="1" applyFont="1" applyFill="1" applyBorder="1" applyAlignment="1" applyProtection="1">
      <alignment horizontal="left" vertical="center" wrapText="1"/>
      <protection locked="0"/>
    </xf>
    <xf numFmtId="3" fontId="13" fillId="0" borderId="2" xfId="5" applyNumberFormat="1" applyFont="1" applyFill="1" applyBorder="1" applyAlignment="1" applyProtection="1">
      <alignment horizontal="center" vertical="center"/>
    </xf>
    <xf numFmtId="3" fontId="195" fillId="51" borderId="2" xfId="5" applyNumberFormat="1" applyFont="1" applyFill="1" applyBorder="1" applyAlignment="1" applyProtection="1">
      <alignment horizontal="center" vertical="center"/>
      <protection locked="0"/>
    </xf>
    <xf numFmtId="0" fontId="15" fillId="102" borderId="75" xfId="5" applyFont="1" applyFill="1" applyBorder="1" applyAlignment="1" applyProtection="1">
      <alignment vertical="center" wrapText="1"/>
      <protection locked="0"/>
    </xf>
    <xf numFmtId="3" fontId="13" fillId="6" borderId="2" xfId="0" applyNumberFormat="1" applyFont="1" applyFill="1" applyBorder="1" applyAlignment="1" applyProtection="1">
      <alignment horizontal="center" vertical="center"/>
      <protection locked="0"/>
    </xf>
    <xf numFmtId="3" fontId="196" fillId="0" borderId="78" xfId="210" applyNumberFormat="1" applyFont="1" applyFill="1" applyBorder="1" applyAlignment="1" applyProtection="1">
      <alignment horizontal="center" vertical="center"/>
      <protection locked="0"/>
    </xf>
    <xf numFmtId="3" fontId="196" fillId="0" borderId="79" xfId="210" applyNumberFormat="1" applyFont="1" applyFill="1" applyBorder="1" applyAlignment="1" applyProtection="1">
      <alignment horizontal="center" vertical="center"/>
      <protection locked="0"/>
    </xf>
    <xf numFmtId="3" fontId="13" fillId="0" borderId="80" xfId="5" applyNumberFormat="1" applyFont="1" applyFill="1" applyBorder="1" applyAlignment="1" applyProtection="1">
      <alignment horizontal="center" vertical="center"/>
      <protection locked="0"/>
    </xf>
    <xf numFmtId="3" fontId="13" fillId="6" borderId="1" xfId="5" applyNumberFormat="1" applyFont="1" applyFill="1" applyBorder="1" applyAlignment="1" applyProtection="1">
      <alignment horizontal="center" vertical="center"/>
      <protection locked="0"/>
    </xf>
    <xf numFmtId="3" fontId="13" fillId="6" borderId="2" xfId="5" applyNumberFormat="1" applyFont="1" applyFill="1" applyBorder="1" applyAlignment="1" applyProtection="1">
      <alignment horizontal="center" vertical="center"/>
      <protection locked="0"/>
    </xf>
    <xf numFmtId="3" fontId="195" fillId="6" borderId="2" xfId="5" applyNumberFormat="1" applyFont="1" applyFill="1" applyBorder="1" applyAlignment="1" applyProtection="1">
      <alignment horizontal="center" vertical="center"/>
      <protection locked="0"/>
    </xf>
    <xf numFmtId="3" fontId="13" fillId="6" borderId="32" xfId="5" applyNumberFormat="1" applyFont="1" applyFill="1" applyBorder="1" applyAlignment="1" applyProtection="1">
      <alignment horizontal="center" vertical="center"/>
      <protection locked="0"/>
    </xf>
    <xf numFmtId="3" fontId="174" fillId="0" borderId="0" xfId="0" applyNumberFormat="1" applyFont="1" applyProtection="1"/>
    <xf numFmtId="3" fontId="175" fillId="98" borderId="2" xfId="5" applyNumberFormat="1" applyFont="1" applyFill="1" applyBorder="1" applyAlignment="1" applyProtection="1">
      <alignment horizontal="center" vertical="center"/>
      <protection locked="0"/>
    </xf>
    <xf numFmtId="3" fontId="194" fillId="98" borderId="2" xfId="5" applyNumberFormat="1" applyFont="1" applyFill="1" applyBorder="1" applyAlignment="1" applyProtection="1">
      <alignment horizontal="center" vertical="center"/>
      <protection locked="0"/>
    </xf>
    <xf numFmtId="49" fontId="13" fillId="0" borderId="2" xfId="5" applyNumberFormat="1" applyFont="1" applyFill="1" applyBorder="1" applyAlignment="1" applyProtection="1">
      <alignment horizontal="left" vertical="center" wrapText="1"/>
      <protection locked="0"/>
    </xf>
    <xf numFmtId="3" fontId="13" fillId="0" borderId="75" xfId="5" applyNumberFormat="1" applyFont="1" applyFill="1" applyBorder="1" applyAlignment="1" applyProtection="1">
      <alignment horizontal="center" vertical="center"/>
      <protection locked="0"/>
    </xf>
    <xf numFmtId="0" fontId="178" fillId="0" borderId="0" xfId="0" applyFont="1" applyFill="1"/>
    <xf numFmtId="0" fontId="191" fillId="0" borderId="0" xfId="0" applyFont="1" applyFill="1"/>
    <xf numFmtId="0" fontId="197" fillId="0" borderId="0" xfId="0" applyFont="1" applyFill="1"/>
    <xf numFmtId="49" fontId="51" fillId="0" borderId="0" xfId="0" applyNumberFormat="1" applyFont="1" applyFill="1"/>
    <xf numFmtId="0" fontId="198" fillId="0" borderId="0" xfId="0" applyFont="1" applyFill="1"/>
    <xf numFmtId="14" fontId="70" fillId="0" borderId="0" xfId="0" applyNumberFormat="1" applyFont="1" applyFill="1" applyAlignment="1">
      <alignment vertical="center"/>
    </xf>
    <xf numFmtId="3" fontId="200" fillId="0" borderId="0" xfId="0" applyNumberFormat="1" applyFont="1" applyAlignment="1" applyProtection="1">
      <alignment horizontal="justify" vertical="center" wrapText="1"/>
      <protection locked="0"/>
    </xf>
    <xf numFmtId="0" fontId="199" fillId="0" borderId="0" xfId="0" applyFont="1" applyFill="1"/>
    <xf numFmtId="3" fontId="201" fillId="0" borderId="0" xfId="0" applyNumberFormat="1" applyFont="1" applyAlignment="1" applyProtection="1">
      <alignment horizontal="center" vertical="center"/>
      <protection locked="0"/>
    </xf>
    <xf numFmtId="3" fontId="202" fillId="0" borderId="0" xfId="0" applyNumberFormat="1" applyFont="1" applyAlignment="1" applyProtection="1">
      <alignment horizontal="center" vertical="center"/>
      <protection locked="0"/>
    </xf>
    <xf numFmtId="49" fontId="168" fillId="0" borderId="0" xfId="0" applyNumberFormat="1" applyFont="1" applyFill="1"/>
    <xf numFmtId="0" fontId="168" fillId="0" borderId="0" xfId="0" applyFont="1" applyFill="1" applyBorder="1"/>
    <xf numFmtId="0" fontId="169" fillId="0" borderId="0" xfId="0" applyFont="1" applyFill="1" applyBorder="1"/>
    <xf numFmtId="0" fontId="51" fillId="0" borderId="0" xfId="0" applyFont="1" applyFill="1" applyBorder="1"/>
    <xf numFmtId="0" fontId="197" fillId="0" borderId="0" xfId="0" applyFont="1"/>
    <xf numFmtId="0" fontId="53" fillId="105" borderId="32" xfId="5" applyFont="1" applyFill="1" applyBorder="1" applyAlignment="1" applyProtection="1">
      <alignment vertical="center"/>
      <protection locked="0"/>
    </xf>
    <xf numFmtId="0" fontId="53" fillId="105" borderId="33" xfId="5" applyFont="1" applyFill="1" applyBorder="1" applyAlignment="1" applyProtection="1">
      <alignment vertical="center"/>
      <protection locked="0"/>
    </xf>
    <xf numFmtId="0" fontId="53" fillId="105" borderId="34" xfId="5" applyFont="1" applyFill="1" applyBorder="1" applyAlignment="1" applyProtection="1">
      <alignment vertical="center"/>
      <protection locked="0"/>
    </xf>
    <xf numFmtId="0" fontId="15" fillId="5" borderId="31" xfId="5" applyFont="1" applyFill="1" applyBorder="1" applyAlignment="1" applyProtection="1">
      <alignment horizontal="center" vertical="center" wrapText="1"/>
    </xf>
    <xf numFmtId="0" fontId="14" fillId="5" borderId="2" xfId="5" applyFont="1" applyFill="1" applyBorder="1" applyAlignment="1" applyProtection="1">
      <alignment vertical="center" wrapText="1"/>
    </xf>
    <xf numFmtId="0" fontId="14" fillId="5" borderId="31" xfId="5" applyFont="1" applyFill="1" applyBorder="1" applyAlignment="1" applyProtection="1">
      <alignment vertical="center" wrapText="1"/>
    </xf>
    <xf numFmtId="0" fontId="15" fillId="102" borderId="75" xfId="5" applyFont="1" applyFill="1" applyBorder="1" applyAlignment="1" applyProtection="1">
      <alignment horizontal="left" vertical="center" wrapText="1"/>
      <protection locked="0"/>
    </xf>
    <xf numFmtId="0" fontId="15" fillId="102" borderId="33" xfId="5" applyFont="1" applyFill="1" applyBorder="1" applyAlignment="1" applyProtection="1">
      <alignment horizontal="left" vertical="center" wrapText="1"/>
      <protection locked="0"/>
    </xf>
    <xf numFmtId="0" fontId="15" fillId="102" borderId="34" xfId="5" applyFont="1" applyFill="1" applyBorder="1" applyAlignment="1" applyProtection="1">
      <alignment horizontal="left" vertical="center" wrapText="1"/>
      <protection locked="0"/>
    </xf>
    <xf numFmtId="49" fontId="51" fillId="0" borderId="0" xfId="0" applyNumberFormat="1" applyFont="1" applyFill="1" applyAlignment="1">
      <alignment horizontal="left" wrapText="1"/>
    </xf>
    <xf numFmtId="0" fontId="199" fillId="0" borderId="0" xfId="0" applyFont="1" applyFill="1" applyAlignment="1">
      <alignment horizontal="left" vertical="top"/>
    </xf>
    <xf numFmtId="0" fontId="199" fillId="0" borderId="0" xfId="0" applyFont="1" applyFill="1" applyAlignment="1"/>
    <xf numFmtId="3" fontId="173" fillId="102" borderId="0" xfId="0" applyNumberFormat="1" applyFont="1" applyFill="1"/>
    <xf numFmtId="0" fontId="14" fillId="3" borderId="81" xfId="5" applyFont="1" applyFill="1" applyBorder="1" applyAlignment="1" applyProtection="1">
      <alignment horizontal="left" vertical="center" wrapText="1"/>
    </xf>
    <xf numFmtId="0" fontId="14" fillId="3" borderId="82" xfId="5" applyFont="1" applyFill="1" applyBorder="1" applyAlignment="1" applyProtection="1">
      <alignment horizontal="left" vertical="center" wrapText="1"/>
    </xf>
    <xf numFmtId="0" fontId="14" fillId="3" borderId="82" xfId="5" applyFont="1" applyFill="1" applyBorder="1" applyAlignment="1" applyProtection="1">
      <alignment horizontal="center" vertical="center" wrapText="1"/>
    </xf>
    <xf numFmtId="0" fontId="14" fillId="3" borderId="83" xfId="5" applyFont="1" applyFill="1" applyBorder="1" applyAlignment="1" applyProtection="1">
      <alignment horizontal="center" vertical="center" wrapText="1"/>
    </xf>
    <xf numFmtId="0" fontId="14" fillId="3" borderId="81" xfId="5" applyFont="1" applyFill="1" applyBorder="1" applyAlignment="1" applyProtection="1">
      <alignment horizontal="center" vertical="center" wrapText="1"/>
    </xf>
    <xf numFmtId="3" fontId="14" fillId="3" borderId="82" xfId="5" applyNumberFormat="1" applyFont="1" applyFill="1" applyBorder="1" applyAlignment="1" applyProtection="1">
      <alignment horizontal="center" vertical="center" wrapText="1"/>
    </xf>
    <xf numFmtId="3" fontId="14" fillId="3" borderId="84" xfId="5" applyNumberFormat="1" applyFont="1" applyFill="1" applyBorder="1" applyAlignment="1" applyProtection="1">
      <alignment horizontal="center" vertical="center" wrapText="1"/>
    </xf>
    <xf numFmtId="3" fontId="14" fillId="3" borderId="81" xfId="5" applyNumberFormat="1" applyFont="1" applyFill="1" applyBorder="1" applyAlignment="1" applyProtection="1">
      <alignment horizontal="center" vertical="center" wrapText="1"/>
    </xf>
    <xf numFmtId="3" fontId="14" fillId="3" borderId="85" xfId="5" applyNumberFormat="1" applyFont="1" applyFill="1" applyBorder="1" applyAlignment="1" applyProtection="1">
      <alignment horizontal="center" vertical="center" wrapText="1"/>
    </xf>
    <xf numFmtId="3" fontId="14" fillId="3" borderId="83" xfId="5" applyNumberFormat="1" applyFont="1" applyFill="1" applyBorder="1" applyAlignment="1" applyProtection="1">
      <alignment horizontal="center" vertical="center" wrapText="1"/>
    </xf>
    <xf numFmtId="0" fontId="14" fillId="3" borderId="86" xfId="5" applyFont="1" applyFill="1" applyBorder="1" applyAlignment="1" applyProtection="1">
      <alignment horizontal="center" vertical="center" wrapText="1"/>
    </xf>
    <xf numFmtId="0" fontId="14" fillId="3" borderId="87" xfId="5" applyFont="1" applyFill="1" applyBorder="1" applyAlignment="1" applyProtection="1">
      <alignment horizontal="center" vertical="center" wrapText="1"/>
    </xf>
    <xf numFmtId="0" fontId="14" fillId="3" borderId="58" xfId="5" applyFont="1" applyFill="1" applyBorder="1" applyAlignment="1" applyProtection="1">
      <alignment horizontal="center" vertical="center" wrapText="1"/>
    </xf>
    <xf numFmtId="0" fontId="14" fillId="3" borderId="32" xfId="5" applyFont="1" applyFill="1" applyBorder="1" applyAlignment="1" applyProtection="1">
      <alignment horizontal="center" vertical="center" wrapText="1"/>
    </xf>
    <xf numFmtId="0" fontId="14" fillId="3" borderId="59" xfId="5" applyFont="1" applyFill="1" applyBorder="1" applyAlignment="1" applyProtection="1">
      <alignment horizontal="center" vertical="center" wrapText="1"/>
    </xf>
    <xf numFmtId="16" fontId="14" fillId="3" borderId="59" xfId="5" applyNumberFormat="1" applyFont="1" applyFill="1" applyBorder="1" applyAlignment="1" applyProtection="1">
      <alignment horizontal="center" vertical="center" wrapText="1"/>
    </xf>
    <xf numFmtId="16" fontId="14" fillId="3" borderId="34" xfId="5" applyNumberFormat="1" applyFont="1" applyFill="1" applyBorder="1" applyAlignment="1" applyProtection="1">
      <alignment horizontal="center" vertical="center" wrapText="1"/>
    </xf>
    <xf numFmtId="0" fontId="14" fillId="3" borderId="34" xfId="5" applyFont="1" applyFill="1" applyBorder="1" applyAlignment="1" applyProtection="1">
      <alignment horizontal="center" vertical="center" wrapText="1"/>
    </xf>
    <xf numFmtId="0" fontId="51" fillId="0" borderId="58" xfId="0" applyFont="1" applyBorder="1" applyProtection="1"/>
    <xf numFmtId="0" fontId="15" fillId="0" borderId="32" xfId="0" applyFont="1" applyBorder="1" applyProtection="1"/>
    <xf numFmtId="3" fontId="15" fillId="0" borderId="58" xfId="0" applyNumberFormat="1" applyFont="1" applyBorder="1" applyAlignment="1" applyProtection="1">
      <alignment horizontal="center" vertical="center"/>
      <protection locked="0"/>
    </xf>
    <xf numFmtId="167" fontId="15" fillId="0" borderId="2" xfId="14" applyNumberFormat="1" applyFont="1" applyBorder="1" applyAlignment="1" applyProtection="1">
      <alignment horizontal="center" vertical="center"/>
      <protection locked="0"/>
    </xf>
    <xf numFmtId="3" fontId="15" fillId="0" borderId="59" xfId="0" applyNumberFormat="1" applyFont="1" applyBorder="1" applyAlignment="1" applyProtection="1">
      <alignment horizontal="center" vertical="center"/>
    </xf>
    <xf numFmtId="3" fontId="15" fillId="0" borderId="58" xfId="0" applyNumberFormat="1" applyFont="1" applyFill="1" applyBorder="1" applyAlignment="1" applyProtection="1">
      <alignment horizontal="center" vertical="center"/>
    </xf>
    <xf numFmtId="167" fontId="15" fillId="0" borderId="2" xfId="0" applyNumberFormat="1" applyFont="1" applyBorder="1" applyAlignment="1" applyProtection="1">
      <alignment horizontal="center" vertical="center"/>
    </xf>
    <xf numFmtId="167" fontId="15" fillId="0" borderId="2" xfId="0" applyNumberFormat="1" applyFont="1" applyFill="1" applyBorder="1" applyAlignment="1" applyProtection="1">
      <alignment horizontal="center" vertical="center"/>
    </xf>
    <xf numFmtId="167" fontId="15" fillId="0" borderId="59" xfId="0" applyNumberFormat="1" applyFont="1" applyBorder="1" applyAlignment="1" applyProtection="1">
      <alignment horizontal="center" vertical="center"/>
    </xf>
    <xf numFmtId="3" fontId="15" fillId="0" borderId="34" xfId="0" applyNumberFormat="1" applyFont="1" applyBorder="1" applyAlignment="1" applyProtection="1">
      <alignment horizontal="center" vertical="center"/>
    </xf>
    <xf numFmtId="3" fontId="15" fillId="0" borderId="32" xfId="0" applyNumberFormat="1" applyFont="1" applyBorder="1" applyAlignment="1" applyProtection="1">
      <alignment horizontal="center" vertical="center"/>
    </xf>
    <xf numFmtId="3" fontId="15" fillId="0" borderId="58" xfId="5" applyNumberFormat="1" applyFont="1" applyFill="1" applyBorder="1" applyAlignment="1" applyProtection="1">
      <alignment horizontal="center" vertical="center" wrapText="1"/>
    </xf>
    <xf numFmtId="3" fontId="15" fillId="0" borderId="2" xfId="0" applyNumberFormat="1" applyFont="1" applyFill="1" applyBorder="1" applyAlignment="1" applyProtection="1">
      <alignment horizontal="center" vertical="center"/>
    </xf>
    <xf numFmtId="0" fontId="14" fillId="3" borderId="58" xfId="5" applyFont="1" applyFill="1" applyBorder="1" applyAlignment="1" applyProtection="1">
      <alignment horizontal="left" vertical="center" wrapText="1"/>
    </xf>
    <xf numFmtId="3" fontId="14" fillId="3" borderId="2" xfId="5" applyNumberFormat="1" applyFont="1" applyFill="1" applyBorder="1" applyAlignment="1" applyProtection="1">
      <alignment horizontal="center" vertical="center" wrapText="1"/>
      <protection locked="0"/>
    </xf>
    <xf numFmtId="167" fontId="14" fillId="3" borderId="2" xfId="14" applyNumberFormat="1" applyFont="1" applyFill="1" applyBorder="1" applyAlignment="1" applyProtection="1">
      <alignment horizontal="center" vertical="center" wrapText="1"/>
      <protection locked="0"/>
    </xf>
    <xf numFmtId="3" fontId="14" fillId="3" borderId="59" xfId="5" applyNumberFormat="1" applyFont="1" applyFill="1" applyBorder="1" applyAlignment="1" applyProtection="1">
      <alignment horizontal="center" vertical="center" wrapText="1"/>
      <protection locked="0"/>
    </xf>
    <xf numFmtId="3" fontId="14" fillId="3" borderId="58" xfId="5" applyNumberFormat="1" applyFont="1" applyFill="1" applyBorder="1" applyAlignment="1" applyProtection="1">
      <alignment horizontal="center" vertical="center" wrapText="1"/>
    </xf>
    <xf numFmtId="167" fontId="14" fillId="3" borderId="59" xfId="5" applyNumberFormat="1" applyFont="1" applyFill="1" applyBorder="1" applyAlignment="1" applyProtection="1">
      <alignment horizontal="center" vertical="center" wrapText="1"/>
    </xf>
    <xf numFmtId="167" fontId="14" fillId="3" borderId="34" xfId="5" applyNumberFormat="1" applyFont="1" applyFill="1" applyBorder="1" applyAlignment="1" applyProtection="1">
      <alignment horizontal="center" vertical="center" wrapText="1"/>
    </xf>
    <xf numFmtId="167" fontId="14" fillId="3" borderId="2" xfId="5" applyNumberFormat="1" applyFont="1" applyFill="1" applyBorder="1" applyAlignment="1" applyProtection="1">
      <alignment horizontal="center" vertical="center" wrapText="1"/>
    </xf>
    <xf numFmtId="167" fontId="14" fillId="3" borderId="32" xfId="5" applyNumberFormat="1" applyFont="1" applyFill="1" applyBorder="1" applyAlignment="1" applyProtection="1">
      <alignment horizontal="center" vertical="center" wrapText="1"/>
    </xf>
    <xf numFmtId="167" fontId="14" fillId="3" borderId="58" xfId="5" applyNumberFormat="1" applyFont="1" applyFill="1" applyBorder="1" applyAlignment="1" applyProtection="1">
      <alignment horizontal="center" vertical="center" wrapText="1"/>
    </xf>
    <xf numFmtId="3" fontId="14" fillId="3" borderId="34" xfId="5" applyNumberFormat="1" applyFont="1" applyFill="1" applyBorder="1" applyAlignment="1" applyProtection="1">
      <alignment horizontal="center" vertical="center" wrapText="1"/>
    </xf>
    <xf numFmtId="0" fontId="51" fillId="6" borderId="58" xfId="0" applyFont="1" applyFill="1" applyBorder="1" applyProtection="1"/>
    <xf numFmtId="0" fontId="15" fillId="6" borderId="2" xfId="0" applyFont="1" applyFill="1" applyBorder="1" applyAlignment="1" applyProtection="1">
      <alignment horizontal="left" vertical="center" wrapText="1"/>
    </xf>
    <xf numFmtId="0" fontId="15" fillId="6" borderId="2" xfId="0" applyFont="1" applyFill="1" applyBorder="1" applyProtection="1"/>
    <xf numFmtId="3" fontId="15" fillId="6" borderId="2" xfId="0" applyNumberFormat="1" applyFont="1" applyFill="1" applyBorder="1" applyProtection="1"/>
    <xf numFmtId="3" fontId="15" fillId="6" borderId="32" xfId="0" applyNumberFormat="1" applyFont="1" applyFill="1" applyBorder="1" applyProtection="1"/>
    <xf numFmtId="3" fontId="15" fillId="6" borderId="58" xfId="0" applyNumberFormat="1" applyFont="1" applyFill="1" applyBorder="1" applyAlignment="1" applyProtection="1">
      <alignment horizontal="center" vertical="center"/>
      <protection locked="0"/>
    </xf>
    <xf numFmtId="3" fontId="15" fillId="6" borderId="2" xfId="0" applyNumberFormat="1" applyFont="1" applyFill="1" applyBorder="1" applyAlignment="1" applyProtection="1">
      <alignment horizontal="center" vertical="center"/>
      <protection locked="0"/>
    </xf>
    <xf numFmtId="3" fontId="15" fillId="6" borderId="59" xfId="0" applyNumberFormat="1" applyFont="1" applyFill="1" applyBorder="1" applyAlignment="1" applyProtection="1">
      <alignment horizontal="center" vertical="center"/>
    </xf>
    <xf numFmtId="3" fontId="15" fillId="6" borderId="58" xfId="0" applyNumberFormat="1" applyFont="1" applyFill="1" applyBorder="1" applyAlignment="1" applyProtection="1">
      <alignment horizontal="center" vertical="center"/>
    </xf>
    <xf numFmtId="167" fontId="15" fillId="6" borderId="2" xfId="0" applyNumberFormat="1" applyFont="1" applyFill="1" applyBorder="1" applyAlignment="1" applyProtection="1">
      <alignment horizontal="center" vertical="center"/>
    </xf>
    <xf numFmtId="167" fontId="15" fillId="6" borderId="59" xfId="0" applyNumberFormat="1" applyFont="1" applyFill="1" applyBorder="1" applyAlignment="1" applyProtection="1">
      <alignment horizontal="center" vertical="center"/>
    </xf>
    <xf numFmtId="3" fontId="15" fillId="6" borderId="34" xfId="0" applyNumberFormat="1" applyFont="1" applyFill="1" applyBorder="1" applyAlignment="1" applyProtection="1">
      <alignment horizontal="center" vertical="center"/>
    </xf>
    <xf numFmtId="3" fontId="15" fillId="6" borderId="2" xfId="0" applyNumberFormat="1" applyFont="1" applyFill="1" applyBorder="1" applyAlignment="1" applyProtection="1">
      <alignment horizontal="center" vertical="center"/>
    </xf>
    <xf numFmtId="3" fontId="15" fillId="6" borderId="32" xfId="0" applyNumberFormat="1" applyFont="1" applyFill="1" applyBorder="1" applyAlignment="1" applyProtection="1">
      <alignment horizontal="center" vertical="center"/>
    </xf>
    <xf numFmtId="3" fontId="15" fillId="6" borderId="58" xfId="5" applyNumberFormat="1" applyFont="1" applyFill="1" applyBorder="1" applyAlignment="1" applyProtection="1">
      <alignment horizontal="center" vertical="center" wrapText="1"/>
    </xf>
    <xf numFmtId="0" fontId="51" fillId="6" borderId="66" xfId="0" applyFont="1" applyFill="1" applyBorder="1" applyProtection="1"/>
    <xf numFmtId="0" fontId="15" fillId="6" borderId="69" xfId="0" applyFont="1" applyFill="1" applyBorder="1" applyAlignment="1" applyProtection="1">
      <alignment horizontal="left" vertical="center" wrapText="1"/>
    </xf>
    <xf numFmtId="0" fontId="15" fillId="6" borderId="69" xfId="0" applyFont="1" applyFill="1" applyBorder="1" applyProtection="1"/>
    <xf numFmtId="3" fontId="15" fillId="6" borderId="69" xfId="0" applyNumberFormat="1" applyFont="1" applyFill="1" applyBorder="1" applyProtection="1"/>
    <xf numFmtId="3" fontId="15" fillId="6" borderId="73" xfId="0" applyNumberFormat="1" applyFont="1" applyFill="1" applyBorder="1" applyProtection="1"/>
    <xf numFmtId="3" fontId="15" fillId="6" borderId="66" xfId="0" applyNumberFormat="1" applyFont="1" applyFill="1" applyBorder="1" applyAlignment="1" applyProtection="1">
      <alignment horizontal="center" vertical="center"/>
      <protection locked="0"/>
    </xf>
    <xf numFmtId="3" fontId="15" fillId="6" borderId="69" xfId="0" applyNumberFormat="1" applyFont="1" applyFill="1" applyBorder="1" applyAlignment="1" applyProtection="1">
      <alignment horizontal="center" vertical="center"/>
      <protection locked="0"/>
    </xf>
    <xf numFmtId="167" fontId="15" fillId="0" borderId="69" xfId="14" applyNumberFormat="1" applyFont="1" applyBorder="1" applyAlignment="1" applyProtection="1">
      <alignment horizontal="center" vertical="center"/>
      <protection locked="0"/>
    </xf>
    <xf numFmtId="3" fontId="15" fillId="6" borderId="67" xfId="0" applyNumberFormat="1" applyFont="1" applyFill="1" applyBorder="1" applyAlignment="1" applyProtection="1">
      <alignment horizontal="center" vertical="center"/>
    </xf>
    <xf numFmtId="3" fontId="15" fillId="6" borderId="66" xfId="0" applyNumberFormat="1" applyFont="1" applyFill="1" applyBorder="1" applyAlignment="1" applyProtection="1">
      <alignment horizontal="center" vertical="center"/>
    </xf>
    <xf numFmtId="167" fontId="15" fillId="6" borderId="69" xfId="0" applyNumberFormat="1" applyFont="1" applyFill="1" applyBorder="1" applyAlignment="1" applyProtection="1">
      <alignment horizontal="center" vertical="center"/>
    </xf>
    <xf numFmtId="167" fontId="15" fillId="0" borderId="69" xfId="0" applyNumberFormat="1" applyFont="1" applyFill="1" applyBorder="1" applyAlignment="1" applyProtection="1">
      <alignment horizontal="center" vertical="center"/>
    </xf>
    <xf numFmtId="167" fontId="15" fillId="6" borderId="67" xfId="0" applyNumberFormat="1" applyFont="1" applyFill="1" applyBorder="1" applyAlignment="1" applyProtection="1">
      <alignment horizontal="center" vertical="center"/>
    </xf>
    <xf numFmtId="3" fontId="15" fillId="6" borderId="70" xfId="0" applyNumberFormat="1" applyFont="1" applyFill="1" applyBorder="1" applyAlignment="1" applyProtection="1">
      <alignment horizontal="center" vertical="center"/>
    </xf>
    <xf numFmtId="3" fontId="15" fillId="6" borderId="69" xfId="0" applyNumberFormat="1" applyFont="1" applyFill="1" applyBorder="1" applyAlignment="1" applyProtection="1">
      <alignment horizontal="center" vertical="center"/>
    </xf>
    <xf numFmtId="3" fontId="15" fillId="6" borderId="73" xfId="0" applyNumberFormat="1" applyFont="1" applyFill="1" applyBorder="1" applyAlignment="1" applyProtection="1">
      <alignment horizontal="center" vertical="center"/>
    </xf>
    <xf numFmtId="3" fontId="15" fillId="6" borderId="66" xfId="5" applyNumberFormat="1" applyFont="1" applyFill="1" applyBorder="1" applyAlignment="1" applyProtection="1">
      <alignment horizontal="center" vertical="center" wrapText="1"/>
    </xf>
    <xf numFmtId="0" fontId="52" fillId="4" borderId="5" xfId="5" applyFont="1" applyFill="1" applyBorder="1" applyAlignment="1" applyProtection="1">
      <alignment horizontal="left" vertical="center" wrapText="1"/>
    </xf>
    <xf numFmtId="0" fontId="52" fillId="4" borderId="6" xfId="5" applyFont="1" applyFill="1" applyBorder="1" applyAlignment="1" applyProtection="1">
      <alignment horizontal="left" vertical="center" wrapText="1"/>
    </xf>
    <xf numFmtId="0" fontId="52" fillId="4" borderId="6" xfId="5" applyFont="1" applyFill="1" applyBorder="1" applyAlignment="1" applyProtection="1">
      <alignment horizontal="center" vertical="center" wrapText="1"/>
    </xf>
    <xf numFmtId="0" fontId="52" fillId="4" borderId="88" xfId="5" applyFont="1" applyFill="1" applyBorder="1" applyAlignment="1" applyProtection="1">
      <alignment horizontal="center" vertical="center" wrapText="1"/>
    </xf>
    <xf numFmtId="3" fontId="52" fillId="4" borderId="89" xfId="5" applyNumberFormat="1" applyFont="1" applyFill="1" applyBorder="1" applyAlignment="1" applyProtection="1">
      <alignment horizontal="center" vertical="center" wrapText="1"/>
      <protection locked="0"/>
    </xf>
    <xf numFmtId="3" fontId="52" fillId="4" borderId="6" xfId="5" applyNumberFormat="1" applyFont="1" applyFill="1" applyBorder="1" applyAlignment="1" applyProtection="1">
      <alignment horizontal="center" vertical="center" wrapText="1"/>
      <protection locked="0"/>
    </xf>
    <xf numFmtId="167" fontId="14" fillId="4" borderId="6" xfId="14" applyNumberFormat="1" applyFont="1" applyFill="1" applyBorder="1" applyAlignment="1" applyProtection="1">
      <alignment horizontal="center" vertical="center" wrapText="1"/>
    </xf>
    <xf numFmtId="3" fontId="52" fillId="4" borderId="90" xfId="5" applyNumberFormat="1" applyFont="1" applyFill="1" applyBorder="1" applyAlignment="1" applyProtection="1">
      <alignment horizontal="center" vertical="center" wrapText="1"/>
    </xf>
    <xf numFmtId="3" fontId="52" fillId="4" borderId="89" xfId="5" applyNumberFormat="1" applyFont="1" applyFill="1" applyBorder="1" applyAlignment="1" applyProtection="1">
      <alignment horizontal="center" vertical="center" wrapText="1"/>
    </xf>
    <xf numFmtId="167" fontId="14" fillId="4" borderId="6" xfId="5" applyNumberFormat="1" applyFont="1" applyFill="1" applyBorder="1" applyAlignment="1" applyProtection="1">
      <alignment horizontal="center" vertical="center" wrapText="1"/>
    </xf>
    <xf numFmtId="167" fontId="206" fillId="4" borderId="6" xfId="5" applyNumberFormat="1" applyFont="1" applyFill="1" applyBorder="1" applyAlignment="1" applyProtection="1">
      <alignment horizontal="center" vertical="center" wrapText="1"/>
    </xf>
    <xf numFmtId="167" fontId="14" fillId="4" borderId="59" xfId="5" applyNumberFormat="1" applyFont="1" applyFill="1" applyBorder="1" applyAlignment="1" applyProtection="1">
      <alignment horizontal="center" vertical="center" wrapText="1"/>
    </xf>
    <xf numFmtId="167" fontId="14" fillId="4" borderId="90" xfId="5" applyNumberFormat="1" applyFont="1" applyFill="1" applyBorder="1" applyAlignment="1" applyProtection="1">
      <alignment horizontal="center" vertical="center" wrapText="1"/>
    </xf>
    <xf numFmtId="167" fontId="160" fillId="4" borderId="6" xfId="5" applyNumberFormat="1" applyFont="1" applyFill="1" applyBorder="1" applyAlignment="1" applyProtection="1">
      <alignment horizontal="center" vertical="center" wrapText="1"/>
    </xf>
    <xf numFmtId="3" fontId="52" fillId="4" borderId="61" xfId="5" applyNumberFormat="1" applyFont="1" applyFill="1" applyBorder="1" applyAlignment="1" applyProtection="1">
      <alignment horizontal="center" vertical="center" wrapText="1"/>
    </xf>
    <xf numFmtId="3" fontId="52" fillId="4" borderId="6" xfId="5" applyNumberFormat="1" applyFont="1" applyFill="1" applyBorder="1" applyAlignment="1" applyProtection="1">
      <alignment horizontal="center" vertical="center" wrapText="1"/>
    </xf>
    <xf numFmtId="3" fontId="52" fillId="4" borderId="88" xfId="5" applyNumberFormat="1" applyFont="1" applyFill="1" applyBorder="1" applyAlignment="1" applyProtection="1">
      <alignment horizontal="center" vertical="center" wrapText="1"/>
    </xf>
    <xf numFmtId="167" fontId="52" fillId="4" borderId="6" xfId="5" applyNumberFormat="1" applyFont="1" applyFill="1" applyBorder="1" applyAlignment="1" applyProtection="1">
      <alignment horizontal="center" vertical="center" wrapText="1"/>
    </xf>
    <xf numFmtId="3" fontId="52" fillId="6" borderId="34" xfId="5" applyNumberFormat="1" applyFont="1" applyFill="1" applyBorder="1" applyAlignment="1" applyProtection="1">
      <alignment horizontal="center" vertical="center" wrapText="1"/>
      <protection locked="0"/>
    </xf>
    <xf numFmtId="167" fontId="52" fillId="6" borderId="2" xfId="5" applyNumberFormat="1" applyFont="1" applyFill="1" applyBorder="1" applyAlignment="1" applyProtection="1">
      <alignment horizontal="center" vertical="center"/>
      <protection locked="0"/>
    </xf>
    <xf numFmtId="3" fontId="52" fillId="6" borderId="2" xfId="5" applyNumberFormat="1" applyFont="1" applyFill="1" applyBorder="1" applyAlignment="1" applyProtection="1">
      <alignment horizontal="center" vertical="center" wrapText="1"/>
      <protection locked="0"/>
    </xf>
    <xf numFmtId="167" fontId="52" fillId="6" borderId="91" xfId="5" applyNumberFormat="1" applyFont="1" applyFill="1" applyBorder="1" applyAlignment="1" applyProtection="1">
      <alignment horizontal="center" vertical="center"/>
      <protection locked="0"/>
    </xf>
    <xf numFmtId="0" fontId="14" fillId="6" borderId="1" xfId="5" applyFont="1" applyFill="1" applyBorder="1" applyAlignment="1" applyProtection="1">
      <alignment horizontal="left" vertical="center" wrapText="1"/>
    </xf>
    <xf numFmtId="0" fontId="14" fillId="6" borderId="2" xfId="5" applyFont="1" applyFill="1" applyBorder="1" applyAlignment="1" applyProtection="1">
      <alignment horizontal="left" vertical="center" wrapText="1"/>
    </xf>
    <xf numFmtId="0" fontId="14" fillId="6" borderId="2" xfId="5" applyFont="1" applyFill="1" applyBorder="1" applyAlignment="1" applyProtection="1">
      <alignment horizontal="center" vertical="center" wrapText="1"/>
    </xf>
    <xf numFmtId="0" fontId="14" fillId="6" borderId="32" xfId="5" applyFont="1" applyFill="1" applyBorder="1" applyAlignment="1" applyProtection="1">
      <alignment horizontal="center" vertical="center" wrapText="1"/>
    </xf>
    <xf numFmtId="3" fontId="14" fillId="6" borderId="58" xfId="5" applyNumberFormat="1" applyFont="1" applyFill="1" applyBorder="1" applyAlignment="1" applyProtection="1">
      <alignment horizontal="center" vertical="center" wrapText="1"/>
      <protection locked="0"/>
    </xf>
    <xf numFmtId="3" fontId="14" fillId="6" borderId="2" xfId="5" applyNumberFormat="1" applyFont="1" applyFill="1" applyBorder="1" applyAlignment="1" applyProtection="1">
      <alignment horizontal="center" vertical="center" wrapText="1"/>
      <protection locked="0"/>
    </xf>
    <xf numFmtId="3" fontId="14" fillId="6" borderId="59" xfId="5" applyNumberFormat="1" applyFont="1" applyFill="1" applyBorder="1" applyAlignment="1" applyProtection="1">
      <alignment horizontal="center" vertical="center" wrapText="1"/>
    </xf>
    <xf numFmtId="3" fontId="14" fillId="0" borderId="58" xfId="5" applyNumberFormat="1" applyFont="1" applyFill="1" applyBorder="1" applyAlignment="1" applyProtection="1">
      <alignment horizontal="center" vertical="center" wrapText="1"/>
    </xf>
    <xf numFmtId="167" fontId="14" fillId="6" borderId="2" xfId="5" applyNumberFormat="1" applyFont="1" applyFill="1" applyBorder="1" applyAlignment="1" applyProtection="1">
      <alignment horizontal="center" vertical="center" wrapText="1"/>
    </xf>
    <xf numFmtId="167" fontId="14" fillId="0" borderId="2" xfId="5" applyNumberFormat="1" applyFont="1" applyFill="1" applyBorder="1" applyAlignment="1" applyProtection="1">
      <alignment horizontal="center" vertical="center" wrapText="1"/>
    </xf>
    <xf numFmtId="167" fontId="14" fillId="6" borderId="59" xfId="5" applyNumberFormat="1" applyFont="1" applyFill="1" applyBorder="1" applyAlignment="1" applyProtection="1">
      <alignment horizontal="center" vertical="center" wrapText="1"/>
    </xf>
    <xf numFmtId="3" fontId="14" fillId="6" borderId="58" xfId="5" applyNumberFormat="1" applyFont="1" applyFill="1" applyBorder="1" applyAlignment="1" applyProtection="1">
      <alignment horizontal="center" vertical="center" wrapText="1"/>
    </xf>
    <xf numFmtId="3" fontId="14" fillId="6" borderId="34" xfId="5" applyNumberFormat="1" applyFont="1" applyFill="1" applyBorder="1" applyAlignment="1" applyProtection="1">
      <alignment horizontal="center" vertical="center" wrapText="1"/>
    </xf>
    <xf numFmtId="3" fontId="14" fillId="6" borderId="2" xfId="5" applyNumberFormat="1" applyFont="1" applyFill="1" applyBorder="1" applyAlignment="1" applyProtection="1">
      <alignment horizontal="center" vertical="center" wrapText="1"/>
    </xf>
    <xf numFmtId="3" fontId="14" fillId="6" borderId="32" xfId="5" applyNumberFormat="1" applyFont="1" applyFill="1" applyBorder="1" applyAlignment="1" applyProtection="1">
      <alignment horizontal="center" vertical="center" wrapText="1"/>
    </xf>
    <xf numFmtId="3" fontId="14" fillId="6" borderId="2" xfId="0" applyNumberFormat="1" applyFont="1" applyFill="1" applyBorder="1" applyAlignment="1" applyProtection="1">
      <alignment horizontal="center" vertical="center"/>
    </xf>
    <xf numFmtId="3" fontId="14" fillId="6" borderId="34" xfId="5" applyNumberFormat="1" applyFont="1" applyFill="1" applyBorder="1" applyAlignment="1" applyProtection="1">
      <alignment horizontal="center" vertical="center" wrapText="1"/>
      <protection locked="0"/>
    </xf>
    <xf numFmtId="167" fontId="14" fillId="6" borderId="2" xfId="5" applyNumberFormat="1" applyFont="1" applyFill="1" applyBorder="1" applyAlignment="1" applyProtection="1">
      <alignment horizontal="center" vertical="center"/>
      <protection locked="0"/>
    </xf>
    <xf numFmtId="167" fontId="14" fillId="6" borderId="91" xfId="5" applyNumberFormat="1" applyFont="1" applyFill="1" applyBorder="1" applyAlignment="1" applyProtection="1">
      <alignment horizontal="center" vertical="center"/>
      <protection locked="0"/>
    </xf>
    <xf numFmtId="0" fontId="13" fillId="0" borderId="32" xfId="5" applyFont="1" applyFill="1" applyBorder="1" applyAlignment="1" applyProtection="1">
      <alignment horizontal="center" vertical="center" wrapText="1"/>
      <protection locked="0"/>
    </xf>
    <xf numFmtId="3" fontId="13" fillId="0" borderId="58" xfId="5" applyNumberFormat="1" applyFont="1" applyFill="1" applyBorder="1" applyAlignment="1" applyProtection="1">
      <alignment horizontal="center" vertical="center"/>
      <protection locked="0"/>
    </xf>
    <xf numFmtId="3" fontId="10" fillId="0" borderId="2" xfId="83" applyNumberFormat="1" applyFont="1" applyFill="1" applyBorder="1"/>
    <xf numFmtId="3" fontId="14" fillId="0" borderId="2" xfId="5" applyNumberFormat="1" applyFont="1" applyFill="1" applyBorder="1" applyAlignment="1" applyProtection="1">
      <alignment horizontal="center" vertical="center" wrapText="1"/>
      <protection locked="0"/>
    </xf>
    <xf numFmtId="167" fontId="18" fillId="0" borderId="2" xfId="14" applyNumberFormat="1" applyFont="1" applyFill="1" applyBorder="1" applyAlignment="1" applyProtection="1">
      <alignment horizontal="center" vertical="center"/>
      <protection locked="0"/>
    </xf>
    <xf numFmtId="3" fontId="13" fillId="0" borderId="59" xfId="5" applyNumberFormat="1" applyFont="1" applyFill="1" applyBorder="1" applyAlignment="1" applyProtection="1">
      <alignment horizontal="center" vertical="center"/>
      <protection locked="0"/>
    </xf>
    <xf numFmtId="167" fontId="13" fillId="0" borderId="2" xfId="5" applyNumberFormat="1" applyFont="1" applyFill="1" applyBorder="1" applyAlignment="1" applyProtection="1">
      <alignment horizontal="center" vertical="center" wrapText="1"/>
    </xf>
    <xf numFmtId="167" fontId="13" fillId="0" borderId="2" xfId="5" applyNumberFormat="1" applyFont="1" applyFill="1" applyBorder="1" applyAlignment="1" applyProtection="1">
      <alignment horizontal="center" vertical="center" wrapText="1"/>
      <protection locked="0"/>
    </xf>
    <xf numFmtId="167" fontId="13" fillId="0" borderId="59" xfId="5" applyNumberFormat="1" applyFont="1" applyFill="1" applyBorder="1" applyAlignment="1" applyProtection="1">
      <alignment horizontal="center" vertical="center" wrapText="1"/>
    </xf>
    <xf numFmtId="3" fontId="13" fillId="0" borderId="58" xfId="5" applyNumberFormat="1" applyFont="1" applyFill="1" applyBorder="1" applyAlignment="1" applyProtection="1">
      <alignment horizontal="center" vertical="center" wrapText="1"/>
      <protection locked="0"/>
    </xf>
    <xf numFmtId="1" fontId="13" fillId="0" borderId="34" xfId="5" applyNumberFormat="1" applyFont="1" applyFill="1" applyBorder="1" applyAlignment="1" applyProtection="1">
      <alignment horizontal="center" vertical="center" wrapText="1"/>
      <protection locked="0"/>
    </xf>
    <xf numFmtId="1" fontId="13" fillId="0" borderId="2" xfId="5" applyNumberFormat="1" applyFont="1" applyFill="1" applyBorder="1" applyAlignment="1" applyProtection="1">
      <alignment horizontal="center" vertical="center" wrapText="1"/>
      <protection locked="0"/>
    </xf>
    <xf numFmtId="1" fontId="13" fillId="0" borderId="32" xfId="5" applyNumberFormat="1" applyFont="1" applyFill="1" applyBorder="1" applyAlignment="1" applyProtection="1">
      <alignment horizontal="center" vertical="center" wrapText="1"/>
      <protection locked="0"/>
    </xf>
    <xf numFmtId="167" fontId="13" fillId="6" borderId="2" xfId="5" applyNumberFormat="1" applyFont="1" applyFill="1" applyBorder="1" applyAlignment="1" applyProtection="1">
      <alignment horizontal="center" vertical="center" wrapText="1"/>
    </xf>
    <xf numFmtId="167" fontId="18" fillId="6" borderId="59" xfId="0" applyNumberFormat="1" applyFont="1" applyFill="1" applyBorder="1" applyAlignment="1" applyProtection="1">
      <alignment horizontal="center" vertical="center"/>
    </xf>
    <xf numFmtId="3" fontId="13" fillId="6" borderId="34" xfId="5" applyNumberFormat="1" applyFont="1" applyFill="1" applyBorder="1" applyAlignment="1" applyProtection="1">
      <alignment horizontal="center" vertical="center"/>
      <protection locked="0"/>
    </xf>
    <xf numFmtId="167" fontId="13" fillId="6" borderId="2" xfId="5" applyNumberFormat="1" applyFont="1" applyFill="1" applyBorder="1" applyAlignment="1" applyProtection="1">
      <alignment horizontal="center" vertical="center"/>
      <protection locked="0"/>
    </xf>
    <xf numFmtId="167" fontId="13" fillId="6" borderId="91" xfId="5" applyNumberFormat="1" applyFont="1" applyFill="1" applyBorder="1" applyAlignment="1" applyProtection="1">
      <alignment horizontal="center" vertical="center"/>
      <protection locked="0"/>
    </xf>
    <xf numFmtId="3" fontId="18" fillId="0" borderId="92" xfId="0" applyNumberFormat="1" applyFont="1" applyFill="1" applyBorder="1" applyAlignment="1">
      <alignment horizontal="center" vertical="center" wrapText="1" readingOrder="1"/>
    </xf>
    <xf numFmtId="3" fontId="18" fillId="0" borderId="34" xfId="0" applyNumberFormat="1" applyFont="1" applyFill="1" applyBorder="1" applyAlignment="1">
      <alignment horizontal="center" vertical="center"/>
    </xf>
    <xf numFmtId="3" fontId="18" fillId="0" borderId="2" xfId="0" applyNumberFormat="1" applyFont="1" applyFill="1" applyBorder="1" applyAlignment="1">
      <alignment horizontal="center" vertical="center"/>
    </xf>
    <xf numFmtId="3" fontId="13" fillId="0" borderId="32" xfId="5" applyNumberFormat="1" applyFont="1" applyFill="1" applyBorder="1" applyAlignment="1" applyProtection="1">
      <alignment horizontal="center" vertical="center" wrapText="1"/>
      <protection locked="0"/>
    </xf>
    <xf numFmtId="0" fontId="14" fillId="0" borderId="32" xfId="5" applyFont="1" applyFill="1" applyBorder="1" applyAlignment="1" applyProtection="1">
      <alignment horizontal="center" vertical="center" wrapText="1"/>
    </xf>
    <xf numFmtId="3" fontId="14" fillId="0" borderId="58" xfId="5" applyNumberFormat="1" applyFont="1" applyFill="1" applyBorder="1" applyAlignment="1" applyProtection="1">
      <alignment horizontal="center" vertical="center" wrapText="1"/>
      <protection locked="0"/>
    </xf>
    <xf numFmtId="3" fontId="150" fillId="0" borderId="2" xfId="83" applyNumberFormat="1" applyFont="1" applyFill="1" applyBorder="1"/>
    <xf numFmtId="167" fontId="15" fillId="0" borderId="2" xfId="14" applyNumberFormat="1" applyFont="1" applyFill="1" applyBorder="1" applyAlignment="1" applyProtection="1">
      <alignment horizontal="center" vertical="center"/>
      <protection locked="0"/>
    </xf>
    <xf numFmtId="3" fontId="14" fillId="0" borderId="59" xfId="5" applyNumberFormat="1" applyFont="1" applyFill="1" applyBorder="1" applyAlignment="1" applyProtection="1">
      <alignment horizontal="center" vertical="center" wrapText="1"/>
    </xf>
    <xf numFmtId="167" fontId="14" fillId="0" borderId="59" xfId="5" applyNumberFormat="1" applyFont="1" applyFill="1" applyBorder="1" applyAlignment="1" applyProtection="1">
      <alignment horizontal="center" vertical="center" wrapText="1"/>
    </xf>
    <xf numFmtId="3" fontId="14" fillId="0" borderId="34" xfId="5" applyNumberFormat="1" applyFont="1" applyFill="1" applyBorder="1" applyAlignment="1" applyProtection="1">
      <alignment horizontal="center" vertical="center" wrapText="1"/>
    </xf>
    <xf numFmtId="3" fontId="14" fillId="0" borderId="32" xfId="5" applyNumberFormat="1" applyFont="1" applyFill="1" applyBorder="1" applyAlignment="1" applyProtection="1">
      <alignment horizontal="center" vertical="center" wrapText="1"/>
    </xf>
    <xf numFmtId="3" fontId="14" fillId="0" borderId="2" xfId="0" applyNumberFormat="1" applyFont="1" applyFill="1" applyBorder="1" applyAlignment="1" applyProtection="1">
      <alignment horizontal="center" vertical="center"/>
    </xf>
    <xf numFmtId="0" fontId="13" fillId="0" borderId="32" xfId="5" applyFont="1" applyFill="1" applyBorder="1" applyAlignment="1" applyProtection="1">
      <alignment horizontal="center" vertical="center" wrapText="1"/>
    </xf>
    <xf numFmtId="3" fontId="10" fillId="0" borderId="32" xfId="83" applyNumberFormat="1" applyFont="1" applyFill="1" applyBorder="1"/>
    <xf numFmtId="3" fontId="13" fillId="0" borderId="59" xfId="5" applyNumberFormat="1" applyFont="1" applyFill="1" applyBorder="1" applyAlignment="1" applyProtection="1">
      <alignment horizontal="center" vertical="center"/>
    </xf>
    <xf numFmtId="3" fontId="13" fillId="0" borderId="58" xfId="5" applyNumberFormat="1" applyFont="1" applyFill="1" applyBorder="1" applyAlignment="1" applyProtection="1">
      <alignment horizontal="center" vertical="center"/>
    </xf>
    <xf numFmtId="3" fontId="13" fillId="0" borderId="58" xfId="5" applyNumberFormat="1" applyFont="1" applyFill="1" applyBorder="1" applyAlignment="1" applyProtection="1">
      <alignment horizontal="center" vertical="center" wrapText="1"/>
    </xf>
    <xf numFmtId="3" fontId="13" fillId="0" borderId="34" xfId="5" applyNumberFormat="1" applyFont="1" applyFill="1" applyBorder="1" applyAlignment="1" applyProtection="1">
      <alignment horizontal="center" vertical="center" wrapText="1"/>
    </xf>
    <xf numFmtId="3" fontId="13" fillId="0" borderId="32" xfId="5" applyNumberFormat="1" applyFont="1" applyFill="1" applyBorder="1" applyAlignment="1" applyProtection="1">
      <alignment horizontal="center" vertical="center" wrapText="1"/>
    </xf>
    <xf numFmtId="3" fontId="13" fillId="0" borderId="34" xfId="5" applyNumberFormat="1" applyFont="1" applyFill="1" applyBorder="1" applyAlignment="1" applyProtection="1">
      <alignment horizontal="center" vertical="center"/>
      <protection locked="0"/>
    </xf>
    <xf numFmtId="3" fontId="13" fillId="0" borderId="2" xfId="0" applyNumberFormat="1" applyFont="1" applyFill="1" applyBorder="1" applyAlignment="1" applyProtection="1">
      <alignment horizontal="center" vertical="center"/>
    </xf>
    <xf numFmtId="3" fontId="13" fillId="0" borderId="34" xfId="5" applyNumberFormat="1" applyFont="1" applyFill="1" applyBorder="1" applyAlignment="1" applyProtection="1">
      <alignment horizontal="center" vertical="center" wrapText="1"/>
      <protection locked="0"/>
    </xf>
    <xf numFmtId="176" fontId="18" fillId="0" borderId="58" xfId="0" applyNumberFormat="1" applyFont="1" applyFill="1" applyBorder="1" applyAlignment="1">
      <alignment horizontal="center" vertical="center" wrapText="1"/>
    </xf>
    <xf numFmtId="3" fontId="18" fillId="0" borderId="58" xfId="0" applyNumberFormat="1" applyFont="1" applyFill="1" applyBorder="1" applyAlignment="1">
      <alignment horizontal="center" vertical="center"/>
    </xf>
    <xf numFmtId="167" fontId="18" fillId="0" borderId="2" xfId="5" applyNumberFormat="1" applyFont="1" applyFill="1" applyBorder="1" applyAlignment="1" applyProtection="1">
      <alignment horizontal="center" vertical="center" wrapText="1"/>
    </xf>
    <xf numFmtId="167" fontId="18" fillId="0" borderId="2" xfId="5" applyNumberFormat="1" applyFont="1" applyFill="1" applyBorder="1" applyAlignment="1" applyProtection="1">
      <alignment horizontal="center" vertical="center" wrapText="1"/>
      <protection locked="0"/>
    </xf>
    <xf numFmtId="1" fontId="18" fillId="0" borderId="2" xfId="5" applyNumberFormat="1" applyFont="1" applyFill="1" applyBorder="1" applyAlignment="1" applyProtection="1">
      <alignment horizontal="center" vertical="center" wrapText="1"/>
      <protection locked="0"/>
    </xf>
    <xf numFmtId="3" fontId="18" fillId="0" borderId="32" xfId="0" applyNumberFormat="1" applyFont="1" applyFill="1" applyBorder="1" applyAlignment="1">
      <alignment horizontal="center" vertical="center"/>
    </xf>
    <xf numFmtId="3" fontId="18" fillId="0" borderId="58" xfId="5" applyNumberFormat="1" applyFont="1" applyFill="1" applyBorder="1" applyAlignment="1" applyProtection="1">
      <alignment horizontal="center" vertical="center" wrapText="1"/>
      <protection locked="0"/>
    </xf>
    <xf numFmtId="167" fontId="18" fillId="6" borderId="2" xfId="5" applyNumberFormat="1" applyFont="1" applyFill="1" applyBorder="1" applyAlignment="1" applyProtection="1">
      <alignment horizontal="center" vertical="center" wrapText="1"/>
    </xf>
    <xf numFmtId="3" fontId="150" fillId="0" borderId="32" xfId="83" applyNumberFormat="1" applyFont="1" applyFill="1" applyBorder="1"/>
    <xf numFmtId="3" fontId="18" fillId="0" borderId="93" xfId="0" applyNumberFormat="1" applyFont="1" applyFill="1" applyBorder="1" applyAlignment="1">
      <alignment horizontal="center" vertical="center"/>
    </xf>
    <xf numFmtId="0" fontId="132" fillId="6" borderId="32" xfId="5" applyFont="1" applyFill="1" applyBorder="1" applyAlignment="1" applyProtection="1">
      <alignment horizontal="center" vertical="center" wrapText="1"/>
    </xf>
    <xf numFmtId="0" fontId="165" fillId="6" borderId="32" xfId="5" applyFont="1" applyFill="1" applyBorder="1" applyAlignment="1" applyProtection="1">
      <alignment horizontal="center" vertical="center" wrapText="1"/>
    </xf>
    <xf numFmtId="0" fontId="165" fillId="0" borderId="32" xfId="5" applyFont="1" applyFill="1" applyBorder="1" applyAlignment="1" applyProtection="1">
      <alignment horizontal="center" vertical="center" wrapText="1"/>
      <protection locked="0"/>
    </xf>
    <xf numFmtId="3" fontId="165" fillId="0" borderId="58" xfId="5" applyNumberFormat="1" applyFont="1" applyFill="1" applyBorder="1" applyAlignment="1" applyProtection="1">
      <alignment horizontal="center" vertical="center"/>
      <protection locked="0"/>
    </xf>
    <xf numFmtId="0" fontId="13" fillId="0" borderId="59" xfId="5" applyFont="1" applyFill="1" applyBorder="1" applyAlignment="1" applyProtection="1">
      <alignment horizontal="center" vertical="center" wrapText="1"/>
      <protection locked="0"/>
    </xf>
    <xf numFmtId="0" fontId="13" fillId="0" borderId="33" xfId="5" applyFont="1" applyFill="1" applyBorder="1" applyAlignment="1" applyProtection="1">
      <alignment horizontal="center" vertical="center" wrapText="1"/>
      <protection locked="0"/>
    </xf>
    <xf numFmtId="0" fontId="165" fillId="0" borderId="33" xfId="5" applyFont="1" applyFill="1" applyBorder="1" applyAlignment="1" applyProtection="1">
      <alignment horizontal="center" vertical="center" wrapText="1"/>
      <protection locked="0"/>
    </xf>
    <xf numFmtId="0" fontId="13" fillId="0" borderId="59" xfId="5" applyFont="1" applyFill="1" applyBorder="1" applyAlignment="1" applyProtection="1">
      <alignment horizontal="center" vertical="center" wrapText="1"/>
    </xf>
    <xf numFmtId="0" fontId="13" fillId="0" borderId="33" xfId="5" applyFont="1" applyFill="1" applyBorder="1" applyAlignment="1" applyProtection="1">
      <alignment horizontal="center" vertical="center" wrapText="1"/>
    </xf>
    <xf numFmtId="176" fontId="18" fillId="0" borderId="94" xfId="0" applyNumberFormat="1" applyFont="1" applyFill="1" applyBorder="1" applyAlignment="1">
      <alignment horizontal="center" vertical="center" wrapText="1"/>
    </xf>
    <xf numFmtId="167" fontId="18" fillId="0" borderId="59" xfId="5" applyNumberFormat="1" applyFont="1" applyFill="1" applyBorder="1" applyAlignment="1" applyProtection="1">
      <alignment horizontal="center" vertical="center" wrapText="1"/>
    </xf>
    <xf numFmtId="9" fontId="18" fillId="0" borderId="2" xfId="14" applyFont="1" applyFill="1" applyBorder="1" applyAlignment="1" applyProtection="1">
      <alignment horizontal="center" vertical="center" wrapText="1"/>
      <protection locked="0"/>
    </xf>
    <xf numFmtId="3" fontId="18" fillId="0" borderId="58" xfId="5" applyNumberFormat="1" applyFont="1" applyFill="1" applyBorder="1" applyAlignment="1" applyProtection="1">
      <alignment horizontal="center" vertical="center"/>
      <protection locked="0"/>
    </xf>
    <xf numFmtId="176" fontId="18" fillId="0" borderId="59" xfId="0" applyNumberFormat="1" applyFont="1" applyFill="1" applyBorder="1" applyAlignment="1">
      <alignment horizontal="center" vertical="center" wrapText="1"/>
    </xf>
    <xf numFmtId="167" fontId="14" fillId="0" borderId="34" xfId="5" applyNumberFormat="1" applyFont="1" applyFill="1" applyBorder="1" applyAlignment="1" applyProtection="1">
      <alignment horizontal="center" vertical="center" wrapText="1"/>
    </xf>
    <xf numFmtId="167" fontId="13" fillId="0" borderId="34" xfId="5" applyNumberFormat="1" applyFont="1" applyFill="1" applyBorder="1" applyAlignment="1" applyProtection="1">
      <alignment horizontal="center" vertical="center" wrapText="1"/>
    </xf>
    <xf numFmtId="3" fontId="14" fillId="6" borderId="89" xfId="5" applyNumberFormat="1" applyFont="1" applyFill="1" applyBorder="1" applyAlignment="1" applyProtection="1">
      <alignment horizontal="center" vertical="center" wrapText="1"/>
    </xf>
    <xf numFmtId="10" fontId="14" fillId="0" borderId="2" xfId="5" applyNumberFormat="1" applyFont="1" applyFill="1" applyBorder="1" applyAlignment="1" applyProtection="1">
      <alignment horizontal="center" vertical="center" wrapText="1"/>
    </xf>
    <xf numFmtId="0" fontId="13" fillId="6" borderId="1" xfId="5" applyFont="1" applyFill="1" applyBorder="1" applyAlignment="1" applyProtection="1">
      <alignment horizontal="left" vertical="center" wrapText="1"/>
      <protection locked="0"/>
    </xf>
    <xf numFmtId="0" fontId="13" fillId="6" borderId="2" xfId="5" applyFont="1" applyFill="1" applyBorder="1" applyAlignment="1" applyProtection="1">
      <alignment horizontal="left" vertical="center" wrapText="1"/>
      <protection locked="0"/>
    </xf>
    <xf numFmtId="0" fontId="13" fillId="6" borderId="2" xfId="5" applyFont="1" applyFill="1" applyBorder="1" applyAlignment="1" applyProtection="1">
      <alignment horizontal="center" vertical="center" wrapText="1"/>
      <protection locked="0"/>
    </xf>
    <xf numFmtId="0" fontId="13" fillId="6" borderId="32" xfId="5" applyFont="1" applyFill="1" applyBorder="1" applyAlignment="1" applyProtection="1">
      <alignment horizontal="center" vertical="center" wrapText="1"/>
      <protection locked="0"/>
    </xf>
    <xf numFmtId="3" fontId="13" fillId="6" borderId="58" xfId="5" applyNumberFormat="1" applyFont="1" applyFill="1" applyBorder="1" applyAlignment="1" applyProtection="1">
      <alignment horizontal="center" vertical="center"/>
      <protection locked="0"/>
    </xf>
    <xf numFmtId="3" fontId="18" fillId="6" borderId="2" xfId="0" applyNumberFormat="1" applyFont="1" applyFill="1" applyBorder="1" applyAlignment="1" applyProtection="1">
      <alignment horizontal="center" vertical="center"/>
      <protection locked="0"/>
    </xf>
    <xf numFmtId="167" fontId="18" fillId="0" borderId="2" xfId="14" applyNumberFormat="1" applyFont="1" applyBorder="1" applyAlignment="1" applyProtection="1">
      <alignment horizontal="center" vertical="center"/>
      <protection locked="0"/>
    </xf>
    <xf numFmtId="167" fontId="13" fillId="6" borderId="2" xfId="5" applyNumberFormat="1" applyFont="1" applyFill="1" applyBorder="1" applyAlignment="1" applyProtection="1">
      <alignment horizontal="center" vertical="center" wrapText="1"/>
      <protection locked="0"/>
    </xf>
    <xf numFmtId="167" fontId="13" fillId="6" borderId="59" xfId="5" applyNumberFormat="1" applyFont="1" applyFill="1" applyBorder="1" applyAlignment="1" applyProtection="1">
      <alignment horizontal="center" vertical="center" wrapText="1"/>
    </xf>
    <xf numFmtId="164" fontId="13" fillId="6" borderId="2" xfId="5" applyNumberFormat="1" applyFont="1" applyFill="1" applyBorder="1" applyAlignment="1" applyProtection="1">
      <alignment horizontal="center" vertical="center" wrapText="1"/>
      <protection locked="0"/>
    </xf>
    <xf numFmtId="164" fontId="13" fillId="6" borderId="32" xfId="5" applyNumberFormat="1" applyFont="1" applyFill="1" applyBorder="1" applyAlignment="1" applyProtection="1">
      <alignment horizontal="center" vertical="center" wrapText="1"/>
      <protection locked="0"/>
    </xf>
    <xf numFmtId="3" fontId="18" fillId="6" borderId="58" xfId="5" applyNumberFormat="1" applyFont="1" applyFill="1" applyBorder="1" applyAlignment="1" applyProtection="1">
      <alignment horizontal="center" vertical="center" wrapText="1"/>
    </xf>
    <xf numFmtId="10" fontId="13" fillId="0" borderId="2" xfId="5" applyNumberFormat="1" applyFont="1" applyFill="1" applyBorder="1" applyAlignment="1" applyProtection="1">
      <alignment horizontal="center" vertical="center" wrapText="1"/>
    </xf>
    <xf numFmtId="38" fontId="13" fillId="6" borderId="34" xfId="5" applyNumberFormat="1" applyFont="1" applyFill="1" applyBorder="1" applyAlignment="1" applyProtection="1">
      <alignment horizontal="center" vertical="center"/>
      <protection locked="0"/>
    </xf>
    <xf numFmtId="167" fontId="18" fillId="6" borderId="2" xfId="5" applyNumberFormat="1" applyFont="1" applyFill="1" applyBorder="1" applyAlignment="1" applyProtection="1">
      <alignment horizontal="center" vertical="center"/>
      <protection locked="0"/>
    </xf>
    <xf numFmtId="3" fontId="52" fillId="51" borderId="58" xfId="5" applyNumberFormat="1" applyFont="1" applyFill="1" applyBorder="1" applyAlignment="1" applyProtection="1">
      <alignment horizontal="center" vertical="center" wrapText="1"/>
      <protection locked="0"/>
    </xf>
    <xf numFmtId="3" fontId="52" fillId="4" borderId="2" xfId="5" applyNumberFormat="1" applyFont="1" applyFill="1" applyBorder="1" applyAlignment="1" applyProtection="1">
      <alignment horizontal="center" vertical="center" wrapText="1"/>
      <protection locked="0"/>
    </xf>
    <xf numFmtId="3" fontId="18" fillId="4" borderId="2" xfId="5" applyNumberFormat="1" applyFont="1" applyFill="1" applyBorder="1" applyAlignment="1" applyProtection="1">
      <alignment horizontal="center" vertical="center" wrapText="1"/>
      <protection locked="0"/>
    </xf>
    <xf numFmtId="3" fontId="52" fillId="4" borderId="2" xfId="5" applyNumberFormat="1" applyFont="1" applyFill="1" applyBorder="1" applyAlignment="1" applyProtection="1">
      <alignment horizontal="center" vertical="center" wrapText="1"/>
    </xf>
    <xf numFmtId="3" fontId="52" fillId="4" borderId="59" xfId="5" applyNumberFormat="1" applyFont="1" applyFill="1" applyBorder="1" applyAlignment="1" applyProtection="1">
      <alignment horizontal="center" vertical="center" wrapText="1"/>
    </xf>
    <xf numFmtId="167" fontId="14" fillId="4" borderId="2" xfId="5" applyNumberFormat="1" applyFont="1" applyFill="1" applyBorder="1" applyAlignment="1" applyProtection="1">
      <alignment horizontal="center" vertical="center" wrapText="1"/>
    </xf>
    <xf numFmtId="167" fontId="160" fillId="4" borderId="2" xfId="5" applyNumberFormat="1" applyFont="1" applyFill="1" applyBorder="1" applyAlignment="1" applyProtection="1">
      <alignment horizontal="center" vertical="center" wrapText="1"/>
    </xf>
    <xf numFmtId="3" fontId="52" fillId="4" borderId="34" xfId="5" applyNumberFormat="1" applyFont="1" applyFill="1" applyBorder="1" applyAlignment="1" applyProtection="1">
      <alignment horizontal="center" vertical="center" wrapText="1"/>
    </xf>
    <xf numFmtId="3" fontId="52" fillId="4" borderId="32" xfId="5" applyNumberFormat="1" applyFont="1" applyFill="1" applyBorder="1" applyAlignment="1" applyProtection="1">
      <alignment horizontal="center" vertical="center" wrapText="1"/>
    </xf>
    <xf numFmtId="3" fontId="52" fillId="4" borderId="58" xfId="5" applyNumberFormat="1" applyFont="1" applyFill="1" applyBorder="1" applyAlignment="1" applyProtection="1">
      <alignment horizontal="center" vertical="center" wrapText="1"/>
    </xf>
    <xf numFmtId="167" fontId="52" fillId="4" borderId="2" xfId="5" applyNumberFormat="1" applyFont="1" applyFill="1" applyBorder="1" applyAlignment="1" applyProtection="1">
      <alignment horizontal="center" vertical="center" wrapText="1"/>
    </xf>
    <xf numFmtId="3" fontId="52" fillId="6" borderId="34" xfId="5" applyNumberFormat="1" applyFont="1" applyFill="1" applyBorder="1" applyAlignment="1" applyProtection="1">
      <alignment horizontal="center" vertical="center" wrapText="1"/>
    </xf>
    <xf numFmtId="3" fontId="52" fillId="6" borderId="2" xfId="5" applyNumberFormat="1" applyFont="1" applyFill="1" applyBorder="1" applyAlignment="1" applyProtection="1">
      <alignment horizontal="center" vertical="center" wrapText="1"/>
    </xf>
    <xf numFmtId="3" fontId="14" fillId="51" borderId="2" xfId="5" applyNumberFormat="1" applyFont="1" applyFill="1" applyBorder="1" applyAlignment="1" applyProtection="1">
      <alignment horizontal="center" vertical="center" wrapText="1"/>
      <protection locked="0"/>
    </xf>
    <xf numFmtId="0" fontId="144" fillId="6" borderId="2" xfId="0" applyFont="1" applyFill="1" applyBorder="1" applyAlignment="1">
      <alignment vertical="center" wrapText="1"/>
    </xf>
    <xf numFmtId="3" fontId="14" fillId="51" borderId="58" xfId="5" applyNumberFormat="1" applyFont="1" applyFill="1" applyBorder="1" applyAlignment="1" applyProtection="1">
      <alignment horizontal="center" vertical="center" wrapText="1"/>
      <protection locked="0"/>
    </xf>
    <xf numFmtId="0" fontId="70" fillId="0" borderId="2" xfId="0" applyFont="1" applyFill="1" applyBorder="1" applyAlignment="1">
      <alignment vertical="top" wrapText="1"/>
    </xf>
    <xf numFmtId="3" fontId="13" fillId="51" borderId="32" xfId="5" applyNumberFormat="1" applyFont="1" applyFill="1" applyBorder="1" applyAlignment="1" applyProtection="1">
      <alignment horizontal="center" vertical="center" wrapText="1"/>
      <protection locked="0"/>
    </xf>
    <xf numFmtId="3" fontId="13" fillId="51" borderId="2" xfId="0" applyNumberFormat="1" applyFont="1" applyFill="1" applyBorder="1" applyAlignment="1">
      <alignment horizontal="center" vertical="center"/>
    </xf>
    <xf numFmtId="3" fontId="13" fillId="6" borderId="2" xfId="0" applyNumberFormat="1" applyFont="1" applyFill="1" applyBorder="1" applyAlignment="1">
      <alignment horizontal="center" vertical="center"/>
    </xf>
    <xf numFmtId="0" fontId="70" fillId="0" borderId="2" xfId="0" applyFont="1" applyFill="1" applyBorder="1" applyAlignment="1">
      <alignment horizontal="left" vertical="top" wrapText="1"/>
    </xf>
    <xf numFmtId="3" fontId="13" fillId="0" borderId="59" xfId="0" applyNumberFormat="1" applyFont="1" applyFill="1" applyBorder="1" applyAlignment="1" applyProtection="1">
      <alignment horizontal="center" vertical="center"/>
      <protection locked="0"/>
    </xf>
    <xf numFmtId="4" fontId="208" fillId="6" borderId="2" xfId="0" applyNumberFormat="1" applyFont="1" applyFill="1" applyBorder="1" applyAlignment="1">
      <alignment horizontal="right" vertical="center"/>
    </xf>
    <xf numFmtId="3" fontId="13" fillId="6" borderId="2" xfId="5" applyNumberFormat="1" applyFont="1" applyFill="1" applyBorder="1" applyAlignment="1" applyProtection="1">
      <alignment horizontal="center" vertical="center" wrapText="1"/>
      <protection locked="0"/>
    </xf>
    <xf numFmtId="3" fontId="13" fillId="6" borderId="32" xfId="5" applyNumberFormat="1" applyFont="1" applyFill="1" applyBorder="1" applyAlignment="1" applyProtection="1">
      <alignment horizontal="center" vertical="center" wrapText="1"/>
      <protection locked="0"/>
    </xf>
    <xf numFmtId="167" fontId="18" fillId="0" borderId="59" xfId="0" applyNumberFormat="1" applyFont="1" applyBorder="1" applyAlignment="1" applyProtection="1">
      <alignment horizontal="center" vertical="center"/>
    </xf>
    <xf numFmtId="3" fontId="13" fillId="0" borderId="59" xfId="5" applyNumberFormat="1" applyFont="1" applyFill="1" applyBorder="1" applyAlignment="1" applyProtection="1">
      <alignment horizontal="center" vertical="center" wrapText="1"/>
      <protection locked="0"/>
    </xf>
    <xf numFmtId="0" fontId="13" fillId="6" borderId="2" xfId="5" applyFont="1" applyFill="1" applyBorder="1" applyAlignment="1" applyProtection="1">
      <alignment horizontal="center" vertical="center" wrapText="1"/>
    </xf>
    <xf numFmtId="3" fontId="13" fillId="51" borderId="58" xfId="5" applyNumberFormat="1" applyFont="1" applyFill="1" applyBorder="1" applyAlignment="1" applyProtection="1">
      <alignment horizontal="center" vertical="center"/>
      <protection locked="0"/>
    </xf>
    <xf numFmtId="3" fontId="13" fillId="0" borderId="59" xfId="5" applyNumberFormat="1" applyFont="1" applyFill="1" applyBorder="1" applyAlignment="1" applyProtection="1">
      <alignment horizontal="center" vertical="center" wrapText="1"/>
    </xf>
    <xf numFmtId="3" fontId="13" fillId="6" borderId="34" xfId="5" applyNumberFormat="1" applyFont="1" applyFill="1" applyBorder="1" applyAlignment="1" applyProtection="1">
      <alignment horizontal="center" vertical="center" wrapText="1"/>
    </xf>
    <xf numFmtId="3" fontId="13" fillId="6" borderId="2" xfId="5" applyNumberFormat="1" applyFont="1" applyFill="1" applyBorder="1" applyAlignment="1" applyProtection="1">
      <alignment horizontal="center" vertical="center" wrapText="1"/>
    </xf>
    <xf numFmtId="3" fontId="13" fillId="6" borderId="32" xfId="5" applyNumberFormat="1" applyFont="1" applyFill="1" applyBorder="1" applyAlignment="1" applyProtection="1">
      <alignment horizontal="center" vertical="center" wrapText="1"/>
    </xf>
    <xf numFmtId="3" fontId="13" fillId="51" borderId="2" xfId="5" applyNumberFormat="1" applyFont="1" applyFill="1" applyBorder="1" applyAlignment="1" applyProtection="1">
      <alignment horizontal="center" vertical="center" wrapText="1"/>
      <protection locked="0"/>
    </xf>
    <xf numFmtId="3" fontId="13" fillId="0" borderId="2" xfId="5" applyNumberFormat="1" applyFont="1" applyFill="1" applyBorder="1" applyAlignment="1" applyProtection="1">
      <alignment horizontal="left" vertical="top" wrapText="1"/>
      <protection locked="0"/>
    </xf>
    <xf numFmtId="3" fontId="13" fillId="6" borderId="34" xfId="5" applyNumberFormat="1" applyFont="1" applyFill="1" applyBorder="1" applyAlignment="1" applyProtection="1">
      <alignment horizontal="center" vertical="center" wrapText="1"/>
      <protection locked="0"/>
    </xf>
    <xf numFmtId="3" fontId="15" fillId="6" borderId="2" xfId="5" applyNumberFormat="1" applyFont="1" applyFill="1" applyBorder="1" applyAlignment="1" applyProtection="1">
      <alignment horizontal="center" vertical="center" wrapText="1"/>
    </xf>
    <xf numFmtId="3" fontId="13" fillId="0" borderId="2" xfId="5" applyNumberFormat="1" applyFont="1" applyFill="1" applyBorder="1" applyAlignment="1" applyProtection="1">
      <alignment horizontal="left" vertical="center" wrapText="1"/>
      <protection locked="0"/>
    </xf>
    <xf numFmtId="3" fontId="13" fillId="6" borderId="58" xfId="5" applyNumberFormat="1" applyFont="1" applyFill="1" applyBorder="1" applyAlignment="1" applyProtection="1">
      <alignment horizontal="center" vertical="center" wrapText="1"/>
    </xf>
    <xf numFmtId="0" fontId="70" fillId="0" borderId="2" xfId="0" applyFont="1" applyFill="1" applyBorder="1" applyAlignment="1">
      <alignment horizontal="justify" vertical="center"/>
    </xf>
    <xf numFmtId="3" fontId="15" fillId="0" borderId="2" xfId="5" applyNumberFormat="1" applyFont="1" applyFill="1" applyBorder="1" applyAlignment="1" applyProtection="1">
      <alignment horizontal="center" vertical="center" wrapText="1"/>
      <protection locked="0"/>
    </xf>
    <xf numFmtId="3" fontId="18" fillId="0" borderId="2" xfId="5" applyNumberFormat="1" applyFont="1" applyFill="1" applyBorder="1" applyAlignment="1" applyProtection="1">
      <alignment horizontal="left" vertical="center" wrapText="1"/>
      <protection locked="0"/>
    </xf>
    <xf numFmtId="3" fontId="18" fillId="0" borderId="2" xfId="5" applyNumberFormat="1" applyFont="1" applyFill="1" applyBorder="1" applyAlignment="1" applyProtection="1">
      <alignment horizontal="left" vertical="top" wrapText="1"/>
      <protection locked="0"/>
    </xf>
    <xf numFmtId="3" fontId="13" fillId="51" borderId="58" xfId="5" applyNumberFormat="1" applyFont="1" applyFill="1" applyBorder="1" applyAlignment="1" applyProtection="1">
      <alignment horizontal="center" vertical="center" wrapText="1"/>
      <protection locked="0"/>
    </xf>
    <xf numFmtId="0" fontId="70" fillId="0" borderId="2" xfId="0" applyFont="1" applyFill="1" applyBorder="1" applyAlignment="1">
      <alignment horizontal="justify" vertical="top"/>
    </xf>
    <xf numFmtId="167" fontId="14" fillId="6" borderId="2" xfId="5" applyNumberFormat="1" applyFont="1" applyFill="1" applyBorder="1" applyAlignment="1" applyProtection="1">
      <alignment horizontal="center" vertical="center" wrapText="1"/>
      <protection locked="0"/>
    </xf>
    <xf numFmtId="3" fontId="13" fillId="6" borderId="58" xfId="5" applyNumberFormat="1" applyFont="1" applyFill="1" applyBorder="1" applyAlignment="1" applyProtection="1">
      <alignment horizontal="center" vertical="center" wrapText="1"/>
      <protection locked="0"/>
    </xf>
    <xf numFmtId="3" fontId="52" fillId="4" borderId="58" xfId="5" applyNumberFormat="1" applyFont="1" applyFill="1" applyBorder="1" applyAlignment="1" applyProtection="1">
      <alignment horizontal="center" vertical="center" wrapText="1"/>
      <protection locked="0"/>
    </xf>
    <xf numFmtId="3" fontId="14" fillId="4" borderId="2" xfId="5" applyNumberFormat="1" applyFont="1" applyFill="1" applyBorder="1" applyAlignment="1" applyProtection="1">
      <alignment horizontal="center" vertical="center" wrapText="1"/>
      <protection locked="0"/>
    </xf>
    <xf numFmtId="3" fontId="52" fillId="4" borderId="59" xfId="5" applyNumberFormat="1" applyFont="1" applyFill="1" applyBorder="1" applyAlignment="1" applyProtection="1">
      <alignment horizontal="center" vertical="center" wrapText="1"/>
      <protection locked="0"/>
    </xf>
    <xf numFmtId="167" fontId="206" fillId="4" borderId="2" xfId="5" applyNumberFormat="1" applyFont="1" applyFill="1" applyBorder="1" applyAlignment="1" applyProtection="1">
      <alignment horizontal="center" vertical="center" wrapText="1"/>
    </xf>
    <xf numFmtId="3" fontId="52" fillId="6" borderId="2" xfId="12" applyNumberFormat="1" applyFont="1" applyFill="1" applyBorder="1" applyAlignment="1" applyProtection="1">
      <alignment horizontal="center" vertical="center" wrapText="1"/>
      <protection locked="0"/>
    </xf>
    <xf numFmtId="3" fontId="51" fillId="0" borderId="0" xfId="0" applyNumberFormat="1" applyFont="1" applyProtection="1"/>
    <xf numFmtId="0" fontId="52" fillId="104" borderId="1" xfId="5" applyFont="1" applyFill="1" applyBorder="1" applyAlignment="1" applyProtection="1">
      <alignment horizontal="left" vertical="center" wrapText="1"/>
    </xf>
    <xf numFmtId="0" fontId="52" fillId="104" borderId="2" xfId="5" applyFont="1" applyFill="1" applyBorder="1" applyAlignment="1" applyProtection="1">
      <alignment horizontal="left" vertical="center" wrapText="1"/>
    </xf>
    <xf numFmtId="0" fontId="52" fillId="104" borderId="2" xfId="5" applyFont="1" applyFill="1" applyBorder="1" applyAlignment="1" applyProtection="1">
      <alignment horizontal="center" vertical="center" wrapText="1"/>
    </xf>
    <xf numFmtId="3" fontId="52" fillId="104" borderId="32" xfId="5" applyNumberFormat="1" applyFont="1" applyFill="1" applyBorder="1" applyAlignment="1" applyProtection="1">
      <alignment horizontal="center" vertical="center" wrapText="1"/>
    </xf>
    <xf numFmtId="3" fontId="52" fillId="104" borderId="58" xfId="5" applyNumberFormat="1" applyFont="1" applyFill="1" applyBorder="1" applyAlignment="1" applyProtection="1">
      <alignment horizontal="center" vertical="center" wrapText="1"/>
      <protection locked="0"/>
    </xf>
    <xf numFmtId="3" fontId="52" fillId="104" borderId="2" xfId="5" applyNumberFormat="1" applyFont="1" applyFill="1" applyBorder="1" applyAlignment="1" applyProtection="1">
      <alignment horizontal="center" vertical="center" wrapText="1"/>
      <protection locked="0"/>
    </xf>
    <xf numFmtId="3" fontId="14" fillId="104" borderId="2" xfId="5" applyNumberFormat="1" applyFont="1" applyFill="1" applyBorder="1" applyAlignment="1" applyProtection="1">
      <alignment horizontal="center" vertical="center" wrapText="1"/>
      <protection locked="0"/>
    </xf>
    <xf numFmtId="3" fontId="52" fillId="104" borderId="2" xfId="5" applyNumberFormat="1" applyFont="1" applyFill="1" applyBorder="1" applyAlignment="1" applyProtection="1">
      <alignment horizontal="center" vertical="center" wrapText="1"/>
    </xf>
    <xf numFmtId="167" fontId="14" fillId="104" borderId="2" xfId="14" applyNumberFormat="1" applyFont="1" applyFill="1" applyBorder="1" applyAlignment="1" applyProtection="1">
      <alignment horizontal="center" vertical="center" wrapText="1"/>
    </xf>
    <xf numFmtId="3" fontId="52" fillId="104" borderId="59" xfId="5" applyNumberFormat="1" applyFont="1" applyFill="1" applyBorder="1" applyAlignment="1" applyProtection="1">
      <alignment horizontal="center" vertical="center" wrapText="1"/>
    </xf>
    <xf numFmtId="167" fontId="14" fillId="104" borderId="2" xfId="5" applyNumberFormat="1" applyFont="1" applyFill="1" applyBorder="1" applyAlignment="1" applyProtection="1">
      <alignment horizontal="center" vertical="center" wrapText="1"/>
    </xf>
    <xf numFmtId="167" fontId="206" fillId="104" borderId="2" xfId="5" applyNumberFormat="1" applyFont="1" applyFill="1" applyBorder="1" applyAlignment="1" applyProtection="1">
      <alignment horizontal="center" vertical="center" wrapText="1"/>
    </xf>
    <xf numFmtId="167" fontId="14" fillId="104" borderId="59" xfId="5" applyNumberFormat="1" applyFont="1" applyFill="1" applyBorder="1" applyAlignment="1" applyProtection="1">
      <alignment horizontal="center" vertical="center" wrapText="1"/>
    </xf>
    <xf numFmtId="3" fontId="52" fillId="104" borderId="58" xfId="5" applyNumberFormat="1" applyFont="1" applyFill="1" applyBorder="1" applyAlignment="1" applyProtection="1">
      <alignment horizontal="center" vertical="center" wrapText="1"/>
    </xf>
    <xf numFmtId="167" fontId="14" fillId="104" borderId="2" xfId="5" applyNumberFormat="1" applyFont="1" applyFill="1" applyBorder="1" applyAlignment="1" applyProtection="1">
      <alignment horizontal="center" vertical="center" wrapText="1"/>
      <protection locked="0"/>
    </xf>
    <xf numFmtId="3" fontId="52" fillId="104" borderId="34" xfId="5" applyNumberFormat="1" applyFont="1" applyFill="1" applyBorder="1" applyAlignment="1" applyProtection="1">
      <alignment horizontal="center" vertical="center" wrapText="1"/>
    </xf>
    <xf numFmtId="167" fontId="52" fillId="104" borderId="2" xfId="5" applyNumberFormat="1" applyFont="1" applyFill="1" applyBorder="1" applyAlignment="1" applyProtection="1">
      <alignment horizontal="center" vertical="center" wrapText="1"/>
    </xf>
    <xf numFmtId="167" fontId="52" fillId="0" borderId="2" xfId="5" applyNumberFormat="1" applyFont="1" applyFill="1" applyBorder="1" applyAlignment="1" applyProtection="1">
      <alignment horizontal="center" vertical="center" wrapText="1"/>
    </xf>
    <xf numFmtId="167" fontId="15" fillId="0" borderId="59" xfId="0" applyNumberFormat="1" applyFont="1" applyFill="1" applyBorder="1" applyAlignment="1" applyProtection="1">
      <alignment horizontal="center" vertical="center"/>
    </xf>
    <xf numFmtId="0" fontId="51" fillId="0" borderId="0" xfId="0" applyFont="1" applyFill="1" applyProtection="1"/>
    <xf numFmtId="3" fontId="13" fillId="106" borderId="32" xfId="5" applyNumberFormat="1" applyFont="1" applyFill="1" applyBorder="1" applyAlignment="1" applyProtection="1">
      <alignment horizontal="center" vertical="center" wrapText="1"/>
      <protection locked="0"/>
    </xf>
    <xf numFmtId="3" fontId="13" fillId="106" borderId="2" xfId="5" applyNumberFormat="1" applyFont="1" applyFill="1" applyBorder="1" applyAlignment="1" applyProtection="1">
      <alignment horizontal="center" vertical="center" wrapText="1"/>
      <protection locked="0"/>
    </xf>
    <xf numFmtId="167" fontId="18" fillId="0" borderId="59" xfId="0" applyNumberFormat="1" applyFont="1" applyFill="1" applyBorder="1" applyAlignment="1" applyProtection="1">
      <alignment horizontal="center" vertical="center"/>
    </xf>
    <xf numFmtId="167" fontId="13" fillId="0" borderId="2" xfId="5" applyNumberFormat="1" applyFont="1" applyFill="1" applyBorder="1" applyAlignment="1" applyProtection="1">
      <alignment horizontal="center" vertical="center"/>
      <protection locked="0"/>
    </xf>
    <xf numFmtId="167" fontId="13" fillId="0" borderId="91" xfId="5" applyNumberFormat="1" applyFont="1" applyFill="1" applyBorder="1" applyAlignment="1" applyProtection="1">
      <alignment horizontal="center" vertical="center"/>
      <protection locked="0"/>
    </xf>
    <xf numFmtId="3" fontId="13" fillId="51" borderId="95" xfId="5" applyNumberFormat="1" applyFont="1" applyFill="1" applyBorder="1" applyAlignment="1" applyProtection="1">
      <alignment horizontal="center" vertical="center"/>
      <protection locked="0"/>
    </xf>
    <xf numFmtId="3" fontId="13" fillId="0" borderId="2" xfId="13" applyNumberFormat="1" applyFont="1" applyFill="1" applyBorder="1" applyAlignment="1">
      <alignment horizontal="center" vertical="center"/>
    </xf>
    <xf numFmtId="167" fontId="14" fillId="0" borderId="2" xfId="5" applyNumberFormat="1" applyFont="1" applyFill="1" applyBorder="1" applyAlignment="1" applyProtection="1">
      <alignment horizontal="center" vertical="center" wrapText="1"/>
      <protection locked="0"/>
    </xf>
    <xf numFmtId="3" fontId="14" fillId="0" borderId="34" xfId="5" applyNumberFormat="1" applyFont="1" applyFill="1" applyBorder="1" applyAlignment="1" applyProtection="1">
      <alignment horizontal="center" vertical="center" wrapText="1"/>
      <protection locked="0"/>
    </xf>
    <xf numFmtId="167" fontId="14" fillId="0" borderId="2" xfId="5" applyNumberFormat="1" applyFont="1" applyFill="1" applyBorder="1" applyAlignment="1" applyProtection="1">
      <alignment horizontal="center" vertical="center"/>
      <protection locked="0"/>
    </xf>
    <xf numFmtId="167" fontId="14" fillId="0" borderId="91" xfId="5" applyNumberFormat="1" applyFont="1" applyFill="1" applyBorder="1" applyAlignment="1" applyProtection="1">
      <alignment horizontal="center" vertical="center"/>
      <protection locked="0"/>
    </xf>
    <xf numFmtId="0" fontId="51" fillId="0" borderId="0" xfId="0" applyFont="1" applyFill="1" applyBorder="1" applyProtection="1"/>
    <xf numFmtId="3" fontId="13" fillId="0" borderId="32" xfId="13" applyNumberFormat="1" applyFont="1" applyFill="1" applyBorder="1" applyAlignment="1">
      <alignment horizontal="center" vertical="center"/>
    </xf>
    <xf numFmtId="167" fontId="18" fillId="0" borderId="59" xfId="14" applyNumberFormat="1" applyFont="1" applyFill="1" applyBorder="1" applyAlignment="1" applyProtection="1">
      <alignment horizontal="center" vertical="center"/>
      <protection locked="0"/>
    </xf>
    <xf numFmtId="3" fontId="13" fillId="0" borderId="58" xfId="13" applyNumberFormat="1" applyFont="1" applyFill="1" applyBorder="1" applyAlignment="1">
      <alignment horizontal="center" vertical="center"/>
    </xf>
    <xf numFmtId="3" fontId="13" fillId="0" borderId="32" xfId="5" applyNumberFormat="1" applyFont="1" applyFill="1" applyBorder="1" applyAlignment="1" applyProtection="1">
      <alignment horizontal="center" vertical="center"/>
    </xf>
    <xf numFmtId="3" fontId="15" fillId="0" borderId="32" xfId="5" applyNumberFormat="1" applyFont="1" applyFill="1" applyBorder="1" applyAlignment="1" applyProtection="1">
      <alignment horizontal="center" vertical="center"/>
      <protection locked="0"/>
    </xf>
    <xf numFmtId="3" fontId="165" fillId="0" borderId="32" xfId="13" applyNumberFormat="1" applyFont="1" applyFill="1" applyBorder="1" applyAlignment="1">
      <alignment horizontal="center" vertical="center"/>
    </xf>
    <xf numFmtId="0" fontId="13" fillId="106" borderId="1" xfId="5" applyFont="1" applyFill="1" applyBorder="1" applyAlignment="1" applyProtection="1">
      <alignment horizontal="left" vertical="center" wrapText="1"/>
      <protection locked="0"/>
    </xf>
    <xf numFmtId="0" fontId="13" fillId="106" borderId="2" xfId="5" applyFont="1" applyFill="1" applyBorder="1" applyAlignment="1" applyProtection="1">
      <alignment horizontal="left" vertical="center" wrapText="1"/>
      <protection locked="0"/>
    </xf>
    <xf numFmtId="0" fontId="13" fillId="106" borderId="2" xfId="5" applyFont="1" applyFill="1" applyBorder="1" applyAlignment="1" applyProtection="1">
      <alignment horizontal="center" vertical="center" wrapText="1"/>
      <protection locked="0"/>
    </xf>
    <xf numFmtId="3" fontId="13" fillId="106" borderId="32" xfId="13" applyNumberFormat="1" applyFont="1" applyFill="1" applyBorder="1" applyAlignment="1">
      <alignment horizontal="center" vertical="center"/>
    </xf>
    <xf numFmtId="3" fontId="13" fillId="106" borderId="58" xfId="13" applyNumberFormat="1" applyFont="1" applyFill="1" applyBorder="1" applyAlignment="1">
      <alignment horizontal="center" vertical="center"/>
    </xf>
    <xf numFmtId="3" fontId="13" fillId="106" borderId="2" xfId="13" applyNumberFormat="1" applyFont="1" applyFill="1" applyBorder="1" applyAlignment="1">
      <alignment horizontal="center" vertical="center"/>
    </xf>
    <xf numFmtId="3" fontId="13" fillId="106" borderId="2" xfId="5" applyNumberFormat="1" applyFont="1" applyFill="1" applyBorder="1" applyAlignment="1" applyProtection="1">
      <alignment horizontal="center" vertical="center"/>
      <protection locked="0"/>
    </xf>
    <xf numFmtId="3" fontId="14" fillId="106" borderId="2" xfId="5" applyNumberFormat="1" applyFont="1" applyFill="1" applyBorder="1" applyAlignment="1" applyProtection="1">
      <alignment horizontal="center" vertical="center" wrapText="1"/>
      <protection locked="0"/>
    </xf>
    <xf numFmtId="3" fontId="18" fillId="106" borderId="2" xfId="0" applyNumberFormat="1" applyFont="1" applyFill="1" applyBorder="1" applyAlignment="1" applyProtection="1">
      <alignment horizontal="center" vertical="center"/>
      <protection locked="0"/>
    </xf>
    <xf numFmtId="167" fontId="18" fillId="106" borderId="2" xfId="14" applyNumberFormat="1" applyFont="1" applyFill="1" applyBorder="1" applyAlignment="1" applyProtection="1">
      <alignment horizontal="center" vertical="center"/>
      <protection locked="0"/>
    </xf>
    <xf numFmtId="3" fontId="13" fillId="106" borderId="32" xfId="5" applyNumberFormat="1" applyFont="1" applyFill="1" applyBorder="1" applyAlignment="1" applyProtection="1">
      <alignment horizontal="center" vertical="center"/>
      <protection locked="0"/>
    </xf>
    <xf numFmtId="167" fontId="14" fillId="106" borderId="2" xfId="5" applyNumberFormat="1" applyFont="1" applyFill="1" applyBorder="1" applyAlignment="1" applyProtection="1">
      <alignment horizontal="center" vertical="center" wrapText="1"/>
    </xf>
    <xf numFmtId="167" fontId="13" fillId="106" borderId="2" xfId="5" applyNumberFormat="1" applyFont="1" applyFill="1" applyBorder="1" applyAlignment="1" applyProtection="1">
      <alignment horizontal="center" vertical="center" wrapText="1"/>
      <protection locked="0"/>
    </xf>
    <xf numFmtId="167" fontId="14" fillId="106" borderId="59" xfId="5" applyNumberFormat="1" applyFont="1" applyFill="1" applyBorder="1" applyAlignment="1" applyProtection="1">
      <alignment horizontal="center" vertical="center" wrapText="1"/>
    </xf>
    <xf numFmtId="3" fontId="13" fillId="106" borderId="58" xfId="5" applyNumberFormat="1" applyFont="1" applyFill="1" applyBorder="1" applyAlignment="1" applyProtection="1">
      <alignment horizontal="center" vertical="center"/>
      <protection locked="0"/>
    </xf>
    <xf numFmtId="167" fontId="13" fillId="106" borderId="2" xfId="5" applyNumberFormat="1" applyFont="1" applyFill="1" applyBorder="1" applyAlignment="1" applyProtection="1">
      <alignment horizontal="center" vertical="center" wrapText="1"/>
    </xf>
    <xf numFmtId="167" fontId="13" fillId="106" borderId="59" xfId="5" applyNumberFormat="1" applyFont="1" applyFill="1" applyBorder="1" applyAlignment="1" applyProtection="1">
      <alignment horizontal="center" vertical="center" wrapText="1"/>
    </xf>
    <xf numFmtId="3" fontId="13" fillId="106" borderId="34" xfId="5" applyNumberFormat="1" applyFont="1" applyFill="1" applyBorder="1" applyAlignment="1" applyProtection="1">
      <alignment horizontal="center" vertical="center" wrapText="1"/>
      <protection locked="0"/>
    </xf>
    <xf numFmtId="3" fontId="13" fillId="106" borderId="58" xfId="5" applyNumberFormat="1" applyFont="1" applyFill="1" applyBorder="1" applyAlignment="1" applyProtection="1">
      <alignment horizontal="center" vertical="center" wrapText="1"/>
      <protection locked="0"/>
    </xf>
    <xf numFmtId="3" fontId="13" fillId="106" borderId="2" xfId="0" applyNumberFormat="1" applyFont="1" applyFill="1" applyBorder="1" applyAlignment="1" applyProtection="1">
      <alignment horizontal="center" vertical="center"/>
      <protection locked="0"/>
    </xf>
    <xf numFmtId="3" fontId="13" fillId="106" borderId="2" xfId="0" applyNumberFormat="1" applyFont="1" applyFill="1" applyBorder="1" applyAlignment="1" applyProtection="1">
      <alignment horizontal="center" vertical="center"/>
    </xf>
    <xf numFmtId="167" fontId="18" fillId="106" borderId="59" xfId="0" applyNumberFormat="1" applyFont="1" applyFill="1" applyBorder="1" applyAlignment="1" applyProtection="1">
      <alignment horizontal="center" vertical="center"/>
    </xf>
    <xf numFmtId="3" fontId="13" fillId="106" borderId="34" xfId="5" applyNumberFormat="1" applyFont="1" applyFill="1" applyBorder="1" applyAlignment="1" applyProtection="1">
      <alignment horizontal="center" vertical="center"/>
      <protection locked="0"/>
    </xf>
    <xf numFmtId="167" fontId="13" fillId="106" borderId="2" xfId="5" applyNumberFormat="1" applyFont="1" applyFill="1" applyBorder="1" applyAlignment="1" applyProtection="1">
      <alignment horizontal="center" vertical="center"/>
      <protection locked="0"/>
    </xf>
    <xf numFmtId="167" fontId="13" fillId="106" borderId="91" xfId="5" applyNumberFormat="1" applyFont="1" applyFill="1" applyBorder="1" applyAlignment="1" applyProtection="1">
      <alignment horizontal="center" vertical="center"/>
      <protection locked="0"/>
    </xf>
    <xf numFmtId="0" fontId="51" fillId="106" borderId="0" xfId="0" applyFont="1" applyFill="1"/>
    <xf numFmtId="3" fontId="13" fillId="106" borderId="95" xfId="5" applyNumberFormat="1" applyFont="1" applyFill="1" applyBorder="1" applyAlignment="1" applyProtection="1">
      <alignment horizontal="center" vertical="center"/>
      <protection locked="0"/>
    </xf>
    <xf numFmtId="0" fontId="51" fillId="106" borderId="0" xfId="0" applyFont="1" applyFill="1" applyBorder="1"/>
    <xf numFmtId="3" fontId="165" fillId="0" borderId="58" xfId="13" applyNumberFormat="1" applyFont="1" applyFill="1" applyBorder="1" applyAlignment="1">
      <alignment horizontal="center" vertical="center"/>
    </xf>
    <xf numFmtId="3" fontId="14" fillId="0" borderId="34" xfId="5" applyNumberFormat="1" applyFont="1" applyFill="1" applyBorder="1" applyAlignment="1" applyProtection="1">
      <alignment horizontal="center" vertical="center"/>
      <protection locked="0"/>
    </xf>
    <xf numFmtId="0" fontId="177" fillId="0" borderId="0" xfId="0" applyFont="1" applyFill="1" applyProtection="1"/>
    <xf numFmtId="0" fontId="177" fillId="0" borderId="0" xfId="0" applyFont="1" applyFill="1" applyBorder="1" applyProtection="1"/>
    <xf numFmtId="4" fontId="13" fillId="0" borderId="2" xfId="5" applyNumberFormat="1" applyFont="1" applyFill="1" applyBorder="1" applyAlignment="1" applyProtection="1">
      <alignment horizontal="center" vertical="center"/>
      <protection locked="0"/>
    </xf>
    <xf numFmtId="3" fontId="14" fillId="0" borderId="32" xfId="5" applyNumberFormat="1" applyFont="1" applyFill="1" applyBorder="1" applyAlignment="1" applyProtection="1">
      <alignment horizontal="center" vertical="center" wrapText="1"/>
      <protection locked="0"/>
    </xf>
    <xf numFmtId="3" fontId="165" fillId="0" borderId="58" xfId="5" applyNumberFormat="1" applyFont="1" applyFill="1" applyBorder="1" applyAlignment="1" applyProtection="1">
      <alignment horizontal="center" vertical="center" wrapText="1"/>
      <protection locked="0"/>
    </xf>
    <xf numFmtId="3" fontId="51" fillId="0" borderId="0" xfId="0" applyNumberFormat="1" applyFont="1" applyFill="1" applyProtection="1"/>
    <xf numFmtId="176" fontId="13" fillId="0" borderId="34" xfId="5" applyNumberFormat="1" applyFont="1" applyFill="1" applyBorder="1" applyAlignment="1" applyProtection="1">
      <alignment horizontal="center" vertical="center" wrapText="1"/>
      <protection locked="0"/>
    </xf>
    <xf numFmtId="177" fontId="13" fillId="0" borderId="2" xfId="5" applyNumberFormat="1" applyFont="1" applyFill="1" applyBorder="1" applyAlignment="1" applyProtection="1">
      <alignment horizontal="center" vertical="center" wrapText="1"/>
      <protection locked="0"/>
    </xf>
    <xf numFmtId="38" fontId="13" fillId="0" borderId="34" xfId="5" applyNumberFormat="1" applyFont="1" applyFill="1" applyBorder="1" applyAlignment="1" applyProtection="1">
      <alignment horizontal="center" vertical="center"/>
      <protection locked="0"/>
    </xf>
    <xf numFmtId="167" fontId="18" fillId="0" borderId="2" xfId="5" applyNumberFormat="1" applyFont="1" applyFill="1" applyBorder="1" applyAlignment="1" applyProtection="1">
      <alignment horizontal="center" vertical="center"/>
      <protection locked="0"/>
    </xf>
    <xf numFmtId="167" fontId="18" fillId="0" borderId="2" xfId="0" applyNumberFormat="1" applyFont="1" applyFill="1" applyBorder="1" applyAlignment="1" applyProtection="1">
      <alignment horizontal="center" vertical="center"/>
    </xf>
    <xf numFmtId="3" fontId="13" fillId="6" borderId="0" xfId="13" applyNumberFormat="1" applyFont="1" applyFill="1" applyBorder="1" applyAlignment="1">
      <alignment horizontal="center" vertical="center"/>
    </xf>
    <xf numFmtId="3" fontId="13" fillId="6" borderId="96" xfId="5" applyNumberFormat="1" applyFont="1" applyFill="1" applyBorder="1" applyAlignment="1" applyProtection="1">
      <alignment horizontal="center" vertical="center" wrapText="1"/>
      <protection locked="0"/>
    </xf>
    <xf numFmtId="3" fontId="13" fillId="6" borderId="97" xfId="13" applyNumberFormat="1" applyFont="1" applyFill="1" applyBorder="1" applyAlignment="1">
      <alignment horizontal="center" vertical="center"/>
    </xf>
    <xf numFmtId="3" fontId="13" fillId="6" borderId="97" xfId="5" applyNumberFormat="1" applyFont="1" applyFill="1" applyBorder="1" applyAlignment="1" applyProtection="1">
      <alignment horizontal="center" vertical="center" wrapText="1"/>
      <protection locked="0"/>
    </xf>
    <xf numFmtId="3" fontId="13" fillId="6" borderId="69" xfId="5" applyNumberFormat="1" applyFont="1" applyFill="1" applyBorder="1" applyAlignment="1" applyProtection="1">
      <alignment horizontal="center" vertical="center"/>
      <protection locked="0"/>
    </xf>
    <xf numFmtId="3" fontId="18" fillId="6" borderId="67" xfId="5" applyNumberFormat="1" applyFont="1" applyFill="1" applyBorder="1" applyAlignment="1" applyProtection="1">
      <alignment horizontal="center" vertical="center"/>
      <protection locked="0"/>
    </xf>
    <xf numFmtId="3" fontId="18" fillId="6" borderId="66" xfId="5" applyNumberFormat="1" applyFont="1" applyFill="1" applyBorder="1" applyAlignment="1" applyProtection="1">
      <alignment horizontal="center" vertical="center"/>
      <protection locked="0"/>
    </xf>
    <xf numFmtId="167" fontId="18" fillId="6" borderId="69" xfId="5" applyNumberFormat="1" applyFont="1" applyFill="1" applyBorder="1" applyAlignment="1" applyProtection="1">
      <alignment horizontal="center" vertical="center" wrapText="1"/>
    </xf>
    <xf numFmtId="167" fontId="18" fillId="6" borderId="69" xfId="5" applyNumberFormat="1" applyFont="1" applyFill="1" applyBorder="1" applyAlignment="1" applyProtection="1">
      <alignment horizontal="center" vertical="center" wrapText="1"/>
      <protection locked="0"/>
    </xf>
    <xf numFmtId="167" fontId="18" fillId="0" borderId="69" xfId="5" applyNumberFormat="1" applyFont="1" applyFill="1" applyBorder="1" applyAlignment="1" applyProtection="1">
      <alignment horizontal="center" vertical="center" wrapText="1"/>
    </xf>
    <xf numFmtId="167" fontId="18" fillId="6" borderId="67" xfId="5" applyNumberFormat="1" applyFont="1" applyFill="1" applyBorder="1" applyAlignment="1" applyProtection="1">
      <alignment horizontal="center" vertical="center" wrapText="1"/>
    </xf>
    <xf numFmtId="3" fontId="18" fillId="6" borderId="66" xfId="5" applyNumberFormat="1" applyFont="1" applyFill="1" applyBorder="1" applyAlignment="1" applyProtection="1">
      <alignment horizontal="center" vertical="center" wrapText="1"/>
      <protection locked="0"/>
    </xf>
    <xf numFmtId="3" fontId="18" fillId="6" borderId="34" xfId="5" applyNumberFormat="1" applyFont="1" applyFill="1" applyBorder="1" applyAlignment="1" applyProtection="1">
      <alignment horizontal="center" vertical="center" wrapText="1"/>
      <protection locked="0"/>
    </xf>
    <xf numFmtId="3" fontId="18" fillId="6" borderId="2" xfId="5" applyNumberFormat="1" applyFont="1" applyFill="1" applyBorder="1" applyAlignment="1" applyProtection="1">
      <alignment horizontal="center" vertical="center" wrapText="1"/>
      <protection locked="0"/>
    </xf>
    <xf numFmtId="3" fontId="18" fillId="6" borderId="2" xfId="5" applyNumberFormat="1" applyFont="1" applyFill="1" applyBorder="1" applyAlignment="1" applyProtection="1">
      <alignment horizontal="center" vertical="center" wrapText="1"/>
    </xf>
    <xf numFmtId="3" fontId="18" fillId="6" borderId="32" xfId="5" applyNumberFormat="1" applyFont="1" applyFill="1" applyBorder="1" applyAlignment="1" applyProtection="1">
      <alignment horizontal="center" vertical="center" wrapText="1"/>
    </xf>
    <xf numFmtId="3" fontId="18" fillId="6" borderId="66" xfId="5" applyNumberFormat="1" applyFont="1" applyFill="1" applyBorder="1" applyAlignment="1" applyProtection="1">
      <alignment horizontal="center" vertical="center" wrapText="1"/>
    </xf>
    <xf numFmtId="3" fontId="18" fillId="6" borderId="69" xfId="5" applyNumberFormat="1" applyFont="1" applyFill="1" applyBorder="1" applyAlignment="1" applyProtection="1">
      <alignment horizontal="center" vertical="center" wrapText="1"/>
    </xf>
    <xf numFmtId="3" fontId="18" fillId="6" borderId="69" xfId="0" applyNumberFormat="1" applyFont="1" applyFill="1" applyBorder="1" applyAlignment="1" applyProtection="1">
      <alignment horizontal="center" vertical="center"/>
    </xf>
    <xf numFmtId="38" fontId="18" fillId="6" borderId="34" xfId="5" applyNumberFormat="1" applyFont="1" applyFill="1" applyBorder="1" applyAlignment="1" applyProtection="1">
      <alignment horizontal="center" vertical="center"/>
      <protection locked="0"/>
    </xf>
    <xf numFmtId="0" fontId="51" fillId="0" borderId="0" xfId="0" applyFont="1" applyProtection="1">
      <protection locked="0"/>
    </xf>
    <xf numFmtId="0" fontId="51" fillId="0" borderId="0" xfId="0" applyFont="1" applyAlignment="1" applyProtection="1">
      <alignment wrapText="1"/>
      <protection locked="0"/>
    </xf>
    <xf numFmtId="3" fontId="51" fillId="0" borderId="0" xfId="0" applyNumberFormat="1" applyFont="1" applyProtection="1">
      <protection locked="0"/>
    </xf>
    <xf numFmtId="3" fontId="51" fillId="0" borderId="0" xfId="0" applyNumberFormat="1" applyFont="1" applyFill="1" applyProtection="1">
      <protection locked="0"/>
    </xf>
    <xf numFmtId="167" fontId="51" fillId="0" borderId="0" xfId="0" applyNumberFormat="1" applyFont="1" applyProtection="1">
      <protection locked="0"/>
    </xf>
    <xf numFmtId="167" fontId="13" fillId="0" borderId="6" xfId="5" applyNumberFormat="1" applyFont="1" applyFill="1" applyBorder="1" applyAlignment="1" applyProtection="1">
      <alignment horizontal="center" vertical="center" wrapText="1"/>
    </xf>
    <xf numFmtId="167" fontId="51" fillId="0" borderId="0" xfId="0" applyNumberFormat="1" applyFont="1" applyFill="1" applyProtection="1">
      <protection locked="0"/>
    </xf>
    <xf numFmtId="0" fontId="210" fillId="0" borderId="0" xfId="5" applyFont="1" applyBorder="1" applyAlignment="1" applyProtection="1">
      <alignment horizontal="left"/>
      <protection locked="0"/>
    </xf>
    <xf numFmtId="0" fontId="206" fillId="0" borderId="0" xfId="5" applyFont="1" applyBorder="1" applyAlignment="1" applyProtection="1">
      <alignment horizontal="left" wrapText="1"/>
      <protection locked="0"/>
    </xf>
    <xf numFmtId="0" fontId="13" fillId="0" borderId="0" xfId="5" applyFont="1" applyAlignment="1" applyProtection="1">
      <alignment horizontal="center" vertical="center" wrapText="1"/>
      <protection locked="0"/>
    </xf>
    <xf numFmtId="4" fontId="13" fillId="0" borderId="0" xfId="5" applyNumberFormat="1" applyFont="1" applyBorder="1" applyAlignment="1" applyProtection="1">
      <alignment horizontal="right" vertical="center"/>
      <protection locked="0"/>
    </xf>
    <xf numFmtId="3" fontId="13" fillId="0" borderId="0" xfId="5" applyNumberFormat="1" applyFont="1" applyFill="1" applyBorder="1" applyAlignment="1" applyProtection="1">
      <alignment horizontal="center" vertical="center"/>
      <protection locked="0"/>
    </xf>
    <xf numFmtId="4" fontId="13" fillId="0" borderId="0" xfId="5" applyNumberFormat="1" applyFont="1" applyFill="1" applyAlignment="1" applyProtection="1">
      <alignment horizontal="right" vertical="center"/>
      <protection locked="0"/>
    </xf>
    <xf numFmtId="10" fontId="13" fillId="0" borderId="0" xfId="5" applyNumberFormat="1" applyFont="1" applyAlignment="1" applyProtection="1">
      <protection locked="0"/>
    </xf>
    <xf numFmtId="10" fontId="13" fillId="0" borderId="0" xfId="5" applyNumberFormat="1" applyFont="1" applyFill="1" applyAlignment="1" applyProtection="1">
      <protection locked="0"/>
    </xf>
    <xf numFmtId="3" fontId="13" fillId="0" borderId="0" xfId="5" applyNumberFormat="1" applyFont="1" applyAlignment="1" applyProtection="1">
      <alignment horizontal="right"/>
      <protection locked="0"/>
    </xf>
    <xf numFmtId="0" fontId="51" fillId="0" borderId="0" xfId="5" applyFont="1" applyProtection="1">
      <protection locked="0"/>
    </xf>
    <xf numFmtId="0" fontId="51" fillId="0" borderId="0" xfId="5" applyFont="1" applyFill="1" applyProtection="1">
      <protection locked="0"/>
    </xf>
    <xf numFmtId="0" fontId="211" fillId="0" borderId="0" xfId="5" applyFont="1" applyBorder="1" applyAlignment="1" applyProtection="1">
      <alignment horizontal="left"/>
      <protection locked="0"/>
    </xf>
    <xf numFmtId="9" fontId="13" fillId="0" borderId="0" xfId="14" applyFont="1" applyBorder="1" applyAlignment="1" applyProtection="1">
      <alignment horizontal="right" vertical="center"/>
      <protection locked="0"/>
    </xf>
    <xf numFmtId="167" fontId="13" fillId="0" borderId="0" xfId="5" applyNumberFormat="1" applyFont="1" applyFill="1" applyBorder="1" applyAlignment="1" applyProtection="1">
      <alignment horizontal="center" vertical="center" wrapText="1"/>
      <protection locked="0"/>
    </xf>
    <xf numFmtId="4" fontId="13" fillId="0" borderId="0" xfId="5" applyNumberFormat="1" applyFont="1" applyAlignment="1" applyProtection="1">
      <protection locked="0"/>
    </xf>
    <xf numFmtId="4" fontId="13" fillId="0" borderId="0" xfId="5" applyNumberFormat="1" applyFont="1" applyAlignment="1" applyProtection="1">
      <alignment horizontal="right" vertical="center"/>
      <protection locked="0"/>
    </xf>
    <xf numFmtId="0" fontId="210" fillId="0" borderId="0" xfId="5" applyFont="1" applyBorder="1" applyAlignment="1" applyProtection="1">
      <alignment horizontal="left" wrapText="1"/>
      <protection locked="0"/>
    </xf>
    <xf numFmtId="0" fontId="210" fillId="0" borderId="0" xfId="5" applyFont="1" applyBorder="1" applyAlignment="1" applyProtection="1">
      <alignment wrapText="1"/>
      <protection locked="0"/>
    </xf>
    <xf numFmtId="0" fontId="210" fillId="0" borderId="0" xfId="5" applyFont="1" applyBorder="1" applyAlignment="1" applyProtection="1">
      <alignment horizontal="left" vertical="center" wrapText="1"/>
      <protection locked="0"/>
    </xf>
    <xf numFmtId="0" fontId="210" fillId="0" borderId="0" xfId="5" applyFont="1" applyFill="1" applyBorder="1" applyAlignment="1" applyProtection="1">
      <alignment horizontal="left" vertical="center" wrapText="1"/>
      <protection locked="0"/>
    </xf>
    <xf numFmtId="0" fontId="51" fillId="0" borderId="0" xfId="0" applyFont="1" applyFill="1" applyProtection="1">
      <protection locked="0"/>
    </xf>
    <xf numFmtId="0" fontId="210" fillId="0" borderId="0" xfId="5" applyFont="1" applyFill="1" applyBorder="1" applyAlignment="1" applyProtection="1">
      <alignment horizontal="left" wrapText="1"/>
      <protection locked="0"/>
    </xf>
    <xf numFmtId="0" fontId="18" fillId="0" borderId="0" xfId="5" applyFont="1" applyFill="1" applyBorder="1" applyAlignment="1" applyProtection="1">
      <alignment vertical="center" wrapText="1"/>
      <protection locked="0"/>
    </xf>
    <xf numFmtId="0" fontId="210" fillId="6" borderId="0" xfId="5" applyFont="1" applyFill="1" applyBorder="1" applyAlignment="1" applyProtection="1">
      <alignment horizontal="left" wrapText="1"/>
      <protection locked="0"/>
    </xf>
    <xf numFmtId="0" fontId="18" fillId="0" borderId="0" xfId="0" applyFont="1" applyFill="1" applyAlignment="1" applyProtection="1">
      <alignment vertical="top" wrapText="1"/>
      <protection locked="0"/>
    </xf>
    <xf numFmtId="0" fontId="210" fillId="0" borderId="0" xfId="5" applyFont="1" applyBorder="1" applyAlignment="1" applyProtection="1">
      <protection locked="0"/>
    </xf>
    <xf numFmtId="0" fontId="210" fillId="0" borderId="0" xfId="5" applyFont="1" applyFill="1" applyBorder="1" applyAlignment="1" applyProtection="1">
      <alignment wrapText="1"/>
      <protection locked="0"/>
    </xf>
    <xf numFmtId="0" fontId="210" fillId="0" borderId="0" xfId="5" applyFont="1" applyFill="1" applyBorder="1" applyAlignment="1" applyProtection="1">
      <alignment horizontal="center" wrapText="1"/>
      <protection locked="0"/>
    </xf>
    <xf numFmtId="0" fontId="210" fillId="0" borderId="0" xfId="0" applyFont="1" applyAlignment="1">
      <alignment horizontal="left"/>
    </xf>
    <xf numFmtId="0" fontId="210" fillId="0" borderId="0" xfId="0" applyFont="1" applyFill="1" applyAlignment="1">
      <alignment horizontal="left"/>
    </xf>
    <xf numFmtId="0" fontId="210" fillId="0" borderId="0" xfId="0" applyFont="1" applyFill="1" applyProtection="1">
      <protection locked="0"/>
    </xf>
    <xf numFmtId="0" fontId="18" fillId="0" borderId="0" xfId="0" applyFont="1" applyFill="1" applyProtection="1">
      <protection locked="0"/>
    </xf>
    <xf numFmtId="0" fontId="18" fillId="6" borderId="0" xfId="0" applyFont="1" applyFill="1" applyAlignment="1" applyProtection="1">
      <alignment vertical="top" wrapText="1"/>
      <protection locked="0"/>
    </xf>
    <xf numFmtId="0" fontId="18" fillId="0" borderId="0" xfId="0" applyFont="1" applyFill="1" applyAlignment="1" applyProtection="1">
      <alignment horizontal="left" vertical="top" wrapText="1"/>
      <protection locked="0"/>
    </xf>
    <xf numFmtId="0" fontId="134" fillId="0" borderId="0" xfId="0" applyFont="1" applyFill="1" applyAlignment="1">
      <alignment horizontal="left" vertical="top" wrapText="1"/>
    </xf>
    <xf numFmtId="0" fontId="134" fillId="0" borderId="0" xfId="0" applyFont="1" applyFill="1" applyAlignment="1">
      <alignment vertical="top" wrapText="1"/>
    </xf>
    <xf numFmtId="0" fontId="214" fillId="0" borderId="0" xfId="0" applyFont="1" applyFill="1" applyAlignment="1">
      <alignment horizontal="left" vertical="top" wrapText="1"/>
    </xf>
    <xf numFmtId="0" fontId="215" fillId="0" borderId="0" xfId="0" applyFont="1"/>
    <xf numFmtId="0" fontId="18" fillId="0" borderId="0" xfId="0" applyFont="1" applyAlignment="1">
      <alignment wrapText="1"/>
    </xf>
    <xf numFmtId="0" fontId="18" fillId="0" borderId="0" xfId="0" applyFont="1" applyAlignment="1">
      <alignment horizontal="left" wrapText="1"/>
    </xf>
    <xf numFmtId="0" fontId="18" fillId="0" borderId="0" xfId="0" applyFont="1" applyAlignment="1">
      <alignment vertical="center" wrapText="1"/>
    </xf>
    <xf numFmtId="3" fontId="158" fillId="0" borderId="0" xfId="5" applyNumberFormat="1" applyFont="1" applyFill="1" applyAlignment="1" applyProtection="1">
      <protection locked="0"/>
    </xf>
    <xf numFmtId="0" fontId="161" fillId="0" borderId="0" xfId="5" applyFont="1" applyAlignment="1" applyProtection="1">
      <protection locked="0"/>
    </xf>
    <xf numFmtId="0" fontId="162" fillId="0" borderId="0" xfId="5" applyFont="1" applyBorder="1" applyAlignment="1" applyProtection="1">
      <protection locked="0"/>
    </xf>
    <xf numFmtId="3" fontId="219" fillId="52" borderId="6" xfId="210" applyNumberFormat="1" applyFont="1" applyFill="1" applyBorder="1" applyAlignment="1" applyProtection="1">
      <alignment vertical="center" wrapText="1"/>
      <protection locked="0"/>
    </xf>
    <xf numFmtId="16" fontId="136" fillId="3" borderId="2" xfId="5" applyNumberFormat="1" applyFont="1" applyFill="1" applyBorder="1" applyAlignment="1" applyProtection="1">
      <alignment horizontal="center" vertical="center" wrapText="1"/>
    </xf>
    <xf numFmtId="167" fontId="137" fillId="0" borderId="2" xfId="14" applyNumberFormat="1" applyFont="1" applyBorder="1" applyAlignment="1" applyProtection="1">
      <alignment horizontal="center" vertical="center"/>
    </xf>
    <xf numFmtId="167" fontId="136" fillId="3" borderId="2" xfId="14" applyNumberFormat="1" applyFont="1" applyFill="1" applyBorder="1" applyAlignment="1" applyProtection="1">
      <alignment horizontal="center" vertical="center" wrapText="1"/>
    </xf>
    <xf numFmtId="3" fontId="137" fillId="0" borderId="2" xfId="0" applyNumberFormat="1" applyFont="1" applyBorder="1" applyAlignment="1" applyProtection="1">
      <alignment horizontal="center"/>
    </xf>
    <xf numFmtId="167" fontId="137" fillId="0" borderId="2" xfId="14" applyNumberFormat="1" applyFont="1" applyBorder="1" applyAlignment="1" applyProtection="1">
      <alignment horizontal="center"/>
    </xf>
    <xf numFmtId="167" fontId="138" fillId="2" borderId="2" xfId="14" applyNumberFormat="1" applyFont="1" applyFill="1" applyBorder="1" applyAlignment="1" applyProtection="1">
      <alignment horizontal="center" vertical="center" wrapText="1"/>
    </xf>
    <xf numFmtId="167" fontId="136" fillId="0" borderId="2" xfId="14" applyNumberFormat="1" applyFont="1" applyFill="1" applyBorder="1" applyAlignment="1" applyProtection="1">
      <alignment horizontal="center" vertical="center" wrapText="1"/>
    </xf>
    <xf numFmtId="167" fontId="139" fillId="0" borderId="2" xfId="14" applyNumberFormat="1" applyFont="1" applyFill="1" applyBorder="1" applyAlignment="1" applyProtection="1">
      <alignment horizontal="center" vertical="center" wrapText="1"/>
    </xf>
    <xf numFmtId="167" fontId="140" fillId="0" borderId="2" xfId="14" applyNumberFormat="1" applyFont="1" applyFill="1" applyBorder="1" applyAlignment="1" applyProtection="1">
      <alignment horizontal="center" vertical="center" wrapText="1"/>
    </xf>
    <xf numFmtId="167" fontId="136" fillId="4" borderId="2" xfId="14" applyNumberFormat="1" applyFont="1" applyFill="1" applyBorder="1" applyAlignment="1" applyProtection="1">
      <alignment horizontal="center" vertical="center" wrapText="1"/>
    </xf>
    <xf numFmtId="0" fontId="173" fillId="0" borderId="0" xfId="0" applyFont="1" applyFill="1"/>
    <xf numFmtId="3" fontId="14" fillId="104" borderId="2" xfId="0" applyNumberFormat="1" applyFont="1" applyFill="1" applyBorder="1" applyAlignment="1" applyProtection="1">
      <alignment horizontal="center" vertical="center"/>
      <protection locked="0"/>
    </xf>
    <xf numFmtId="3" fontId="15" fillId="104" borderId="2" xfId="0" applyNumberFormat="1" applyFont="1" applyFill="1" applyBorder="1" applyAlignment="1" applyProtection="1">
      <alignment horizontal="center" vertical="center"/>
      <protection locked="0"/>
    </xf>
    <xf numFmtId="0" fontId="72" fillId="0" borderId="31" xfId="0" applyFont="1" applyBorder="1" applyAlignment="1">
      <alignment horizontal="center" vertical="center"/>
    </xf>
    <xf numFmtId="0" fontId="72" fillId="100" borderId="28" xfId="0" applyFont="1" applyFill="1" applyBorder="1" applyAlignment="1">
      <alignment horizontal="center" vertical="center"/>
    </xf>
    <xf numFmtId="3" fontId="23" fillId="0" borderId="2" xfId="0" applyNumberFormat="1" applyFont="1" applyFill="1" applyBorder="1"/>
    <xf numFmtId="0" fontId="72" fillId="0" borderId="0" xfId="0" applyFont="1" applyBorder="1" applyAlignment="1">
      <alignment horizontal="center" vertical="center"/>
    </xf>
    <xf numFmtId="3" fontId="148" fillId="0" borderId="0" xfId="0" applyNumberFormat="1" applyFont="1" applyFill="1" applyBorder="1"/>
    <xf numFmtId="0" fontId="72" fillId="3" borderId="2" xfId="5" applyFont="1" applyFill="1" applyBorder="1" applyAlignment="1" applyProtection="1">
      <alignment horizontal="center" vertical="center" wrapText="1"/>
    </xf>
    <xf numFmtId="0" fontId="72" fillId="0" borderId="98" xfId="0" applyFont="1" applyBorder="1" applyAlignment="1">
      <alignment horizontal="center" vertical="center"/>
    </xf>
    <xf numFmtId="3" fontId="72" fillId="0" borderId="98" xfId="0" applyNumberFormat="1" applyFont="1" applyBorder="1" applyAlignment="1">
      <alignment horizontal="center" vertical="center"/>
    </xf>
    <xf numFmtId="3" fontId="54" fillId="0" borderId="0" xfId="5" applyNumberFormat="1" applyFont="1" applyFill="1" applyAlignment="1" applyProtection="1">
      <protection locked="0"/>
    </xf>
    <xf numFmtId="0" fontId="72" fillId="0" borderId="31" xfId="0" applyFont="1" applyBorder="1" applyAlignment="1">
      <alignment vertical="center"/>
    </xf>
    <xf numFmtId="0" fontId="72" fillId="0" borderId="28" xfId="0" applyFont="1" applyBorder="1" applyAlignment="1">
      <alignment vertical="center"/>
    </xf>
    <xf numFmtId="0" fontId="55" fillId="50" borderId="20" xfId="0" applyFont="1" applyFill="1" applyBorder="1" applyAlignment="1">
      <alignment wrapText="1"/>
    </xf>
    <xf numFmtId="0" fontId="55" fillId="50" borderId="21" xfId="0" applyFont="1" applyFill="1" applyBorder="1" applyAlignment="1">
      <alignment wrapText="1"/>
    </xf>
    <xf numFmtId="0" fontId="55" fillId="50" borderId="22" xfId="0" applyFont="1" applyFill="1" applyBorder="1" applyAlignment="1">
      <alignment wrapText="1"/>
    </xf>
    <xf numFmtId="0" fontId="56" fillId="0" borderId="19" xfId="0" applyFont="1" applyBorder="1" applyAlignment="1">
      <alignment horizontal="left" vertical="center" wrapText="1"/>
    </xf>
    <xf numFmtId="0" fontId="56" fillId="0" borderId="24" xfId="0" applyFont="1" applyBorder="1" applyAlignment="1">
      <alignment horizontal="left" vertical="center" wrapText="1"/>
    </xf>
    <xf numFmtId="0" fontId="56" fillId="0" borderId="18" xfId="0" applyFont="1" applyBorder="1" applyAlignment="1">
      <alignment horizontal="left" vertical="center" wrapText="1"/>
    </xf>
    <xf numFmtId="0" fontId="56" fillId="0" borderId="27" xfId="0" applyFont="1" applyBorder="1" applyAlignment="1">
      <alignment horizontal="left" vertical="center" wrapText="1"/>
    </xf>
    <xf numFmtId="0" fontId="55" fillId="50" borderId="15" xfId="0" applyFont="1" applyFill="1" applyBorder="1" applyAlignment="1">
      <alignment horizontal="center" vertical="center" wrapText="1"/>
    </xf>
    <xf numFmtId="0" fontId="55" fillId="50" borderId="16" xfId="0" applyFont="1" applyFill="1" applyBorder="1" applyAlignment="1">
      <alignment horizontal="center" vertical="center" wrapText="1"/>
    </xf>
    <xf numFmtId="0" fontId="60" fillId="0" borderId="0" xfId="0" applyFont="1"/>
    <xf numFmtId="0" fontId="61" fillId="0" borderId="0" xfId="0" applyFont="1" applyAlignment="1">
      <alignment wrapText="1"/>
    </xf>
    <xf numFmtId="0" fontId="55" fillId="0" borderId="19" xfId="0" applyFont="1" applyBorder="1" applyAlignment="1">
      <alignment horizontal="left" vertical="center"/>
    </xf>
    <xf numFmtId="0" fontId="55" fillId="0" borderId="51" xfId="0" applyFont="1" applyBorder="1" applyAlignment="1">
      <alignment horizontal="left" vertical="center"/>
    </xf>
    <xf numFmtId="0" fontId="55" fillId="0" borderId="24" xfId="0" applyFont="1" applyBorder="1" applyAlignment="1">
      <alignment horizontal="left" vertical="center"/>
    </xf>
    <xf numFmtId="3" fontId="143" fillId="0" borderId="33" xfId="0" applyNumberFormat="1" applyFont="1" applyFill="1" applyBorder="1" applyAlignment="1">
      <alignment horizontal="center" vertical="center" wrapText="1"/>
    </xf>
    <xf numFmtId="3" fontId="143" fillId="0" borderId="32" xfId="0" applyNumberFormat="1" applyFont="1" applyFill="1" applyBorder="1" applyAlignment="1">
      <alignment horizontal="center" vertical="center" wrapText="1"/>
    </xf>
    <xf numFmtId="3" fontId="143" fillId="0" borderId="58" xfId="0" applyNumberFormat="1" applyFont="1" applyFill="1" applyBorder="1" applyAlignment="1">
      <alignment horizontal="center" vertical="center" wrapText="1"/>
    </xf>
    <xf numFmtId="3" fontId="143" fillId="0" borderId="2" xfId="0" applyNumberFormat="1" applyFont="1" applyFill="1" applyBorder="1" applyAlignment="1">
      <alignment horizontal="center" vertical="center" wrapText="1"/>
    </xf>
    <xf numFmtId="3" fontId="143" fillId="0" borderId="59" xfId="0" applyNumberFormat="1" applyFont="1" applyFill="1" applyBorder="1" applyAlignment="1">
      <alignment horizontal="center" vertical="center" wrapText="1"/>
    </xf>
    <xf numFmtId="3" fontId="134" fillId="0" borderId="0" xfId="0" applyNumberFormat="1" applyFont="1" applyProtection="1"/>
    <xf numFmtId="3" fontId="160" fillId="0" borderId="2" xfId="0" applyNumberFormat="1" applyFont="1" applyFill="1" applyBorder="1" applyAlignment="1" applyProtection="1">
      <alignment horizontal="center" vertical="center" wrapText="1"/>
      <protection locked="0"/>
    </xf>
    <xf numFmtId="3" fontId="14" fillId="0" borderId="2" xfId="0" applyNumberFormat="1" applyFont="1" applyBorder="1" applyAlignment="1" applyProtection="1">
      <alignment horizontal="center" vertical="center"/>
    </xf>
    <xf numFmtId="3" fontId="14" fillId="0" borderId="2" xfId="0" applyNumberFormat="1" applyFont="1" applyBorder="1" applyProtection="1"/>
    <xf numFmtId="10" fontId="139" fillId="0" borderId="2" xfId="14" applyNumberFormat="1" applyFont="1" applyFill="1" applyBorder="1" applyAlignment="1" applyProtection="1">
      <alignment horizontal="center" vertical="center" wrapText="1"/>
      <protection locked="0"/>
    </xf>
    <xf numFmtId="178" fontId="139" fillId="0" borderId="2" xfId="5" applyNumberFormat="1" applyFont="1" applyFill="1" applyBorder="1" applyAlignment="1" applyProtection="1">
      <alignment horizontal="center" vertical="center" wrapText="1"/>
      <protection locked="0"/>
    </xf>
    <xf numFmtId="2" fontId="139" fillId="0" borderId="2" xfId="14" applyNumberFormat="1" applyFont="1" applyFill="1" applyBorder="1" applyAlignment="1" applyProtection="1">
      <alignment horizontal="center" vertical="center" wrapText="1"/>
      <protection locked="0"/>
    </xf>
    <xf numFmtId="3" fontId="15" fillId="0" borderId="2" xfId="0" applyNumberFormat="1" applyFont="1" applyFill="1" applyBorder="1" applyAlignment="1" applyProtection="1">
      <alignment horizontal="center" vertical="center" wrapText="1"/>
      <protection locked="0"/>
    </xf>
    <xf numFmtId="0" fontId="174" fillId="0" borderId="1" xfId="0" applyFont="1" applyBorder="1" applyProtection="1"/>
    <xf numFmtId="0" fontId="132" fillId="3" borderId="1" xfId="5" applyFont="1" applyFill="1" applyBorder="1" applyAlignment="1" applyProtection="1">
      <alignment horizontal="left" vertical="center" wrapText="1"/>
    </xf>
    <xf numFmtId="0" fontId="51" fillId="0" borderId="1" xfId="0" applyFont="1" applyBorder="1" applyProtection="1"/>
    <xf numFmtId="3" fontId="18" fillId="103" borderId="2" xfId="5" applyNumberFormat="1" applyFont="1" applyFill="1" applyBorder="1" applyAlignment="1" applyProtection="1">
      <alignment horizontal="center" vertical="center" wrapText="1"/>
    </xf>
    <xf numFmtId="3" fontId="13" fillId="103" borderId="2" xfId="5" applyNumberFormat="1" applyFont="1" applyFill="1" applyBorder="1" applyAlignment="1" applyProtection="1">
      <alignment horizontal="center" vertical="center" wrapText="1"/>
    </xf>
    <xf numFmtId="3" fontId="14" fillId="103" borderId="2" xfId="5" applyNumberFormat="1" applyFont="1" applyFill="1" applyBorder="1" applyAlignment="1" applyProtection="1">
      <alignment horizontal="center" vertical="center" wrapText="1"/>
    </xf>
    <xf numFmtId="3" fontId="18" fillId="0" borderId="2" xfId="0" applyNumberFormat="1" applyFont="1" applyFill="1" applyBorder="1" applyAlignment="1" applyProtection="1">
      <alignment horizontal="center" vertical="center" wrapText="1"/>
      <protection locked="0"/>
    </xf>
    <xf numFmtId="3" fontId="188" fillId="0" borderId="2" xfId="0" applyNumberFormat="1" applyFont="1" applyFill="1" applyBorder="1" applyAlignment="1">
      <alignment wrapText="1"/>
    </xf>
    <xf numFmtId="3" fontId="221" fillId="104" borderId="2" xfId="0" applyNumberFormat="1" applyFont="1" applyFill="1" applyBorder="1" applyAlignment="1" applyProtection="1">
      <alignment horizontal="center" vertical="center" wrapText="1"/>
      <protection locked="0"/>
    </xf>
    <xf numFmtId="3" fontId="221" fillId="104" borderId="2" xfId="0" applyNumberFormat="1" applyFont="1" applyFill="1" applyBorder="1" applyAlignment="1" applyProtection="1">
      <alignment horizontal="center" vertical="center"/>
      <protection locked="0"/>
    </xf>
    <xf numFmtId="3" fontId="163" fillId="107" borderId="2" xfId="5" applyNumberFormat="1" applyFont="1" applyFill="1" applyBorder="1" applyAlignment="1" applyProtection="1">
      <alignment horizontal="center" vertical="center"/>
      <protection locked="0"/>
    </xf>
    <xf numFmtId="3" fontId="164" fillId="107" borderId="2" xfId="5" applyNumberFormat="1" applyFont="1" applyFill="1" applyBorder="1" applyAlignment="1" applyProtection="1">
      <alignment horizontal="center" vertical="center"/>
      <protection locked="0"/>
    </xf>
    <xf numFmtId="3" fontId="163" fillId="108" borderId="2" xfId="5" applyNumberFormat="1" applyFont="1" applyFill="1" applyBorder="1" applyAlignment="1" applyProtection="1">
      <alignment horizontal="center" vertical="center"/>
      <protection locked="0"/>
    </xf>
    <xf numFmtId="3" fontId="18" fillId="108" borderId="2" xfId="5" applyNumberFormat="1" applyFont="1" applyFill="1" applyBorder="1" applyAlignment="1" applyProtection="1">
      <alignment horizontal="center" vertical="center"/>
      <protection locked="0"/>
    </xf>
    <xf numFmtId="3" fontId="164" fillId="108" borderId="2" xfId="5" applyNumberFormat="1" applyFont="1" applyFill="1" applyBorder="1" applyAlignment="1" applyProtection="1">
      <alignment horizontal="center" vertical="center"/>
      <protection locked="0"/>
    </xf>
    <xf numFmtId="3" fontId="18" fillId="109" borderId="2" xfId="0" applyNumberFormat="1" applyFont="1" applyFill="1" applyBorder="1" applyAlignment="1" applyProtection="1">
      <alignment horizontal="center" vertical="center" wrapText="1"/>
      <protection locked="0"/>
    </xf>
    <xf numFmtId="3" fontId="18" fillId="3" borderId="2" xfId="0" applyNumberFormat="1" applyFont="1" applyFill="1" applyBorder="1" applyAlignment="1" applyProtection="1">
      <alignment horizontal="center" vertical="center" wrapText="1"/>
      <protection locked="0"/>
    </xf>
    <xf numFmtId="3" fontId="51" fillId="0" borderId="0" xfId="0" applyNumberFormat="1" applyFont="1" applyFill="1"/>
    <xf numFmtId="0" fontId="222" fillId="0" borderId="0" xfId="5" applyFont="1" applyFill="1" applyAlignment="1" applyProtection="1">
      <protection locked="0"/>
    </xf>
    <xf numFmtId="3" fontId="222" fillId="0" borderId="0" xfId="5" applyNumberFormat="1" applyFont="1" applyFill="1" applyAlignment="1" applyProtection="1">
      <protection locked="0"/>
    </xf>
    <xf numFmtId="0" fontId="172" fillId="3" borderId="4" xfId="5" applyFont="1" applyFill="1" applyBorder="1" applyAlignment="1" applyProtection="1">
      <alignment horizontal="center" vertical="center" wrapText="1"/>
    </xf>
    <xf numFmtId="0" fontId="172" fillId="101" borderId="2" xfId="5" applyFont="1" applyFill="1" applyBorder="1" applyAlignment="1" applyProtection="1">
      <alignment horizontal="center" vertical="center" wrapText="1"/>
    </xf>
    <xf numFmtId="0" fontId="171" fillId="3" borderId="2" xfId="5" applyFont="1" applyFill="1" applyBorder="1" applyAlignment="1" applyProtection="1">
      <alignment horizontal="left" vertical="center" wrapText="1"/>
    </xf>
    <xf numFmtId="0" fontId="171" fillId="3" borderId="2" xfId="5" applyFont="1" applyFill="1" applyBorder="1" applyAlignment="1" applyProtection="1">
      <alignment horizontal="center" vertical="center" wrapText="1"/>
    </xf>
    <xf numFmtId="3" fontId="171" fillId="104" borderId="2" xfId="0" applyNumberFormat="1" applyFont="1" applyFill="1" applyBorder="1" applyAlignment="1" applyProtection="1">
      <alignment horizontal="center" vertical="center"/>
      <protection locked="0"/>
    </xf>
    <xf numFmtId="3" fontId="223" fillId="0" borderId="2" xfId="0" applyNumberFormat="1" applyFont="1" applyFill="1" applyBorder="1" applyAlignment="1" applyProtection="1">
      <alignment horizontal="center" vertical="center" wrapText="1"/>
      <protection locked="0"/>
    </xf>
    <xf numFmtId="3" fontId="172" fillId="104" borderId="2" xfId="0" applyNumberFormat="1" applyFont="1" applyFill="1" applyBorder="1" applyAlignment="1" applyProtection="1">
      <alignment horizontal="center" vertical="center"/>
      <protection locked="0"/>
    </xf>
    <xf numFmtId="3" fontId="169" fillId="0" borderId="0" xfId="0" applyNumberFormat="1" applyFont="1" applyFill="1"/>
    <xf numFmtId="0" fontId="169" fillId="0" borderId="0" xfId="0" applyFont="1" applyFill="1"/>
    <xf numFmtId="0" fontId="224" fillId="0" borderId="0" xfId="0" applyFont="1" applyFill="1"/>
    <xf numFmtId="4" fontId="169" fillId="0" borderId="0" xfId="0" applyNumberFormat="1" applyFont="1" applyFill="1"/>
    <xf numFmtId="0" fontId="133" fillId="3" borderId="4" xfId="5" applyFont="1" applyFill="1" applyBorder="1" applyAlignment="1" applyProtection="1">
      <alignment horizontal="center" vertical="center" wrapText="1"/>
    </xf>
    <xf numFmtId="0" fontId="225" fillId="3" borderId="4" xfId="5" applyFont="1" applyFill="1" applyBorder="1" applyAlignment="1" applyProtection="1">
      <alignment horizontal="center" vertical="center" wrapText="1"/>
    </xf>
    <xf numFmtId="0" fontId="133" fillId="101" borderId="2" xfId="5" applyFont="1" applyFill="1" applyBorder="1" applyAlignment="1" applyProtection="1">
      <alignment horizontal="center" vertical="center" wrapText="1"/>
    </xf>
    <xf numFmtId="3" fontId="164" fillId="108" borderId="2" xfId="0" applyNumberFormat="1" applyFont="1" applyFill="1" applyBorder="1" applyAlignment="1" applyProtection="1">
      <alignment horizontal="center" vertical="center" wrapText="1"/>
      <protection locked="0"/>
    </xf>
    <xf numFmtId="3" fontId="164" fillId="108" borderId="2" xfId="5" applyNumberFormat="1" applyFont="1" applyFill="1" applyBorder="1" applyAlignment="1" applyProtection="1">
      <alignment horizontal="center" vertical="center" wrapText="1"/>
      <protection locked="0"/>
    </xf>
    <xf numFmtId="3" fontId="163" fillId="108" borderId="2" xfId="0" applyNumberFormat="1" applyFont="1" applyFill="1" applyBorder="1" applyAlignment="1" applyProtection="1">
      <alignment horizontal="center" vertical="center" wrapText="1"/>
      <protection locked="0"/>
    </xf>
    <xf numFmtId="3" fontId="18" fillId="0" borderId="2" xfId="0" applyNumberFormat="1" applyFont="1" applyFill="1" applyBorder="1" applyAlignment="1" applyProtection="1">
      <alignment horizontal="center" vertical="center" wrapText="1"/>
      <protection locked="0"/>
    </xf>
    <xf numFmtId="3" fontId="18" fillId="0" borderId="2" xfId="0" applyNumberFormat="1" applyFont="1" applyFill="1" applyBorder="1" applyAlignment="1" applyProtection="1">
      <alignment horizontal="center" vertical="center" wrapText="1"/>
      <protection locked="0"/>
    </xf>
    <xf numFmtId="3" fontId="164" fillId="3" borderId="2" xfId="0" applyNumberFormat="1" applyFont="1" applyFill="1" applyBorder="1" applyAlignment="1" applyProtection="1">
      <alignment horizontal="center" vertical="center" wrapText="1"/>
      <protection locked="0"/>
    </xf>
    <xf numFmtId="3" fontId="15" fillId="108" borderId="2" xfId="0" applyNumberFormat="1" applyFont="1" applyFill="1" applyBorder="1" applyAlignment="1" applyProtection="1">
      <alignment horizontal="center" vertical="center"/>
      <protection locked="0"/>
    </xf>
    <xf numFmtId="3" fontId="15" fillId="107" borderId="2" xfId="0" applyNumberFormat="1" applyFont="1" applyFill="1" applyBorder="1" applyAlignment="1" applyProtection="1">
      <alignment horizontal="center" vertical="center"/>
      <protection locked="0"/>
    </xf>
    <xf numFmtId="3" fontId="15" fillId="109" borderId="2" xfId="0" applyNumberFormat="1" applyFont="1" applyFill="1" applyBorder="1" applyAlignment="1" applyProtection="1">
      <alignment horizontal="center" vertical="center"/>
      <protection locked="0"/>
    </xf>
    <xf numFmtId="3" fontId="18" fillId="107" borderId="2" xfId="0" applyNumberFormat="1" applyFont="1" applyFill="1" applyBorder="1" applyAlignment="1" applyProtection="1">
      <alignment horizontal="center" vertical="center" wrapText="1"/>
      <protection locked="0"/>
    </xf>
    <xf numFmtId="3" fontId="163" fillId="104" borderId="2" xfId="0" applyNumberFormat="1" applyFont="1" applyFill="1" applyBorder="1" applyAlignment="1" applyProtection="1">
      <alignment horizontal="center" vertical="center"/>
      <protection locked="0"/>
    </xf>
    <xf numFmtId="3" fontId="15" fillId="107" borderId="2" xfId="0" applyNumberFormat="1" applyFont="1" applyFill="1" applyBorder="1" applyAlignment="1" applyProtection="1">
      <alignment horizontal="center" vertical="center" wrapText="1"/>
      <protection locked="0"/>
    </xf>
    <xf numFmtId="0" fontId="226" fillId="0" borderId="0" xfId="0" applyFont="1"/>
    <xf numFmtId="0" fontId="227" fillId="0" borderId="0" xfId="0" applyFont="1"/>
    <xf numFmtId="0" fontId="227" fillId="0" borderId="0" xfId="0" applyFont="1" applyAlignment="1">
      <alignment wrapText="1"/>
    </xf>
    <xf numFmtId="0" fontId="14" fillId="110" borderId="3" xfId="5" applyFont="1" applyFill="1" applyBorder="1" applyAlignment="1" applyProtection="1">
      <alignment horizontal="left" vertical="center" wrapText="1"/>
    </xf>
    <xf numFmtId="0" fontId="14" fillId="110" borderId="4" xfId="5" applyFont="1" applyFill="1" applyBorder="1" applyAlignment="1" applyProtection="1">
      <alignment horizontal="left" vertical="center" wrapText="1"/>
    </xf>
    <xf numFmtId="0" fontId="14" fillId="110" borderId="4" xfId="5" applyFont="1" applyFill="1" applyBorder="1" applyAlignment="1" applyProtection="1">
      <alignment horizontal="center" vertical="center" wrapText="1"/>
    </xf>
    <xf numFmtId="0" fontId="14" fillId="110" borderId="5" xfId="5" applyFont="1" applyFill="1" applyBorder="1" applyAlignment="1" applyProtection="1">
      <alignment horizontal="left" vertical="center" wrapText="1"/>
    </xf>
    <xf numFmtId="0" fontId="14" fillId="110" borderId="6" xfId="5" applyFont="1" applyFill="1" applyBorder="1" applyAlignment="1" applyProtection="1">
      <alignment horizontal="left" vertical="center" wrapText="1"/>
    </xf>
    <xf numFmtId="0" fontId="14" fillId="110" borderId="6" xfId="5" applyFont="1" applyFill="1" applyBorder="1" applyAlignment="1" applyProtection="1">
      <alignment horizontal="center" vertical="center" wrapText="1"/>
    </xf>
    <xf numFmtId="0" fontId="14" fillId="97" borderId="1" xfId="5" applyFont="1" applyFill="1" applyBorder="1" applyAlignment="1" applyProtection="1">
      <alignment horizontal="center" vertical="center" wrapText="1"/>
    </xf>
    <xf numFmtId="0" fontId="14" fillId="97" borderId="2" xfId="5" applyFont="1" applyFill="1" applyBorder="1" applyAlignment="1" applyProtection="1">
      <alignment horizontal="center" vertical="center" wrapText="1"/>
    </xf>
    <xf numFmtId="0" fontId="14" fillId="97" borderId="2" xfId="5" applyFont="1" applyFill="1" applyBorder="1" applyAlignment="1" applyProtection="1">
      <alignment horizontal="left" vertical="center" wrapText="1"/>
    </xf>
    <xf numFmtId="3" fontId="14" fillId="97" borderId="2" xfId="5" applyNumberFormat="1" applyFont="1" applyFill="1" applyBorder="1" applyAlignment="1" applyProtection="1">
      <alignment horizontal="center" vertical="center" wrapText="1"/>
    </xf>
    <xf numFmtId="3" fontId="15" fillId="97" borderId="2" xfId="5" applyNumberFormat="1" applyFont="1" applyFill="1" applyBorder="1" applyAlignment="1" applyProtection="1">
      <alignment horizontal="center" vertical="center" wrapText="1"/>
    </xf>
    <xf numFmtId="0" fontId="15" fillId="97" borderId="2" xfId="5" applyFont="1" applyFill="1" applyBorder="1" applyAlignment="1" applyProtection="1">
      <alignment horizontal="left" vertical="center" wrapText="1"/>
    </xf>
    <xf numFmtId="3" fontId="133" fillId="97" borderId="2" xfId="5" applyNumberFormat="1" applyFont="1" applyFill="1" applyBorder="1" applyAlignment="1" applyProtection="1">
      <alignment horizontal="center" vertical="center" wrapText="1"/>
    </xf>
    <xf numFmtId="3" fontId="15" fillId="111" borderId="2" xfId="0" applyNumberFormat="1" applyFont="1" applyFill="1" applyBorder="1" applyAlignment="1" applyProtection="1">
      <alignment horizontal="center" vertical="center"/>
    </xf>
    <xf numFmtId="3" fontId="15" fillId="111" borderId="2" xfId="0" applyNumberFormat="1" applyFont="1" applyFill="1" applyBorder="1" applyProtection="1"/>
    <xf numFmtId="3" fontId="15" fillId="112" borderId="2" xfId="0" applyNumberFormat="1" applyFont="1" applyFill="1" applyBorder="1" applyProtection="1"/>
    <xf numFmtId="0" fontId="228" fillId="0" borderId="0" xfId="0" applyFont="1"/>
    <xf numFmtId="3" fontId="228" fillId="0" borderId="0" xfId="0" applyNumberFormat="1" applyFont="1"/>
    <xf numFmtId="0" fontId="58" fillId="0" borderId="0" xfId="0" applyFont="1" applyAlignment="1">
      <alignment wrapText="1"/>
    </xf>
    <xf numFmtId="3" fontId="0" fillId="0" borderId="0" xfId="0" applyNumberFormat="1" applyFill="1"/>
    <xf numFmtId="3" fontId="13" fillId="0" borderId="31" xfId="5" applyNumberFormat="1" applyFont="1" applyFill="1" applyBorder="1" applyAlignment="1" applyProtection="1">
      <alignment horizontal="center" vertical="center" wrapText="1"/>
    </xf>
    <xf numFmtId="3" fontId="13" fillId="0" borderId="6" xfId="5" applyNumberFormat="1" applyFont="1" applyFill="1" applyBorder="1" applyAlignment="1" applyProtection="1">
      <alignment horizontal="center" vertical="center" wrapText="1"/>
    </xf>
    <xf numFmtId="0" fontId="13" fillId="0" borderId="99" xfId="5" applyFont="1" applyFill="1" applyBorder="1" applyAlignment="1" applyProtection="1">
      <alignment horizontal="left" vertical="center" wrapText="1"/>
    </xf>
    <xf numFmtId="0" fontId="13" fillId="0" borderId="31" xfId="5" applyFont="1" applyFill="1" applyBorder="1" applyAlignment="1" applyProtection="1">
      <alignment horizontal="left" vertical="center" wrapText="1"/>
    </xf>
    <xf numFmtId="0" fontId="13" fillId="0" borderId="31" xfId="5" applyFont="1" applyFill="1" applyBorder="1" applyAlignment="1" applyProtection="1">
      <alignment horizontal="center" vertical="center" wrapText="1"/>
    </xf>
    <xf numFmtId="3" fontId="18" fillId="0" borderId="31" xfId="5" applyNumberFormat="1" applyFont="1" applyFill="1" applyBorder="1" applyAlignment="1" applyProtection="1">
      <alignment horizontal="center" vertical="center" wrapText="1"/>
    </xf>
    <xf numFmtId="3" fontId="15" fillId="112" borderId="31" xfId="0" applyNumberFormat="1" applyFont="1" applyFill="1" applyBorder="1" applyProtection="1"/>
    <xf numFmtId="0" fontId="13" fillId="0" borderId="5" xfId="5" applyFont="1" applyFill="1" applyBorder="1" applyAlignment="1" applyProtection="1">
      <alignment horizontal="left" vertical="center" wrapText="1"/>
    </xf>
    <xf numFmtId="0" fontId="13" fillId="0" borderId="6" xfId="5" applyFont="1" applyFill="1" applyBorder="1" applyAlignment="1" applyProtection="1">
      <alignment horizontal="left" vertical="center" wrapText="1"/>
    </xf>
    <xf numFmtId="0" fontId="13" fillId="0" borderId="6" xfId="5" applyFont="1" applyFill="1" applyBorder="1" applyAlignment="1" applyProtection="1">
      <alignment horizontal="center" vertical="center" wrapText="1"/>
    </xf>
    <xf numFmtId="3" fontId="18" fillId="0" borderId="6" xfId="5" applyNumberFormat="1" applyFont="1" applyFill="1" applyBorder="1" applyAlignment="1" applyProtection="1">
      <alignment horizontal="center" vertical="center" wrapText="1"/>
    </xf>
    <xf numFmtId="0" fontId="13" fillId="0" borderId="52" xfId="5" applyFont="1" applyFill="1" applyBorder="1" applyAlignment="1" applyProtection="1">
      <alignment horizontal="left" vertical="center" wrapText="1"/>
    </xf>
    <xf numFmtId="0" fontId="13" fillId="0" borderId="55" xfId="5" applyFont="1" applyFill="1" applyBorder="1" applyAlignment="1" applyProtection="1">
      <alignment horizontal="left" vertical="center" wrapText="1"/>
    </xf>
    <xf numFmtId="0" fontId="13" fillId="0" borderId="55" xfId="5" applyFont="1" applyFill="1" applyBorder="1" applyAlignment="1" applyProtection="1">
      <alignment horizontal="center" vertical="center" wrapText="1"/>
    </xf>
    <xf numFmtId="3" fontId="13" fillId="0" borderId="55" xfId="5" applyNumberFormat="1" applyFont="1" applyFill="1" applyBorder="1" applyAlignment="1" applyProtection="1">
      <alignment horizontal="center" vertical="center" wrapText="1"/>
    </xf>
    <xf numFmtId="3" fontId="18" fillId="0" borderId="55" xfId="5" applyNumberFormat="1" applyFont="1" applyFill="1" applyBorder="1" applyAlignment="1" applyProtection="1">
      <alignment horizontal="center" vertical="center" wrapText="1"/>
    </xf>
    <xf numFmtId="3" fontId="13" fillId="0" borderId="53" xfId="5" applyNumberFormat="1" applyFont="1" applyFill="1" applyBorder="1" applyAlignment="1" applyProtection="1">
      <alignment horizontal="center" vertical="center" wrapText="1"/>
    </xf>
    <xf numFmtId="0" fontId="13" fillId="0" borderId="58" xfId="5" applyFont="1" applyFill="1" applyBorder="1" applyAlignment="1" applyProtection="1">
      <alignment horizontal="left" vertical="center" wrapText="1"/>
    </xf>
    <xf numFmtId="0" fontId="13" fillId="0" borderId="66" xfId="5" applyFont="1" applyFill="1" applyBorder="1" applyAlignment="1" applyProtection="1">
      <alignment horizontal="left" vertical="center" wrapText="1"/>
    </xf>
    <xf numFmtId="0" fontId="13" fillId="0" borderId="69" xfId="5" applyFont="1" applyFill="1" applyBorder="1" applyAlignment="1" applyProtection="1">
      <alignment horizontal="left" vertical="center" wrapText="1"/>
    </xf>
    <xf numFmtId="0" fontId="13" fillId="0" borderId="69" xfId="5" applyFont="1" applyFill="1" applyBorder="1" applyAlignment="1" applyProtection="1">
      <alignment horizontal="center" vertical="center" wrapText="1"/>
    </xf>
    <xf numFmtId="3" fontId="13" fillId="0" borderId="69" xfId="5" applyNumberFormat="1" applyFont="1" applyFill="1" applyBorder="1" applyAlignment="1" applyProtection="1">
      <alignment horizontal="center" vertical="center" wrapText="1"/>
    </xf>
    <xf numFmtId="3" fontId="18" fillId="0" borderId="69" xfId="5" applyNumberFormat="1" applyFont="1" applyFill="1" applyBorder="1" applyAlignment="1" applyProtection="1">
      <alignment horizontal="center" vertical="center" wrapText="1"/>
    </xf>
    <xf numFmtId="3" fontId="13" fillId="0" borderId="67" xfId="5" applyNumberFormat="1" applyFont="1" applyFill="1" applyBorder="1" applyAlignment="1" applyProtection="1">
      <alignment horizontal="center" vertical="center" wrapText="1"/>
    </xf>
    <xf numFmtId="3" fontId="15" fillId="112" borderId="6" xfId="0" applyNumberFormat="1" applyFont="1" applyFill="1" applyBorder="1" applyProtection="1"/>
    <xf numFmtId="167" fontId="18" fillId="0" borderId="2" xfId="14" applyNumberFormat="1" applyFont="1" applyBorder="1" applyAlignment="1" applyProtection="1">
      <alignment horizontal="center" vertical="center"/>
    </xf>
    <xf numFmtId="167" fontId="18" fillId="0" borderId="31" xfId="14" applyNumberFormat="1" applyFont="1" applyBorder="1" applyAlignment="1" applyProtection="1">
      <alignment horizontal="center" vertical="center"/>
    </xf>
    <xf numFmtId="167" fontId="18" fillId="0" borderId="6" xfId="14" applyNumberFormat="1" applyFont="1" applyBorder="1" applyAlignment="1" applyProtection="1">
      <alignment horizontal="center" vertical="center"/>
    </xf>
    <xf numFmtId="167" fontId="18" fillId="0" borderId="55" xfId="14" applyNumberFormat="1" applyFont="1" applyBorder="1" applyAlignment="1" applyProtection="1">
      <alignment horizontal="center" vertical="center"/>
    </xf>
    <xf numFmtId="167" fontId="18" fillId="0" borderId="69" xfId="14" applyNumberFormat="1" applyFont="1" applyBorder="1" applyAlignment="1" applyProtection="1">
      <alignment horizontal="center" vertical="center"/>
    </xf>
    <xf numFmtId="0" fontId="220" fillId="0" borderId="0" xfId="5" applyFont="1" applyAlignment="1" applyProtection="1">
      <protection locked="0"/>
    </xf>
    <xf numFmtId="0" fontId="54" fillId="0" borderId="0" xfId="5" applyFont="1" applyAlignment="1" applyProtection="1">
      <alignment horizontal="center"/>
    </xf>
    <xf numFmtId="3" fontId="13" fillId="0" borderId="84" xfId="5" applyNumberFormat="1" applyFont="1" applyFill="1" applyBorder="1" applyAlignment="1" applyProtection="1">
      <alignment vertical="center" wrapText="1"/>
    </xf>
    <xf numFmtId="3" fontId="13" fillId="0" borderId="100" xfId="5" applyNumberFormat="1" applyFont="1" applyFill="1" applyBorder="1" applyAlignment="1" applyProtection="1">
      <alignment vertical="center" wrapText="1"/>
    </xf>
    <xf numFmtId="3" fontId="13" fillId="0" borderId="90" xfId="5" applyNumberFormat="1" applyFont="1" applyFill="1" applyBorder="1" applyAlignment="1" applyProtection="1">
      <alignment vertical="center" wrapText="1"/>
    </xf>
    <xf numFmtId="3" fontId="13" fillId="0" borderId="82" xfId="5" applyNumberFormat="1" applyFont="1" applyFill="1" applyBorder="1" applyAlignment="1" applyProtection="1">
      <alignment horizontal="center" vertical="center" wrapText="1"/>
    </xf>
    <xf numFmtId="3" fontId="13" fillId="0" borderId="28" xfId="5" applyNumberFormat="1" applyFont="1" applyFill="1" applyBorder="1" applyAlignment="1" applyProtection="1">
      <alignment horizontal="center" vertical="center" wrapText="1"/>
    </xf>
    <xf numFmtId="3" fontId="13" fillId="0" borderId="6" xfId="5" applyNumberFormat="1" applyFont="1" applyFill="1" applyBorder="1" applyAlignment="1" applyProtection="1">
      <alignment horizontal="center" vertical="center" wrapText="1"/>
    </xf>
    <xf numFmtId="0" fontId="14" fillId="110" borderId="4" xfId="5" applyFont="1" applyFill="1" applyBorder="1" applyAlignment="1" applyProtection="1">
      <alignment horizontal="center" vertical="center" wrapText="1"/>
    </xf>
    <xf numFmtId="0" fontId="14" fillId="110" borderId="6" xfId="5" applyFont="1" applyFill="1" applyBorder="1" applyAlignment="1" applyProtection="1">
      <alignment horizontal="center" vertical="center" wrapText="1"/>
    </xf>
    <xf numFmtId="167" fontId="18" fillId="0" borderId="82" xfId="14" applyNumberFormat="1" applyFont="1" applyBorder="1" applyAlignment="1" applyProtection="1">
      <alignment horizontal="center" vertical="center"/>
    </xf>
    <xf numFmtId="167" fontId="18" fillId="0" borderId="28" xfId="14" applyNumberFormat="1" applyFont="1" applyBorder="1" applyAlignment="1" applyProtection="1">
      <alignment horizontal="center" vertical="center"/>
    </xf>
    <xf numFmtId="167" fontId="18" fillId="0" borderId="101" xfId="14" applyNumberFormat="1" applyFont="1" applyBorder="1" applyAlignment="1" applyProtection="1">
      <alignment horizontal="center" vertical="center"/>
    </xf>
    <xf numFmtId="0" fontId="60" fillId="0" borderId="0" xfId="19" applyFont="1"/>
    <xf numFmtId="0" fontId="61" fillId="0" borderId="0" xfId="19" applyFont="1" applyAlignment="1">
      <alignment wrapText="1"/>
    </xf>
    <xf numFmtId="0" fontId="55" fillId="50" borderId="15" xfId="19" applyFont="1" applyFill="1" applyBorder="1" applyAlignment="1">
      <alignment horizontal="center" vertical="center" wrapText="1"/>
    </xf>
    <xf numFmtId="0" fontId="55" fillId="50" borderId="16" xfId="19" applyFont="1" applyFill="1" applyBorder="1" applyAlignment="1">
      <alignment horizontal="center" vertical="center" wrapText="1"/>
    </xf>
    <xf numFmtId="0" fontId="55" fillId="50" borderId="20" xfId="19" applyFont="1" applyFill="1" applyBorder="1" applyAlignment="1">
      <alignment horizontal="center" wrapText="1"/>
    </xf>
    <xf numFmtId="0" fontId="55" fillId="50" borderId="21" xfId="19" applyFont="1" applyFill="1" applyBorder="1" applyAlignment="1">
      <alignment horizontal="center" wrapText="1"/>
    </xf>
    <xf numFmtId="0" fontId="55" fillId="50" borderId="22" xfId="19" applyFont="1" applyFill="1" applyBorder="1" applyAlignment="1">
      <alignment horizontal="center" wrapText="1"/>
    </xf>
    <xf numFmtId="0" fontId="56" fillId="0" borderId="19" xfId="0" applyFont="1" applyBorder="1" applyAlignment="1">
      <alignment horizontal="left" vertical="center" wrapText="1"/>
    </xf>
    <xf numFmtId="0" fontId="56" fillId="0" borderId="24" xfId="0" applyFont="1" applyBorder="1" applyAlignment="1">
      <alignment horizontal="left" vertical="center" wrapText="1"/>
    </xf>
    <xf numFmtId="0" fontId="56" fillId="0" borderId="18" xfId="0" applyFont="1" applyBorder="1" applyAlignment="1">
      <alignment horizontal="left" vertical="center" wrapText="1"/>
    </xf>
    <xf numFmtId="0" fontId="56" fillId="0" borderId="27" xfId="0" applyFont="1" applyBorder="1" applyAlignment="1">
      <alignment horizontal="left" vertical="center" wrapText="1"/>
    </xf>
    <xf numFmtId="0" fontId="55" fillId="50" borderId="15" xfId="0" applyFont="1" applyFill="1" applyBorder="1" applyAlignment="1">
      <alignment horizontal="center" vertical="center" wrapText="1"/>
    </xf>
    <xf numFmtId="0" fontId="55" fillId="50" borderId="16" xfId="0" applyFont="1" applyFill="1" applyBorder="1" applyAlignment="1">
      <alignment horizontal="center" vertical="center" wrapText="1"/>
    </xf>
    <xf numFmtId="0" fontId="60" fillId="0" borderId="0" xfId="0" applyFont="1"/>
    <xf numFmtId="0" fontId="61" fillId="0" borderId="0" xfId="0" applyFont="1" applyAlignment="1">
      <alignment wrapText="1"/>
    </xf>
    <xf numFmtId="0" fontId="55" fillId="50" borderId="20" xfId="0" applyFont="1" applyFill="1" applyBorder="1" applyAlignment="1">
      <alignment horizontal="center" wrapText="1"/>
    </xf>
    <xf numFmtId="0" fontId="55" fillId="50" borderId="21" xfId="0" applyFont="1" applyFill="1" applyBorder="1" applyAlignment="1">
      <alignment horizontal="center" wrapText="1"/>
    </xf>
    <xf numFmtId="0" fontId="55" fillId="50" borderId="22" xfId="0" applyFont="1" applyFill="1" applyBorder="1" applyAlignment="1">
      <alignment horizontal="center" wrapText="1"/>
    </xf>
    <xf numFmtId="0" fontId="55" fillId="0" borderId="19" xfId="0" applyFont="1" applyBorder="1" applyAlignment="1">
      <alignment horizontal="left" vertical="center"/>
    </xf>
    <xf numFmtId="0" fontId="55" fillId="0" borderId="51" xfId="0" applyFont="1" applyBorder="1" applyAlignment="1">
      <alignment horizontal="left" vertical="center"/>
    </xf>
    <xf numFmtId="0" fontId="55" fillId="0" borderId="24" xfId="0" applyFont="1" applyBorder="1" applyAlignment="1">
      <alignment horizontal="left" vertical="center"/>
    </xf>
    <xf numFmtId="0" fontId="55" fillId="50" borderId="25" xfId="0" applyFont="1" applyFill="1" applyBorder="1" applyAlignment="1">
      <alignment horizontal="left" vertical="center" wrapText="1"/>
    </xf>
    <xf numFmtId="0" fontId="55" fillId="50" borderId="29" xfId="0" applyFont="1" applyFill="1" applyBorder="1" applyAlignment="1">
      <alignment horizontal="left" vertical="center" wrapText="1"/>
    </xf>
    <xf numFmtId="0" fontId="55" fillId="50" borderId="18" xfId="0" applyFont="1" applyFill="1" applyBorder="1" applyAlignment="1">
      <alignment horizontal="left" vertical="center" wrapText="1"/>
    </xf>
    <xf numFmtId="0" fontId="55" fillId="50" borderId="27" xfId="0" applyFont="1" applyFill="1" applyBorder="1" applyAlignment="1">
      <alignment horizontal="left" vertical="center" wrapText="1"/>
    </xf>
    <xf numFmtId="0" fontId="10" fillId="51" borderId="26" xfId="19" applyFont="1" applyFill="1" applyBorder="1" applyAlignment="1">
      <alignment horizontal="center" wrapText="1"/>
    </xf>
    <xf numFmtId="0" fontId="229" fillId="0" borderId="0" xfId="5" applyFont="1" applyFill="1" applyAlignment="1" applyProtection="1">
      <alignment horizontal="left" vertical="center" wrapText="1"/>
      <protection locked="0"/>
    </xf>
    <xf numFmtId="0" fontId="229" fillId="0" borderId="0" xfId="5" applyFont="1" applyFill="1" applyAlignment="1" applyProtection="1">
      <alignment horizontal="left" vertical="center"/>
      <protection locked="0"/>
    </xf>
    <xf numFmtId="0" fontId="230" fillId="0" borderId="0" xfId="5" applyFont="1" applyFill="1" applyAlignment="1" applyProtection="1">
      <alignment horizontal="center"/>
      <protection locked="0"/>
    </xf>
    <xf numFmtId="0" fontId="15" fillId="104" borderId="75" xfId="5" applyFont="1" applyFill="1" applyBorder="1" applyAlignment="1" applyProtection="1">
      <alignment horizontal="center" vertical="center" wrapText="1"/>
      <protection locked="0"/>
    </xf>
    <xf numFmtId="0" fontId="15" fillId="104" borderId="33" xfId="5" applyFont="1" applyFill="1" applyBorder="1" applyAlignment="1" applyProtection="1">
      <alignment horizontal="center" vertical="center" wrapText="1"/>
      <protection locked="0"/>
    </xf>
    <xf numFmtId="0" fontId="15" fillId="104" borderId="34" xfId="5" applyFont="1" applyFill="1" applyBorder="1" applyAlignment="1" applyProtection="1">
      <alignment horizontal="center" vertical="center" wrapText="1"/>
      <protection locked="0"/>
    </xf>
    <xf numFmtId="3" fontId="143" fillId="0" borderId="32" xfId="0" applyNumberFormat="1" applyFont="1" applyFill="1" applyBorder="1" applyAlignment="1">
      <alignment horizontal="center" vertical="center" wrapText="1"/>
    </xf>
    <xf numFmtId="3" fontId="143" fillId="0" borderId="33" xfId="0" applyNumberFormat="1" applyFont="1" applyFill="1" applyBorder="1" applyAlignment="1">
      <alignment horizontal="center" vertical="center" wrapText="1"/>
    </xf>
    <xf numFmtId="3" fontId="143" fillId="0" borderId="63" xfId="0" applyNumberFormat="1" applyFont="1" applyFill="1" applyBorder="1" applyAlignment="1">
      <alignment horizontal="center" vertical="center" wrapText="1"/>
    </xf>
    <xf numFmtId="3" fontId="143" fillId="0" borderId="34" xfId="0" applyNumberFormat="1" applyFont="1" applyFill="1" applyBorder="1" applyAlignment="1">
      <alignment horizontal="center" vertical="center" wrapText="1"/>
    </xf>
    <xf numFmtId="0" fontId="142" fillId="0" borderId="0" xfId="0" applyFont="1" applyBorder="1" applyAlignment="1">
      <alignment horizontal="center" vertical="center" wrapText="1"/>
    </xf>
    <xf numFmtId="3" fontId="143" fillId="0" borderId="58" xfId="0" applyNumberFormat="1" applyFont="1" applyFill="1" applyBorder="1" applyAlignment="1">
      <alignment horizontal="center" vertical="center" wrapText="1"/>
    </xf>
    <xf numFmtId="3" fontId="143" fillId="0" borderId="2" xfId="0" applyNumberFormat="1" applyFont="1" applyFill="1" applyBorder="1" applyAlignment="1">
      <alignment horizontal="center" vertical="center" wrapText="1"/>
    </xf>
    <xf numFmtId="3" fontId="143" fillId="0" borderId="59" xfId="0" applyNumberFormat="1" applyFont="1" applyFill="1" applyBorder="1" applyAlignment="1">
      <alignment horizontal="center" vertical="center" wrapText="1"/>
    </xf>
    <xf numFmtId="3" fontId="143" fillId="0" borderId="62" xfId="0" applyNumberFormat="1" applyFont="1" applyFill="1" applyBorder="1" applyAlignment="1">
      <alignment horizontal="center" vertical="center" wrapText="1"/>
    </xf>
    <xf numFmtId="0" fontId="14" fillId="5" borderId="31" xfId="5" applyFont="1" applyFill="1" applyBorder="1" applyAlignment="1" applyProtection="1">
      <alignment horizontal="center" vertical="center" wrapText="1"/>
    </xf>
    <xf numFmtId="0" fontId="14" fillId="5" borderId="28" xfId="5" applyFont="1" applyFill="1" applyBorder="1" applyAlignment="1" applyProtection="1">
      <alignment horizontal="center" vertical="center" wrapText="1"/>
    </xf>
    <xf numFmtId="0" fontId="14" fillId="5" borderId="6" xfId="5" applyFont="1" applyFill="1" applyBorder="1" applyAlignment="1" applyProtection="1">
      <alignment horizontal="center" vertical="center" wrapText="1"/>
    </xf>
    <xf numFmtId="0" fontId="210" fillId="0" borderId="0" xfId="5" applyFont="1" applyFill="1" applyBorder="1" applyAlignment="1" applyProtection="1">
      <alignment horizontal="left" wrapText="1"/>
      <protection locked="0"/>
    </xf>
    <xf numFmtId="0" fontId="15" fillId="6" borderId="2" xfId="5" applyFont="1" applyFill="1" applyBorder="1" applyAlignment="1" applyProtection="1">
      <alignment horizontal="center" vertical="center" wrapText="1"/>
      <protection locked="0"/>
    </xf>
    <xf numFmtId="0" fontId="210" fillId="0" borderId="0" xfId="5" applyFont="1" applyBorder="1" applyAlignment="1" applyProtection="1">
      <alignment horizontal="left" wrapText="1"/>
      <protection locked="0"/>
    </xf>
    <xf numFmtId="0" fontId="168" fillId="0" borderId="0" xfId="0" applyFont="1" applyFill="1" applyAlignment="1">
      <alignment horizontal="left" wrapText="1"/>
    </xf>
    <xf numFmtId="0" fontId="210" fillId="0" borderId="0" xfId="5" applyFont="1" applyFill="1" applyBorder="1" applyAlignment="1" applyProtection="1">
      <alignment horizontal="left" vertical="center" wrapText="1"/>
      <protection locked="0"/>
    </xf>
    <xf numFmtId="0" fontId="210" fillId="0" borderId="0" xfId="5" applyFont="1" applyFill="1" applyBorder="1" applyAlignment="1" applyProtection="1">
      <alignment horizontal="center" wrapText="1"/>
      <protection locked="0"/>
    </xf>
    <xf numFmtId="0" fontId="210" fillId="6" borderId="0" xfId="5" applyFont="1" applyFill="1" applyBorder="1" applyAlignment="1" applyProtection="1">
      <alignment horizontal="left" wrapText="1"/>
      <protection locked="0"/>
    </xf>
    <xf numFmtId="0" fontId="0" fillId="6" borderId="0" xfId="0" applyFill="1" applyAlignment="1">
      <alignment horizontal="left" wrapText="1"/>
    </xf>
    <xf numFmtId="0" fontId="0" fillId="0" borderId="0" xfId="0" applyAlignment="1">
      <alignment horizontal="left" wrapText="1"/>
    </xf>
    <xf numFmtId="0" fontId="210" fillId="0" borderId="0" xfId="5" applyFont="1" applyFill="1" applyBorder="1" applyAlignment="1" applyProtection="1">
      <alignment horizontal="left"/>
      <protection locked="0"/>
    </xf>
    <xf numFmtId="0" fontId="210" fillId="0" borderId="0" xfId="5" applyFont="1" applyBorder="1" applyAlignment="1" applyProtection="1">
      <alignment horizontal="left" vertical="top" wrapText="1"/>
      <protection locked="0"/>
    </xf>
    <xf numFmtId="0" fontId="210" fillId="0" borderId="0" xfId="0" applyFont="1" applyFill="1" applyAlignment="1" applyProtection="1">
      <alignment horizontal="left" vertical="top" wrapText="1"/>
      <protection locked="0"/>
    </xf>
    <xf numFmtId="0" fontId="231" fillId="0" borderId="0" xfId="0" applyFont="1"/>
    <xf numFmtId="0" fontId="232" fillId="0" borderId="0" xfId="0" applyFont="1" applyAlignment="1">
      <alignment wrapText="1"/>
    </xf>
    <xf numFmtId="0" fontId="199" fillId="0" borderId="0" xfId="0" applyFont="1" applyFill="1" applyAlignment="1">
      <alignment horizontal="center"/>
    </xf>
    <xf numFmtId="0" fontId="18" fillId="0" borderId="0" xfId="0" applyFont="1" applyFill="1"/>
    <xf numFmtId="0" fontId="178" fillId="0" borderId="0" xfId="0" applyFont="1" applyFill="1" applyAlignment="1">
      <alignment horizontal="left"/>
    </xf>
  </cellXfs>
  <cellStyles count="652">
    <cellStyle name=" 1" xfId="222"/>
    <cellStyle name="20% - Accent1" xfId="502" builtinId="30" customBuiltin="1"/>
    <cellStyle name="20% - Accent1 2" xfId="29"/>
    <cellStyle name="20% - Accent1 3" xfId="223"/>
    <cellStyle name="20% - Accent1 4" xfId="555"/>
    <cellStyle name="20% - Accent1 5" xfId="596"/>
    <cellStyle name="20% - Accent1 6" xfId="639"/>
    <cellStyle name="20% - Accent2" xfId="506" builtinId="34" customBuiltin="1"/>
    <cellStyle name="20% - Accent2 2" xfId="30"/>
    <cellStyle name="20% - Accent2 3" xfId="224"/>
    <cellStyle name="20% - Accent2 4" xfId="557"/>
    <cellStyle name="20% - Accent2 5" xfId="598"/>
    <cellStyle name="20% - Accent2 6" xfId="641"/>
    <cellStyle name="20% - Accent3" xfId="510" builtinId="38" customBuiltin="1"/>
    <cellStyle name="20% - Accent3 2" xfId="31"/>
    <cellStyle name="20% - Accent3 3" xfId="225"/>
    <cellStyle name="20% - Accent3 4" xfId="559"/>
    <cellStyle name="20% - Accent3 5" xfId="600"/>
    <cellStyle name="20% - Accent3 6" xfId="643"/>
    <cellStyle name="20% - Accent4" xfId="514" builtinId="42" customBuiltin="1"/>
    <cellStyle name="20% - Accent4 2" xfId="32"/>
    <cellStyle name="20% - Accent4 3" xfId="226"/>
    <cellStyle name="20% - Accent4 4" xfId="561"/>
    <cellStyle name="20% - Accent4 5" xfId="602"/>
    <cellStyle name="20% - Accent4 6" xfId="645"/>
    <cellStyle name="20% - Accent5" xfId="518" builtinId="46" customBuiltin="1"/>
    <cellStyle name="20% - Accent5 2" xfId="33"/>
    <cellStyle name="20% - Accent5 3" xfId="227"/>
    <cellStyle name="20% - Accent5 4" xfId="563"/>
    <cellStyle name="20% - Accent5 5" xfId="604"/>
    <cellStyle name="20% - Accent5 6" xfId="647"/>
    <cellStyle name="20% - Accent6" xfId="522" builtinId="50" customBuiltin="1"/>
    <cellStyle name="20% - Accent6 2" xfId="34"/>
    <cellStyle name="20% - Accent6 3" xfId="228"/>
    <cellStyle name="20% - Accent6 4" xfId="565"/>
    <cellStyle name="20% - Accent6 5" xfId="606"/>
    <cellStyle name="20% - Accent6 6" xfId="649"/>
    <cellStyle name="40% - Accent1" xfId="503" builtinId="31" customBuiltin="1"/>
    <cellStyle name="40% - Accent1 2" xfId="35"/>
    <cellStyle name="40% - Accent1 3" xfId="229"/>
    <cellStyle name="40% - Accent1 4" xfId="556"/>
    <cellStyle name="40% - Accent1 5" xfId="597"/>
    <cellStyle name="40% - Accent1 6" xfId="640"/>
    <cellStyle name="40% - Accent2" xfId="507" builtinId="35" customBuiltin="1"/>
    <cellStyle name="40% - Accent2 2" xfId="36"/>
    <cellStyle name="40% - Accent2 3" xfId="230"/>
    <cellStyle name="40% - Accent2 4" xfId="558"/>
    <cellStyle name="40% - Accent2 5" xfId="599"/>
    <cellStyle name="40% - Accent2 6" xfId="642"/>
    <cellStyle name="40% - Accent3" xfId="511" builtinId="39" customBuiltin="1"/>
    <cellStyle name="40% - Accent3 2" xfId="37"/>
    <cellStyle name="40% - Accent3 3" xfId="231"/>
    <cellStyle name="40% - Accent3 4" xfId="560"/>
    <cellStyle name="40% - Accent3 5" xfId="601"/>
    <cellStyle name="40% - Accent3 6" xfId="644"/>
    <cellStyle name="40% - Accent4" xfId="515" builtinId="43" customBuiltin="1"/>
    <cellStyle name="40% - Accent4 2" xfId="38"/>
    <cellStyle name="40% - Accent4 3" xfId="232"/>
    <cellStyle name="40% - Accent4 4" xfId="562"/>
    <cellStyle name="40% - Accent4 5" xfId="603"/>
    <cellStyle name="40% - Accent4 6" xfId="646"/>
    <cellStyle name="40% - Accent5" xfId="519" builtinId="47" customBuiltin="1"/>
    <cellStyle name="40% - Accent5 2" xfId="39"/>
    <cellStyle name="40% - Accent5 3" xfId="233"/>
    <cellStyle name="40% - Accent5 4" xfId="564"/>
    <cellStyle name="40% - Accent5 5" xfId="605"/>
    <cellStyle name="40% - Accent5 6" xfId="648"/>
    <cellStyle name="40% - Accent6" xfId="523" builtinId="51" customBuiltin="1"/>
    <cellStyle name="40% - Accent6 2" xfId="40"/>
    <cellStyle name="40% - Accent6 3" xfId="234"/>
    <cellStyle name="40% - Accent6 4" xfId="566"/>
    <cellStyle name="40% - Accent6 5" xfId="607"/>
    <cellStyle name="40% - Accent6 6" xfId="650"/>
    <cellStyle name="60% - Accent1" xfId="504" builtinId="32" customBuiltin="1"/>
    <cellStyle name="60% - Accent1 2" xfId="41"/>
    <cellStyle name="60% - Accent1 3" xfId="235"/>
    <cellStyle name="60% - Accent2" xfId="508" builtinId="36" customBuiltin="1"/>
    <cellStyle name="60% - Accent2 2" xfId="42"/>
    <cellStyle name="60% - Accent2 3" xfId="236"/>
    <cellStyle name="60% - Accent3" xfId="512" builtinId="40" customBuiltin="1"/>
    <cellStyle name="60% - Accent3 2" xfId="43"/>
    <cellStyle name="60% - Accent3 3" xfId="237"/>
    <cellStyle name="60% - Accent4" xfId="516" builtinId="44" customBuiltin="1"/>
    <cellStyle name="60% - Accent4 2" xfId="44"/>
    <cellStyle name="60% - Accent4 3" xfId="238"/>
    <cellStyle name="60% - Accent5" xfId="520" builtinId="48" customBuiltin="1"/>
    <cellStyle name="60% - Accent5 2" xfId="45"/>
    <cellStyle name="60% - Accent5 3" xfId="239"/>
    <cellStyle name="60% - Accent6" xfId="524" builtinId="52" customBuiltin="1"/>
    <cellStyle name="60% - Accent6 2" xfId="46"/>
    <cellStyle name="60% - Accent6 3" xfId="240"/>
    <cellStyle name="Accent1" xfId="501" builtinId="29" customBuiltin="1"/>
    <cellStyle name="Accent1 - 20%" xfId="47"/>
    <cellStyle name="Accent1 - 40%" xfId="48"/>
    <cellStyle name="Accent1 - 60%" xfId="49"/>
    <cellStyle name="Accent1 2" xfId="241"/>
    <cellStyle name="Accent1 3" xfId="242"/>
    <cellStyle name="Accent1 4" xfId="243"/>
    <cellStyle name="Accent1 5" xfId="244"/>
    <cellStyle name="Accent1 6" xfId="245"/>
    <cellStyle name="Accent1 7" xfId="246"/>
    <cellStyle name="Accent2" xfId="505" builtinId="33" customBuiltin="1"/>
    <cellStyle name="Accent2 - 20%" xfId="50"/>
    <cellStyle name="Accent2 - 40%" xfId="51"/>
    <cellStyle name="Accent2 - 60%" xfId="52"/>
    <cellStyle name="Accent2 2" xfId="247"/>
    <cellStyle name="Accent2 3" xfId="248"/>
    <cellStyle name="Accent2 4" xfId="249"/>
    <cellStyle name="Accent2 5" xfId="250"/>
    <cellStyle name="Accent2 6" xfId="251"/>
    <cellStyle name="Accent2 7" xfId="252"/>
    <cellStyle name="Accent3" xfId="509" builtinId="37" customBuiltin="1"/>
    <cellStyle name="Accent3 - 20%" xfId="53"/>
    <cellStyle name="Accent3 - 40%" xfId="54"/>
    <cellStyle name="Accent3 - 60%" xfId="55"/>
    <cellStyle name="Accent3 2" xfId="253"/>
    <cellStyle name="Accent3 3" xfId="254"/>
    <cellStyle name="Accent3 4" xfId="255"/>
    <cellStyle name="Accent3 5" xfId="256"/>
    <cellStyle name="Accent3 6" xfId="257"/>
    <cellStyle name="Accent3 7" xfId="258"/>
    <cellStyle name="Accent4" xfId="513" builtinId="41" customBuiltin="1"/>
    <cellStyle name="Accent4 - 20%" xfId="56"/>
    <cellStyle name="Accent4 - 40%" xfId="57"/>
    <cellStyle name="Accent4 - 60%" xfId="58"/>
    <cellStyle name="Accent4 2" xfId="259"/>
    <cellStyle name="Accent4 3" xfId="260"/>
    <cellStyle name="Accent4 4" xfId="261"/>
    <cellStyle name="Accent4 5" xfId="262"/>
    <cellStyle name="Accent4 6" xfId="263"/>
    <cellStyle name="Accent4 7" xfId="264"/>
    <cellStyle name="Accent5" xfId="517" builtinId="45" customBuiltin="1"/>
    <cellStyle name="Accent5 - 20%" xfId="59"/>
    <cellStyle name="Accent5 - 40%" xfId="60"/>
    <cellStyle name="Accent5 - 60%" xfId="61"/>
    <cellStyle name="Accent5 2" xfId="265"/>
    <cellStyle name="Accent5 3" xfId="266"/>
    <cellStyle name="Accent5 4" xfId="267"/>
    <cellStyle name="Accent5 5" xfId="268"/>
    <cellStyle name="Accent5 6" xfId="269"/>
    <cellStyle name="Accent5 7" xfId="270"/>
    <cellStyle name="Accent6" xfId="521" builtinId="49" customBuiltin="1"/>
    <cellStyle name="Accent6 - 20%" xfId="62"/>
    <cellStyle name="Accent6 - 40%" xfId="63"/>
    <cellStyle name="Accent6 - 60%" xfId="64"/>
    <cellStyle name="Accent6 2" xfId="271"/>
    <cellStyle name="Accent6 3" xfId="272"/>
    <cellStyle name="Accent6 4" xfId="273"/>
    <cellStyle name="Accent6 5" xfId="274"/>
    <cellStyle name="Accent6 6" xfId="275"/>
    <cellStyle name="Accent6 7" xfId="276"/>
    <cellStyle name="Aktivitāte" xfId="13"/>
    <cellStyle name="Aktivitāte 2" xfId="277"/>
    <cellStyle name="Bad" xfId="491" builtinId="27" customBuiltin="1"/>
    <cellStyle name="Bad 2" xfId="65"/>
    <cellStyle name="Bad 3" xfId="278"/>
    <cellStyle name="Calculation" xfId="495" builtinId="22" customBuiltin="1"/>
    <cellStyle name="Calculation 2" xfId="279"/>
    <cellStyle name="Calculation 2 2" xfId="280"/>
    <cellStyle name="Calculation 2 3" xfId="281"/>
    <cellStyle name="Calculation 3" xfId="282"/>
    <cellStyle name="Check" xfId="283"/>
    <cellStyle name="Check Cell" xfId="497" builtinId="23" customBuiltin="1"/>
    <cellStyle name="Check Cell 2" xfId="66"/>
    <cellStyle name="Check Cell 3" xfId="284"/>
    <cellStyle name="Comma" xfId="484" builtinId="3"/>
    <cellStyle name="Comma [0] 2" xfId="285"/>
    <cellStyle name="Comma [0] 2 2" xfId="546"/>
    <cellStyle name="Comma [0] 2 3" xfId="587"/>
    <cellStyle name="Comma [0] 2 4" xfId="630"/>
    <cellStyle name="Comma 10" xfId="220"/>
    <cellStyle name="Comma 10 2" xfId="545"/>
    <cellStyle name="Comma 10 3" xfId="586"/>
    <cellStyle name="Comma 10 4" xfId="629"/>
    <cellStyle name="Comma 11" xfId="286"/>
    <cellStyle name="Comma 11 2" xfId="547"/>
    <cellStyle name="Comma 11 3" xfId="588"/>
    <cellStyle name="Comma 11 4" xfId="631"/>
    <cellStyle name="Comma 12" xfId="477"/>
    <cellStyle name="Comma 12 2" xfId="551"/>
    <cellStyle name="Comma 12 3" xfId="592"/>
    <cellStyle name="Comma 12 4" xfId="635"/>
    <cellStyle name="Comma 13" xfId="479"/>
    <cellStyle name="Comma 13 2" xfId="553"/>
    <cellStyle name="Comma 13 3" xfId="594"/>
    <cellStyle name="Comma 13 4" xfId="637"/>
    <cellStyle name="Comma 14" xfId="554"/>
    <cellStyle name="Comma 15" xfId="595"/>
    <cellStyle name="Comma 16" xfId="609"/>
    <cellStyle name="Comma 17" xfId="638"/>
    <cellStyle name="Comma 18" xfId="612"/>
    <cellStyle name="Comma 2" xfId="67"/>
    <cellStyle name="Comma 2 2" xfId="529"/>
    <cellStyle name="Comma 2 3" xfId="570"/>
    <cellStyle name="Comma 2 4" xfId="613"/>
    <cellStyle name="Comma 3" xfId="68"/>
    <cellStyle name="Comma 3 2" xfId="213"/>
    <cellStyle name="Comma 3 2 2" xfId="538"/>
    <cellStyle name="Comma 3 2 3" xfId="579"/>
    <cellStyle name="Comma 3 2 4" xfId="622"/>
    <cellStyle name="Comma 3 3" xfId="530"/>
    <cellStyle name="Comma 3 4" xfId="571"/>
    <cellStyle name="Comma 3 5" xfId="614"/>
    <cellStyle name="Comma 4" xfId="211"/>
    <cellStyle name="Comma 4 2" xfId="214"/>
    <cellStyle name="Comma 4 2 2" xfId="539"/>
    <cellStyle name="Comma 4 2 3" xfId="580"/>
    <cellStyle name="Comma 4 2 4" xfId="623"/>
    <cellStyle name="Comma 4 3" xfId="536"/>
    <cellStyle name="Comma 4 4" xfId="577"/>
    <cellStyle name="Comma 4 5" xfId="620"/>
    <cellStyle name="Comma 5" xfId="215"/>
    <cellStyle name="Comma 5 2" xfId="540"/>
    <cellStyle name="Comma 5 3" xfId="581"/>
    <cellStyle name="Comma 5 4" xfId="624"/>
    <cellStyle name="Comma 6" xfId="216"/>
    <cellStyle name="Comma 6 2" xfId="541"/>
    <cellStyle name="Comma 6 3" xfId="582"/>
    <cellStyle name="Comma 6 4" xfId="625"/>
    <cellStyle name="Comma 7" xfId="217"/>
    <cellStyle name="Comma 7 2" xfId="542"/>
    <cellStyle name="Comma 7 3" xfId="583"/>
    <cellStyle name="Comma 7 4" xfId="626"/>
    <cellStyle name="Comma 8" xfId="218"/>
    <cellStyle name="Comma 8 2" xfId="543"/>
    <cellStyle name="Comma 8 3" xfId="584"/>
    <cellStyle name="Comma 8 4" xfId="627"/>
    <cellStyle name="Comma 9" xfId="219"/>
    <cellStyle name="Comma 9 2" xfId="544"/>
    <cellStyle name="Comma 9 3" xfId="585"/>
    <cellStyle name="Comma 9 4" xfId="628"/>
    <cellStyle name="Currency 2" xfId="287"/>
    <cellStyle name="Data" xfId="288"/>
    <cellStyle name="Emphasis 1" xfId="69"/>
    <cellStyle name="Emphasis 2" xfId="70"/>
    <cellStyle name="Emphasis 3" xfId="71"/>
    <cellStyle name="estimation" xfId="289"/>
    <cellStyle name="exo" xfId="72"/>
    <cellStyle name="Explanatory Text" xfId="499" builtinId="53" customBuiltin="1"/>
    <cellStyle name="Explanatory Text 2" xfId="73"/>
    <cellStyle name="Explanatory Text 3" xfId="290"/>
    <cellStyle name="Forecast" xfId="291"/>
    <cellStyle name="Good" xfId="490" builtinId="26" customBuiltin="1"/>
    <cellStyle name="Good 2" xfId="74"/>
    <cellStyle name="Good 3" xfId="292"/>
    <cellStyle name="Head1" xfId="293"/>
    <cellStyle name="Heading 1" xfId="486" builtinId="16" customBuiltin="1"/>
    <cellStyle name="Heading 1 2" xfId="75"/>
    <cellStyle name="Heading 1 3" xfId="294"/>
    <cellStyle name="Heading 2" xfId="487" builtinId="17" customBuiltin="1"/>
    <cellStyle name="Heading 2 2" xfId="76"/>
    <cellStyle name="Heading 2 3" xfId="295"/>
    <cellStyle name="Heading 3" xfId="488" builtinId="18" customBuiltin="1"/>
    <cellStyle name="Heading 3 2" xfId="77"/>
    <cellStyle name="Heading 3 3" xfId="296"/>
    <cellStyle name="Heading 4" xfId="489" builtinId="19" customBuiltin="1"/>
    <cellStyle name="Heading 4 2" xfId="78"/>
    <cellStyle name="Heading 4 3" xfId="297"/>
    <cellStyle name="Historical" xfId="298"/>
    <cellStyle name="Hyperlink" xfId="526" builtinId="8"/>
    <cellStyle name="Indent0" xfId="299"/>
    <cellStyle name="Indent1" xfId="300"/>
    <cellStyle name="Indent2" xfId="301"/>
    <cellStyle name="Indent3" xfId="302"/>
    <cellStyle name="Indent4" xfId="303"/>
    <cellStyle name="Indent5" xfId="304"/>
    <cellStyle name="info" xfId="305"/>
    <cellStyle name="Input" xfId="493" builtinId="20" customBuiltin="1"/>
    <cellStyle name="Input 2" xfId="306"/>
    <cellStyle name="Input 2 2" xfId="307"/>
    <cellStyle name="Input 2 3" xfId="308"/>
    <cellStyle name="Input 3" xfId="309"/>
    <cellStyle name="Koefic." xfId="79"/>
    <cellStyle name="Linked Cell" xfId="496" builtinId="24" customBuiltin="1"/>
    <cellStyle name="Linked Cell 2" xfId="80"/>
    <cellStyle name="Linked Cell 3" xfId="310"/>
    <cellStyle name="Neutral" xfId="492" builtinId="28" customBuiltin="1"/>
    <cellStyle name="Neutral 2" xfId="311"/>
    <cellStyle name="Neutral 3" xfId="312"/>
    <cellStyle name="Normal" xfId="0" builtinId="0"/>
    <cellStyle name="Normal 10" xfId="1"/>
    <cellStyle name="Normal 10 2" xfId="19"/>
    <cellStyle name="Normal 10 2 2" xfId="313"/>
    <cellStyle name="Normal 10 2 2 2" xfId="314"/>
    <cellStyle name="Normal 10 2 2 3" xfId="315"/>
    <cellStyle name="Normal 10 2 3" xfId="316"/>
    <cellStyle name="Normal 10 2 4" xfId="317"/>
    <cellStyle name="Normal 10 3" xfId="318"/>
    <cellStyle name="Normal 10 3 2" xfId="319"/>
    <cellStyle name="Normal 10 3 3" xfId="320"/>
    <cellStyle name="Normal 10 4" xfId="321"/>
    <cellStyle name="Normal 10 5" xfId="322"/>
    <cellStyle name="Normal 11" xfId="81"/>
    <cellStyle name="Normal 11 2" xfId="323"/>
    <cellStyle name="Normal 11 2 2" xfId="324"/>
    <cellStyle name="Normal 11 2 2 2" xfId="325"/>
    <cellStyle name="Normal 11 2 2 3" xfId="326"/>
    <cellStyle name="Normal 11 2 3" xfId="327"/>
    <cellStyle name="Normal 11 2 4" xfId="328"/>
    <cellStyle name="Normal 11 3" xfId="329"/>
    <cellStyle name="Normal 11 3 2" xfId="330"/>
    <cellStyle name="Normal 11 3 3" xfId="331"/>
    <cellStyle name="Normal 11 4" xfId="332"/>
    <cellStyle name="Normal 11 5" xfId="333"/>
    <cellStyle name="Normal 12" xfId="2"/>
    <cellStyle name="Normal 12 2" xfId="20"/>
    <cellStyle name="Normal 13" xfId="16"/>
    <cellStyle name="Normal 13 2" xfId="334"/>
    <cellStyle name="Normal 13 2 2" xfId="335"/>
    <cellStyle name="Normal 13 2 3" xfId="336"/>
    <cellStyle name="Normal 13 3" xfId="527"/>
    <cellStyle name="Normal 13 4" xfId="568"/>
    <cellStyle name="Normal 13 5" xfId="610"/>
    <cellStyle name="Normal 14" xfId="3"/>
    <cellStyle name="Normal 14 2" xfId="21"/>
    <cellStyle name="Normal 15" xfId="4"/>
    <cellStyle name="Normal 15 2" xfId="22"/>
    <cellStyle name="Normal 15 3" xfId="337"/>
    <cellStyle name="Normal 16" xfId="209"/>
    <cellStyle name="Normal 16 2" xfId="534"/>
    <cellStyle name="Normal 16 3" xfId="575"/>
    <cellStyle name="Normal 16 4" xfId="618"/>
    <cellStyle name="Normal 17" xfId="210"/>
    <cellStyle name="Normal 17 2" xfId="535"/>
    <cellStyle name="Normal 17 3" xfId="576"/>
    <cellStyle name="Normal 17 4" xfId="619"/>
    <cellStyle name="Normal 18" xfId="476"/>
    <cellStyle name="Normal 18 2" xfId="550"/>
    <cellStyle name="Normal 18 3" xfId="591"/>
    <cellStyle name="Normal 18 4" xfId="634"/>
    <cellStyle name="Normal 2" xfId="15"/>
    <cellStyle name="Normal 2 10" xfId="83"/>
    <cellStyle name="Normal 2 11" xfId="84"/>
    <cellStyle name="Normal 2 12" xfId="85"/>
    <cellStyle name="Normal 2 13" xfId="86"/>
    <cellStyle name="Normal 2 14" xfId="87"/>
    <cellStyle name="Normal 2 15" xfId="88"/>
    <cellStyle name="Normal 2 16" xfId="89"/>
    <cellStyle name="Normal 2 17" xfId="90"/>
    <cellStyle name="Normal 2 18" xfId="91"/>
    <cellStyle name="Normal 2 19" xfId="92"/>
    <cellStyle name="Normal 2 2" xfId="5"/>
    <cellStyle name="Normal 2 2 10" xfId="338"/>
    <cellStyle name="Normal 2 2 11" xfId="339"/>
    <cellStyle name="Normal 2 2 2" xfId="93"/>
    <cellStyle name="Normal 2 2 3" xfId="94"/>
    <cellStyle name="Normal 2 2 4" xfId="95"/>
    <cellStyle name="Normal 2 2 5" xfId="96"/>
    <cellStyle name="Normal 2 2 6" xfId="97"/>
    <cellStyle name="Normal 2 2 7" xfId="98"/>
    <cellStyle name="Normal 2 2 8" xfId="340"/>
    <cellStyle name="Normal 2 2 8 2" xfId="341"/>
    <cellStyle name="Normal 2 2 8 3" xfId="342"/>
    <cellStyle name="Normal 2 2 9" xfId="343"/>
    <cellStyle name="Normal 2 20" xfId="99"/>
    <cellStyle name="Normal 2 21" xfId="100"/>
    <cellStyle name="Normal 2 22" xfId="101"/>
    <cellStyle name="Normal 2 23" xfId="102"/>
    <cellStyle name="Normal 2 24" xfId="103"/>
    <cellStyle name="Normal 2 25" xfId="104"/>
    <cellStyle name="Normal 2 26" xfId="105"/>
    <cellStyle name="Normal 2 27" xfId="106"/>
    <cellStyle name="Normal 2 28" xfId="107"/>
    <cellStyle name="Normal 2 29" xfId="108"/>
    <cellStyle name="Normal 2 3" xfId="6"/>
    <cellStyle name="Normal 2 3 2" xfId="109"/>
    <cellStyle name="Normal 2 3 2 2" xfId="344"/>
    <cellStyle name="Normal 2 3 2 2 2" xfId="345"/>
    <cellStyle name="Normal 2 3 2 2 3" xfId="346"/>
    <cellStyle name="Normal 2 3 3" xfId="347"/>
    <cellStyle name="Normal 2 3 3 2" xfId="348"/>
    <cellStyle name="Normal 2 3 3 3" xfId="349"/>
    <cellStyle name="Normal 2 3 4" xfId="350"/>
    <cellStyle name="Normal 2 3 5" xfId="351"/>
    <cellStyle name="Normal 2 30" xfId="110"/>
    <cellStyle name="Normal 2 31" xfId="111"/>
    <cellStyle name="Normal 2 31 2" xfId="532"/>
    <cellStyle name="Normal 2 31 3" xfId="573"/>
    <cellStyle name="Normal 2 31 4" xfId="616"/>
    <cellStyle name="Normal 2 32" xfId="112"/>
    <cellStyle name="Normal 2 33" xfId="82"/>
    <cellStyle name="Normal 2 33 2" xfId="531"/>
    <cellStyle name="Normal 2 33 3" xfId="572"/>
    <cellStyle name="Normal 2 33 4" xfId="615"/>
    <cellStyle name="Normal 2 34" xfId="28"/>
    <cellStyle name="Normal 2 35" xfId="352"/>
    <cellStyle name="Normal 2 35 2" xfId="353"/>
    <cellStyle name="Normal 2 35 3" xfId="354"/>
    <cellStyle name="Normal 2 36" xfId="355"/>
    <cellStyle name="Normal 2 37" xfId="356"/>
    <cellStyle name="Normal 2 4" xfId="113"/>
    <cellStyle name="Normal 2 4 2" xfId="357"/>
    <cellStyle name="Normal 2 4 3" xfId="358"/>
    <cellStyle name="Normal 2 4 3 2" xfId="359"/>
    <cellStyle name="Normal 2 4 3 3" xfId="360"/>
    <cellStyle name="Normal 2 4 4" xfId="221"/>
    <cellStyle name="Normal 2 4 4 2" xfId="361"/>
    <cellStyle name="Normal 2 4 4 3" xfId="362"/>
    <cellStyle name="Normal 2 4 5" xfId="363"/>
    <cellStyle name="Normal 2 4 6" xfId="364"/>
    <cellStyle name="Normal 2 5" xfId="114"/>
    <cellStyle name="Normal 2 5 2" xfId="365"/>
    <cellStyle name="Normal 2 5 2 2" xfId="366"/>
    <cellStyle name="Normal 2 5 2 3" xfId="367"/>
    <cellStyle name="Normal 2 6" xfId="115"/>
    <cellStyle name="Normal 2 6 2" xfId="368"/>
    <cellStyle name="Normal 2 6 2 2" xfId="369"/>
    <cellStyle name="Normal 2 6 2 3" xfId="370"/>
    <cellStyle name="Normal 2 6 3" xfId="371"/>
    <cellStyle name="Normal 2 6 4" xfId="372"/>
    <cellStyle name="Normal 2 7" xfId="116"/>
    <cellStyle name="Normal 2 8" xfId="117"/>
    <cellStyle name="Normal 2 9" xfId="118"/>
    <cellStyle name="Normal 2_JAUNIE_MERKI_2010-2015_plus_100_milj _14 07 2010" xfId="373"/>
    <cellStyle name="Normal 3" xfId="12"/>
    <cellStyle name="Normal 3 2" xfId="119"/>
    <cellStyle name="Normal 3 2 2" xfId="374"/>
    <cellStyle name="Normal 3 2 2 2" xfId="375"/>
    <cellStyle name="Normal 3 2 2 3" xfId="376"/>
    <cellStyle name="Normal 3 2 3" xfId="377"/>
    <cellStyle name="Normal 3 2 4" xfId="378"/>
    <cellStyle name="Normal 3 3" xfId="120"/>
    <cellStyle name="Normal 3 4" xfId="121"/>
    <cellStyle name="Normal 3 4 2" xfId="379"/>
    <cellStyle name="Normal 3 4 2 2" xfId="380"/>
    <cellStyle name="Normal 3 4 2 3" xfId="381"/>
    <cellStyle name="Normal 3 4 3" xfId="382"/>
    <cellStyle name="Normal 3 4 4" xfId="383"/>
    <cellStyle name="Normal 3 5" xfId="122"/>
    <cellStyle name="Normal 3 6" xfId="384"/>
    <cellStyle name="Normal 3 6 2" xfId="548"/>
    <cellStyle name="Normal 3 6 3" xfId="589"/>
    <cellStyle name="Normal 3 6 4" xfId="632"/>
    <cellStyle name="Normal 30" xfId="385"/>
    <cellStyle name="Normal 30 2" xfId="386"/>
    <cellStyle name="Normal 30 3" xfId="387"/>
    <cellStyle name="Normal 30 4" xfId="388"/>
    <cellStyle name="Normal 30 8" xfId="389"/>
    <cellStyle name="Normal 30 9" xfId="390"/>
    <cellStyle name="Normal 39" xfId="391"/>
    <cellStyle name="Normal 39 2" xfId="392"/>
    <cellStyle name="Normal 4" xfId="7"/>
    <cellStyle name="Normal 4 2" xfId="123"/>
    <cellStyle name="Normal 4 2 2" xfId="393"/>
    <cellStyle name="Normal 4 2 2 2" xfId="394"/>
    <cellStyle name="Normal 4 2 2 3" xfId="395"/>
    <cellStyle name="Normal 4 2 3" xfId="396"/>
    <cellStyle name="Normal 4 2 4" xfId="397"/>
    <cellStyle name="Normal 4 3" xfId="124"/>
    <cellStyle name="Normal 4 3 2" xfId="398"/>
    <cellStyle name="Normal 4 4" xfId="399"/>
    <cellStyle name="Normal 4 4 2" xfId="400"/>
    <cellStyle name="Normal 4 4 3" xfId="401"/>
    <cellStyle name="Normal 4 5" xfId="402"/>
    <cellStyle name="Normal 4 6" xfId="403"/>
    <cellStyle name="Normal 40" xfId="404"/>
    <cellStyle name="Normal 40 2" xfId="405"/>
    <cellStyle name="Normal 44" xfId="406"/>
    <cellStyle name="Normal 44 2" xfId="407"/>
    <cellStyle name="Normal 5" xfId="8"/>
    <cellStyle name="Normal 5 2" xfId="125"/>
    <cellStyle name="Normal 5 2 2" xfId="408"/>
    <cellStyle name="Normal 5 2 2 2" xfId="409"/>
    <cellStyle name="Normal 5 2 2 3" xfId="410"/>
    <cellStyle name="Normal 5 2 3" xfId="411"/>
    <cellStyle name="Normal 5 2 4" xfId="412"/>
    <cellStyle name="Normal 5 3" xfId="23"/>
    <cellStyle name="Normal 5 3 2" xfId="413"/>
    <cellStyle name="Normal 5 4" xfId="414"/>
    <cellStyle name="Normal 5 4 2" xfId="415"/>
    <cellStyle name="Normal 5 4 3" xfId="416"/>
    <cellStyle name="Normal 5 5" xfId="417"/>
    <cellStyle name="Normal 5 6" xfId="418"/>
    <cellStyle name="Normal 5_JAUNIE_MERKI_2010-2015_plus_100_milj _14 07 2010" xfId="419"/>
    <cellStyle name="Normal 6" xfId="9"/>
    <cellStyle name="Normal 6 2" xfId="24"/>
    <cellStyle name="Normal 7" xfId="10"/>
    <cellStyle name="Normal 7 2" xfId="25"/>
    <cellStyle name="Normal 7 2 2" xfId="420"/>
    <cellStyle name="Normal 7 3" xfId="421"/>
    <cellStyle name="Normal 7 3 2" xfId="422"/>
    <cellStyle name="Normal 7 3 3" xfId="423"/>
    <cellStyle name="Normal 7 4" xfId="424"/>
    <cellStyle name="Normal 7 5" xfId="425"/>
    <cellStyle name="Normal 8" xfId="18"/>
    <cellStyle name="Normal 8 2" xfId="426"/>
    <cellStyle name="Normal 8 2 2" xfId="427"/>
    <cellStyle name="Normal 8 3" xfId="428"/>
    <cellStyle name="Normal 8 3 2" xfId="429"/>
    <cellStyle name="Normal 8 3 3" xfId="430"/>
    <cellStyle name="Normal 8 4" xfId="431"/>
    <cellStyle name="Normal 8 5" xfId="432"/>
    <cellStyle name="Normal 9" xfId="11"/>
    <cellStyle name="Normal 9 2" xfId="26"/>
    <cellStyle name="Normal 9 3" xfId="433"/>
    <cellStyle name="Normal 9 3 2" xfId="434"/>
    <cellStyle name="Normal 9 3 3" xfId="435"/>
    <cellStyle name="Normal 9 4" xfId="436"/>
    <cellStyle name="Normal 9 5" xfId="437"/>
    <cellStyle name="normálne_4c.  Príloha č. 2 AG + SK_16.05.2005" xfId="438"/>
    <cellStyle name="Note 2" xfId="126"/>
    <cellStyle name="Note 2 2" xfId="439"/>
    <cellStyle name="Note 2 3" xfId="440"/>
    <cellStyle name="Note 3" xfId="441"/>
    <cellStyle name="Note 4" xfId="525"/>
    <cellStyle name="Note 4 2" xfId="567"/>
    <cellStyle name="Note 4 3" xfId="608"/>
    <cellStyle name="Note 4 4" xfId="651"/>
    <cellStyle name="Output" xfId="494" builtinId="21" customBuiltin="1"/>
    <cellStyle name="Output 2" xfId="442"/>
    <cellStyle name="Output 2 2" xfId="443"/>
    <cellStyle name="Output 2 3" xfId="444"/>
    <cellStyle name="Output 3" xfId="445"/>
    <cellStyle name="Parastais 13" xfId="127"/>
    <cellStyle name="Parastais 2" xfId="128"/>
    <cellStyle name="Parastais 2 2" xfId="129"/>
    <cellStyle name="Parastais 2 3" xfId="130"/>
    <cellStyle name="Parastais 2_FMRik_260209_marts_sad1II.variants" xfId="131"/>
    <cellStyle name="Parastais 3" xfId="132"/>
    <cellStyle name="Parastais 4" xfId="133"/>
    <cellStyle name="Parastais 4 2" xfId="446"/>
    <cellStyle name="Parastais 4 2 2" xfId="447"/>
    <cellStyle name="Parastais 4 2 3" xfId="448"/>
    <cellStyle name="Parastais 4 3" xfId="449"/>
    <cellStyle name="Parastais 4 4" xfId="450"/>
    <cellStyle name="Parastais 5" xfId="134"/>
    <cellStyle name="Parastais 6" xfId="135"/>
    <cellStyle name="Parastais_FMLikp01_p05_221205_pap_afp_makp" xfId="136"/>
    <cellStyle name="Percent" xfId="14" builtinId="5"/>
    <cellStyle name="Percent 2" xfId="27"/>
    <cellStyle name="Percent 2 2" xfId="137"/>
    <cellStyle name="Percent 3" xfId="138"/>
    <cellStyle name="Percent 3 2" xfId="451"/>
    <cellStyle name="Percent 3 3" xfId="533"/>
    <cellStyle name="Percent 3 4" xfId="574"/>
    <cellStyle name="Percent 3 5" xfId="617"/>
    <cellStyle name="Percent 4" xfId="17"/>
    <cellStyle name="Percent 4 2" xfId="452"/>
    <cellStyle name="Percent 4 2 2" xfId="453"/>
    <cellStyle name="Percent 4 2 2 2" xfId="454"/>
    <cellStyle name="Percent 4 2 2 3" xfId="455"/>
    <cellStyle name="Percent 4 2 2 3 2" xfId="480"/>
    <cellStyle name="Percent 4 2 3" xfId="456"/>
    <cellStyle name="Percent 4 2 4" xfId="457"/>
    <cellStyle name="Percent 4 2 4 2" xfId="481"/>
    <cellStyle name="Percent 4 3" xfId="458"/>
    <cellStyle name="Percent 4 4" xfId="459"/>
    <cellStyle name="Percent 4 4 2" xfId="482"/>
    <cellStyle name="Percent 4 5" xfId="528"/>
    <cellStyle name="Percent 4 6" xfId="569"/>
    <cellStyle name="Percent 4 7" xfId="611"/>
    <cellStyle name="Percent 5" xfId="212"/>
    <cellStyle name="Percent 5 2" xfId="483"/>
    <cellStyle name="Percent 5 3" xfId="537"/>
    <cellStyle name="Percent 5 4" xfId="578"/>
    <cellStyle name="Percent 5 5" xfId="621"/>
    <cellStyle name="Percent 6" xfId="478"/>
    <cellStyle name="Percent 6 2" xfId="552"/>
    <cellStyle name="Percent 6 3" xfId="593"/>
    <cellStyle name="Percent 6 4" xfId="636"/>
    <cellStyle name="Pie??m." xfId="139"/>
    <cellStyle name="residual" xfId="460"/>
    <cellStyle name="SAPBEXaggData" xfId="140"/>
    <cellStyle name="SAPBEXaggData 2" xfId="141"/>
    <cellStyle name="SAPBEXaggDataEmph" xfId="142"/>
    <cellStyle name="SAPBEXaggDataEmph 2" xfId="143"/>
    <cellStyle name="SAPBEXaggItem" xfId="144"/>
    <cellStyle name="SAPBEXaggItem 2" xfId="145"/>
    <cellStyle name="SAPBEXaggItemX" xfId="146"/>
    <cellStyle name="SAPBEXaggItemX 2" xfId="147"/>
    <cellStyle name="SAPBEXchaText" xfId="148"/>
    <cellStyle name="SAPBEXchaText 2" xfId="149"/>
    <cellStyle name="SAPBEXexcBad7" xfId="150"/>
    <cellStyle name="SAPBEXexcBad8" xfId="151"/>
    <cellStyle name="SAPBEXexcBad9" xfId="152"/>
    <cellStyle name="SAPBEXexcCritical4" xfId="153"/>
    <cellStyle name="SAPBEXexcCritical5" xfId="154"/>
    <cellStyle name="SAPBEXexcCritical6" xfId="155"/>
    <cellStyle name="SAPBEXexcGood1" xfId="156"/>
    <cellStyle name="SAPBEXexcGood2" xfId="157"/>
    <cellStyle name="SAPBEXexcGood3" xfId="158"/>
    <cellStyle name="SAPBEXfilterDrill" xfId="159"/>
    <cellStyle name="SAPBEXfilterItem" xfId="160"/>
    <cellStyle name="SAPBEXfilterText" xfId="161"/>
    <cellStyle name="SAPBEXfilterText 2" xfId="162"/>
    <cellStyle name="SAPBEXformats" xfId="163"/>
    <cellStyle name="SAPBEXheaderItem" xfId="164"/>
    <cellStyle name="SAPBEXheaderText" xfId="165"/>
    <cellStyle name="SAPBEXheaderText 2" xfId="166"/>
    <cellStyle name="SAPBEXHLevel0" xfId="167"/>
    <cellStyle name="SAPBEXHLevel0 2" xfId="168"/>
    <cellStyle name="SAPBEXHLevel0X" xfId="169"/>
    <cellStyle name="SAPBEXHLevel0X 2" xfId="170"/>
    <cellStyle name="SAPBEXHLevel1" xfId="171"/>
    <cellStyle name="SAPBEXHLevel1 2" xfId="172"/>
    <cellStyle name="SAPBEXHLevel1X" xfId="173"/>
    <cellStyle name="SAPBEXHLevel1X 2" xfId="174"/>
    <cellStyle name="SAPBEXHLevel2" xfId="175"/>
    <cellStyle name="SAPBEXHLevel2 2" xfId="176"/>
    <cellStyle name="SAPBEXHLevel2X" xfId="177"/>
    <cellStyle name="SAPBEXHLevel2X 2" xfId="178"/>
    <cellStyle name="SAPBEXHLevel3" xfId="179"/>
    <cellStyle name="SAPBEXHLevel3 2" xfId="180"/>
    <cellStyle name="SAPBEXHLevel3X" xfId="181"/>
    <cellStyle name="SAPBEXHLevel3X 2" xfId="182"/>
    <cellStyle name="SAPBEXinputData" xfId="183"/>
    <cellStyle name="SAPBEXinputData 2" xfId="184"/>
    <cellStyle name="SAPBEXItemHeader" xfId="461"/>
    <cellStyle name="SAPBEXresData" xfId="185"/>
    <cellStyle name="SAPBEXresData 2" xfId="186"/>
    <cellStyle name="SAPBEXresDataEmph" xfId="187"/>
    <cellStyle name="SAPBEXresDataEmph 2" xfId="188"/>
    <cellStyle name="SAPBEXresItem" xfId="189"/>
    <cellStyle name="SAPBEXresItem 2" xfId="190"/>
    <cellStyle name="SAPBEXresItemX" xfId="191"/>
    <cellStyle name="SAPBEXresItemX 2" xfId="192"/>
    <cellStyle name="SAPBEXstdData" xfId="193"/>
    <cellStyle name="SAPBEXstdData 2" xfId="194"/>
    <cellStyle name="SAPBEXstdData_2009 g _150609" xfId="195"/>
    <cellStyle name="SAPBEXstdDataEmph" xfId="196"/>
    <cellStyle name="SAPBEXstdItem" xfId="197"/>
    <cellStyle name="SAPBEXstdItem 2" xfId="198"/>
    <cellStyle name="SAPBEXstdItem 3" xfId="199"/>
    <cellStyle name="SAPBEXstdItem_FMLikp03_081208_15_aprrez" xfId="200"/>
    <cellStyle name="SAPBEXstdItemX" xfId="201"/>
    <cellStyle name="SAPBEXstdItemX 2" xfId="202"/>
    <cellStyle name="SAPBEXtitle" xfId="203"/>
    <cellStyle name="SAPBEXunassignedItem" xfId="462"/>
    <cellStyle name="SAPBEXundefined" xfId="204"/>
    <cellStyle name="Sce_Title" xfId="463"/>
    <cellStyle name="Sheet Title" xfId="205"/>
    <cellStyle name="Stils 1" xfId="206"/>
    <cellStyle name="Style 1" xfId="207"/>
    <cellStyle name="Sub-title" xfId="464"/>
    <cellStyle name="TableStyleLight1" xfId="465"/>
    <cellStyle name="TableStyleLight1 2" xfId="549"/>
    <cellStyle name="TableStyleLight1 3" xfId="590"/>
    <cellStyle name="TableStyleLight1 4" xfId="633"/>
    <cellStyle name="Title" xfId="485" builtinId="15" customBuiltin="1"/>
    <cellStyle name="Title 2" xfId="466"/>
    <cellStyle name="Title 3" xfId="467"/>
    <cellStyle name="Title 4" xfId="468"/>
    <cellStyle name="Total" xfId="500" builtinId="25" customBuiltin="1"/>
    <cellStyle name="Total 2" xfId="469"/>
    <cellStyle name="Total 2 2" xfId="470"/>
    <cellStyle name="Total 2 3" xfId="471"/>
    <cellStyle name="Total 3" xfId="472"/>
    <cellStyle name="V?st." xfId="208"/>
    <cellStyle name="Warning Text" xfId="498" builtinId="11" customBuiltin="1"/>
    <cellStyle name="Warning Text 2" xfId="473"/>
    <cellStyle name="Warning Text 3" xfId="474"/>
    <cellStyle name="Years" xfId="4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705303415260363E-2"/>
          <c:y val="0"/>
          <c:w val="0.95125067548556386"/>
          <c:h val="0.75288251272255891"/>
        </c:manualLayout>
      </c:layout>
      <c:barChart>
        <c:barDir val="bar"/>
        <c:grouping val="clustered"/>
        <c:varyColors val="0"/>
        <c:ser>
          <c:idx val="1"/>
          <c:order val="0"/>
          <c:tx>
            <c:strRef>
              <c:f>Grafiks_1_Dec_2013!$C$1</c:f>
              <c:strCache>
                <c:ptCount val="1"/>
                <c:pt idx="0">
                  <c:v>Noslēgti līgumi par virssaistību finansējumu (publiskā fin.daļa) uz 31.12.2013.; Kopā 206,7 milj. latu</c:v>
                </c:pt>
              </c:strCache>
            </c:strRef>
          </c:tx>
          <c:spPr>
            <a:solidFill>
              <a:srgbClr val="CA3A3A"/>
            </a:solidFill>
            <a:ln>
              <a:noFill/>
            </a:ln>
            <a:effectLst/>
          </c:spPr>
          <c:invertIfNegative val="0"/>
          <c:dLbls>
            <c:numFmt formatCode="#,##0.0" sourceLinked="0"/>
            <c:spPr>
              <a:noFill/>
              <a:ln>
                <a:noFill/>
              </a:ln>
              <a:effectLst/>
            </c:spPr>
            <c:txPr>
              <a:bodyPr wrap="square" lIns="38100" tIns="19050" rIns="38100" bIns="19050" anchor="ctr">
                <a:spAutoFit/>
              </a:bodyPr>
              <a:lstStyle/>
              <a:p>
                <a:pPr>
                  <a:defRPr sz="1200">
                    <a:latin typeface="Times New Roman" panose="02020603050405020304" pitchFamily="18" charset="0"/>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[3]Gafiks_2!$A$3:$A$15</c15:sqref>
                  </c15:fullRef>
                </c:ext>
              </c:extLst>
              <c:f>([3]Gafiks_2!$A$3,[3]Gafiks_2!$A$5,[3]Gafiks_2!$A$7,[3]Gafiks_2!$A$9,[3]Gafiks_2!$A$11,[3]Gafiks_2!$A$13,[3]Gafiks_2!$A$15)</c:f>
              <c:strCache>
                <c:ptCount val="7"/>
                <c:pt idx="0">
                  <c:v>VeM</c:v>
                </c:pt>
                <c:pt idx="1">
                  <c:v>KM</c:v>
                </c:pt>
                <c:pt idx="2">
                  <c:v>LM</c:v>
                </c:pt>
                <c:pt idx="3">
                  <c:v>IZM</c:v>
                </c:pt>
                <c:pt idx="4">
                  <c:v>SM</c:v>
                </c:pt>
                <c:pt idx="5">
                  <c:v>EM</c:v>
                </c:pt>
                <c:pt idx="6">
                  <c:v>VARAM</c:v>
                </c:pt>
              </c:strCache>
            </c:strRef>
          </c:cat>
          <c:val>
            <c:numRef>
              <c:extLst>
                <c:ext xmlns:c15="http://schemas.microsoft.com/office/drawing/2012/chart" uri="{02D57815-91ED-43cb-92C2-25804820EDAC}">
                  <c15:fullRef>
                    <c15:sqref>Grafiks_1_Dec_2013!$C$3:$C$15</c15:sqref>
                  </c15:fullRef>
                </c:ext>
              </c:extLst>
              <c:f>(Grafiks_1_Dec_2013!$C$3,Grafiks_1_Dec_2013!$C$5,Grafiks_1_Dec_2013!$C$7,Grafiks_1_Dec_2013!$C$9,Grafiks_1_Dec_2013!$C$11,Grafiks_1_Dec_2013!$C$13,Grafiks_1_Dec_2013!$C$15)</c:f>
              <c:numCache>
                <c:formatCode>#,##0</c:formatCode>
                <c:ptCount val="7"/>
                <c:pt idx="0">
                  <c:v>11800000</c:v>
                </c:pt>
                <c:pt idx="1">
                  <c:v>11305417.99</c:v>
                </c:pt>
                <c:pt idx="2">
                  <c:v>27635540.93</c:v>
                </c:pt>
                <c:pt idx="3">
                  <c:v>15702084</c:v>
                </c:pt>
                <c:pt idx="4">
                  <c:v>47951524</c:v>
                </c:pt>
                <c:pt idx="5">
                  <c:v>17373231.120000001</c:v>
                </c:pt>
                <c:pt idx="6">
                  <c:v>58029082</c:v>
                </c:pt>
              </c:numCache>
            </c:numRef>
          </c:val>
        </c:ser>
        <c:ser>
          <c:idx val="0"/>
          <c:order val="1"/>
          <c:tx>
            <c:strRef>
              <c:f>Grafiks_1_Dec_2013!$B$1</c:f>
              <c:strCache>
                <c:ptCount val="1"/>
                <c:pt idx="0">
                  <c:v>Virssaistību finansējums atbilstoši apst. MK p/l un KDG; Kopā 284,3 milj. latu</c:v>
                </c:pt>
              </c:strCache>
            </c:strRef>
          </c:tx>
          <c:spPr>
            <a:solidFill>
              <a:srgbClr val="4B6DCD"/>
            </a:solidFill>
            <a:ln>
              <a:noFill/>
            </a:ln>
            <a:effectLst/>
          </c:spPr>
          <c:invertIfNegative val="0"/>
          <c:dLbls>
            <c:numFmt formatCode="#,##0.0" sourceLinked="0"/>
            <c:spPr>
              <a:noFill/>
              <a:ln>
                <a:noFill/>
              </a:ln>
              <a:effectLst/>
            </c:spPr>
            <c:txPr>
              <a:bodyPr wrap="square" lIns="38100" tIns="19050" rIns="38100" bIns="19050" anchor="ctr">
                <a:spAutoFit/>
              </a:bodyPr>
              <a:lstStyle/>
              <a:p>
                <a:pPr>
                  <a:defRPr sz="1200">
                    <a:latin typeface="Times New Roman" panose="02020603050405020304" pitchFamily="18" charset="0"/>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[3]Gafiks_2!$A$3:$A$15</c15:sqref>
                  </c15:fullRef>
                </c:ext>
              </c:extLst>
              <c:f>([3]Gafiks_2!$A$3,[3]Gafiks_2!$A$5,[3]Gafiks_2!$A$7,[3]Gafiks_2!$A$9,[3]Gafiks_2!$A$11,[3]Gafiks_2!$A$13,[3]Gafiks_2!$A$15)</c:f>
              <c:strCache>
                <c:ptCount val="7"/>
                <c:pt idx="0">
                  <c:v>VeM</c:v>
                </c:pt>
                <c:pt idx="1">
                  <c:v>KM</c:v>
                </c:pt>
                <c:pt idx="2">
                  <c:v>LM</c:v>
                </c:pt>
                <c:pt idx="3">
                  <c:v>IZM</c:v>
                </c:pt>
                <c:pt idx="4">
                  <c:v>SM</c:v>
                </c:pt>
                <c:pt idx="5">
                  <c:v>EM</c:v>
                </c:pt>
                <c:pt idx="6">
                  <c:v>VARAM</c:v>
                </c:pt>
              </c:strCache>
            </c:strRef>
          </c:cat>
          <c:val>
            <c:numRef>
              <c:extLst>
                <c:ext xmlns:c15="http://schemas.microsoft.com/office/drawing/2012/chart" uri="{02D57815-91ED-43cb-92C2-25804820EDAC}">
                  <c15:fullRef>
                    <c15:sqref>Grafiks_1_Dec_2013!$B$3:$B$15</c15:sqref>
                  </c15:fullRef>
                </c:ext>
              </c:extLst>
              <c:f>(Grafiks_1_Dec_2013!$B$3,Grafiks_1_Dec_2013!$B$5,Grafiks_1_Dec_2013!$B$7,Grafiks_1_Dec_2013!$B$9,Grafiks_1_Dec_2013!$B$11,Grafiks_1_Dec_2013!$B$13,Grafiks_1_Dec_2013!$B$15)</c:f>
              <c:numCache>
                <c:formatCode>#,##0</c:formatCode>
                <c:ptCount val="7"/>
                <c:pt idx="0">
                  <c:v>11800000</c:v>
                </c:pt>
                <c:pt idx="1">
                  <c:v>12000000</c:v>
                </c:pt>
                <c:pt idx="2">
                  <c:v>32513923</c:v>
                </c:pt>
                <c:pt idx="3">
                  <c:v>36037210</c:v>
                </c:pt>
                <c:pt idx="4">
                  <c:v>52382961</c:v>
                </c:pt>
                <c:pt idx="5">
                  <c:v>56835208</c:v>
                </c:pt>
                <c:pt idx="6">
                  <c:v>82751761</c:v>
                </c:pt>
              </c:numCache>
            </c:numRef>
          </c:val>
        </c:ser>
        <c:dLbls>
          <c:showLegendKey val="0"/>
          <c:showVal val="0"/>
          <c:showCatName val="0"/>
          <c:showSerName val="0"/>
          <c:showPercent val="0"/>
          <c:showBubbleSize val="0"/>
        </c:dLbls>
        <c:gapWidth val="11"/>
        <c:axId val="217081728"/>
        <c:axId val="217082120"/>
      </c:barChart>
      <c:catAx>
        <c:axId val="217081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400" b="1" i="0" u="none" strike="noStrike" kern="1200" baseline="0">
                <a:solidFill>
                  <a:sysClr val="windowText" lastClr="000000"/>
                </a:solidFill>
                <a:latin typeface="Times New Roman" panose="02020603050405020304" pitchFamily="18" charset="0"/>
                <a:ea typeface="+mn-ea"/>
                <a:cs typeface="+mn-cs"/>
              </a:defRPr>
            </a:pPr>
            <a:endParaRPr lang="lv-LV"/>
          </a:p>
        </c:txPr>
        <c:crossAx val="217082120"/>
        <c:crossesAt val="0"/>
        <c:auto val="1"/>
        <c:lblAlgn val="ctr"/>
        <c:lblOffset val="150"/>
        <c:noMultiLvlLbl val="0"/>
      </c:catAx>
      <c:valAx>
        <c:axId val="217082120"/>
        <c:scaling>
          <c:orientation val="minMax"/>
        </c:scaling>
        <c:delete val="0"/>
        <c:axPos val="b"/>
        <c:majorGridlines>
          <c:spPr>
            <a:ln w="9525" cap="flat" cmpd="sng" algn="ctr">
              <a:gradFill>
                <a:gsLst>
                  <a:gs pos="0">
                    <a:schemeClr val="accent1">
                      <a:lumMod val="5000"/>
                      <a:lumOff val="95000"/>
                      <a:alpha val="98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7081728"/>
        <c:crosses val="autoZero"/>
        <c:crossBetween val="between"/>
        <c:dispUnits>
          <c:builtInUnit val="millions"/>
        </c:dispUnits>
      </c:valAx>
      <c:spPr>
        <a:noFill/>
        <a:ln w="25400">
          <a:noFill/>
        </a:ln>
        <a:effectLst/>
      </c:spPr>
    </c:plotArea>
    <c:legend>
      <c:legendPos val="b"/>
      <c:layout>
        <c:manualLayout>
          <c:xMode val="edge"/>
          <c:yMode val="edge"/>
          <c:x val="1.3707557586432183E-2"/>
          <c:y val="0.82926286831024731"/>
          <c:w val="0.83742361456739878"/>
          <c:h val="0.1076736472429837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Times New Roman" panose="02020603050405020304" pitchFamily="18" charset="0"/>
              <a:ea typeface="+mn-ea"/>
              <a:cs typeface="+mn-cs"/>
            </a:defRPr>
          </a:pPr>
          <a:endParaRPr lang="lv-LV"/>
        </a:p>
      </c:txPr>
    </c:legend>
    <c:plotVisOnly val="1"/>
    <c:dispBlanksAs val="gap"/>
    <c:showDLblsOverMax val="0"/>
  </c:chart>
  <c:spPr>
    <a:solidFill>
      <a:schemeClr val="bg1"/>
    </a:solidFill>
    <a:ln w="9525" cap="flat" cmpd="sng" algn="ctr">
      <a:solidFill>
        <a:schemeClr val="accent1"/>
      </a:solidFill>
      <a:round/>
    </a:ln>
    <a:effectLst>
      <a:outerShdw blurRad="215900" dist="50800" dir="5400000" algn="ctr" rotWithShape="0">
        <a:srgbClr val="000000">
          <a:alpha val="99000"/>
        </a:srgbClr>
      </a:outerShdw>
      <a:softEdge rad="12700"/>
    </a:effectLst>
  </c:spPr>
  <c:txPr>
    <a:bodyPr/>
    <a:lstStyle/>
    <a:p>
      <a:pPr>
        <a:defRPr/>
      </a:pPr>
      <a:endParaRPr lang="lv-LV"/>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266562203551627E-2"/>
          <c:y val="7.6936483364291222E-2"/>
          <c:w val="0.91173343779644833"/>
          <c:h val="0.72216679419513996"/>
        </c:manualLayout>
      </c:layout>
      <c:barChart>
        <c:barDir val="col"/>
        <c:grouping val="stacked"/>
        <c:varyColors val="0"/>
        <c:ser>
          <c:idx val="0"/>
          <c:order val="0"/>
          <c:tx>
            <c:strRef>
              <c:f>Grafiks_1_Dec_2013!$B$20:$B$21</c:f>
              <c:strCache>
                <c:ptCount val="2"/>
                <c:pt idx="0">
                  <c:v>Virssaistību līgumu plāna neizpilde; Kopā 5,5 milj. latu</c:v>
                </c:pt>
              </c:strCache>
            </c:strRef>
          </c:tx>
          <c:spPr>
            <a:solidFill>
              <a:schemeClr val="accent6">
                <a:lumMod val="75000"/>
              </a:schemeClr>
            </a:solidFill>
            <a:ln>
              <a:noFill/>
            </a:ln>
            <a:effectLst/>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3"/>
              <c:layout>
                <c:manualLayout>
                  <c:x val="-2.5241277796957174E-3"/>
                  <c:y val="-3.2550050654123211E-2"/>
                </c:manualLayout>
              </c:layout>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Grafiks_1_Dec_2013!$A$22:$A$28</c15:sqref>
                  </c15:fullRef>
                </c:ext>
              </c:extLst>
              <c:f>Grafiks_1_Dec_2013!$A$22:$A$25</c:f>
              <c:strCache>
                <c:ptCount val="4"/>
                <c:pt idx="0">
                  <c:v>VARAM</c:v>
                </c:pt>
                <c:pt idx="1">
                  <c:v>EM</c:v>
                </c:pt>
                <c:pt idx="2">
                  <c:v>SM</c:v>
                </c:pt>
                <c:pt idx="3">
                  <c:v>KM</c:v>
                </c:pt>
              </c:strCache>
            </c:strRef>
          </c:cat>
          <c:val>
            <c:numRef>
              <c:extLst>
                <c:ext xmlns:c15="http://schemas.microsoft.com/office/drawing/2012/chart" uri="{02D57815-91ED-43cb-92C2-25804820EDAC}">
                  <c15:fullRef>
                    <c15:sqref>Grafiks_1_Dec_2013!$B$22:$B$28</c15:sqref>
                  </c15:fullRef>
                </c:ext>
              </c:extLst>
              <c:f>Grafiks_1_Dec_2013!$B$22:$B$25</c:f>
              <c:numCache>
                <c:formatCode>#,##0</c:formatCode>
                <c:ptCount val="4"/>
                <c:pt idx="0">
                  <c:v>229</c:v>
                </c:pt>
                <c:pt idx="1">
                  <c:v>0</c:v>
                </c:pt>
                <c:pt idx="2">
                  <c:v>4901637</c:v>
                </c:pt>
                <c:pt idx="3">
                  <c:v>588807.71</c:v>
                </c:pt>
              </c:numCache>
            </c:numRef>
          </c:val>
        </c:ser>
        <c:ser>
          <c:idx val="1"/>
          <c:order val="1"/>
          <c:tx>
            <c:strRef>
              <c:f>Grafiks_1_Dec_2013!$C$20:$C$21</c:f>
              <c:strCache>
                <c:ptCount val="2"/>
                <c:pt idx="0">
                  <c:v>Maksājumu mērķa neizpilde 2 mēnešus pēc kārtas (novembris, decembris); Kopā 28,6 milj. latu</c:v>
                </c:pt>
              </c:strCache>
            </c:strRef>
          </c:tx>
          <c:spPr>
            <a:solidFill>
              <a:srgbClr val="00B050"/>
            </a:solidFill>
            <a:ln>
              <a:noFill/>
            </a:ln>
            <a:effectLst/>
          </c:spPr>
          <c:invertIfNegative val="0"/>
          <c:dLbls>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Grafiks_1_Dec_2013!$A$22:$A$28</c15:sqref>
                  </c15:fullRef>
                </c:ext>
              </c:extLst>
              <c:f>Grafiks_1_Dec_2013!$A$22:$A$25</c:f>
              <c:strCache>
                <c:ptCount val="4"/>
                <c:pt idx="0">
                  <c:v>VARAM</c:v>
                </c:pt>
                <c:pt idx="1">
                  <c:v>EM</c:v>
                </c:pt>
                <c:pt idx="2">
                  <c:v>SM</c:v>
                </c:pt>
                <c:pt idx="3">
                  <c:v>KM</c:v>
                </c:pt>
              </c:strCache>
            </c:strRef>
          </c:cat>
          <c:val>
            <c:numRef>
              <c:extLst>
                <c:ext xmlns:c15="http://schemas.microsoft.com/office/drawing/2012/chart" uri="{02D57815-91ED-43cb-92C2-25804820EDAC}">
                  <c15:fullRef>
                    <c15:sqref>Grafiks_1_Dec_2013!$C$22:$C$28</c15:sqref>
                  </c15:fullRef>
                </c:ext>
              </c:extLst>
              <c:f>Grafiks_1_Dec_2013!$C$22:$C$25</c:f>
              <c:numCache>
                <c:formatCode>#,##0</c:formatCode>
                <c:ptCount val="4"/>
                <c:pt idx="0">
                  <c:v>21539806.72116027</c:v>
                </c:pt>
                <c:pt idx="1">
                  <c:v>7037997.8813999966</c:v>
                </c:pt>
                <c:pt idx="2">
                  <c:v>0</c:v>
                </c:pt>
                <c:pt idx="3">
                  <c:v>0</c:v>
                </c:pt>
              </c:numCache>
            </c:numRef>
          </c:val>
        </c:ser>
        <c:dLbls>
          <c:showLegendKey val="0"/>
          <c:showVal val="0"/>
          <c:showCatName val="0"/>
          <c:showSerName val="0"/>
          <c:showPercent val="0"/>
          <c:showBubbleSize val="0"/>
        </c:dLbls>
        <c:gapWidth val="150"/>
        <c:overlap val="100"/>
        <c:axId val="217080944"/>
        <c:axId val="217082512"/>
      </c:barChart>
      <c:catAx>
        <c:axId val="217080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217082512"/>
        <c:crosses val="autoZero"/>
        <c:auto val="1"/>
        <c:lblAlgn val="ctr"/>
        <c:lblOffset val="100"/>
        <c:noMultiLvlLbl val="0"/>
      </c:catAx>
      <c:valAx>
        <c:axId val="217082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7080944"/>
        <c:crosses val="autoZero"/>
        <c:crossBetween val="between"/>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'Grafiks_2_Neatbilstību segšana'!$C$2</c:f>
              <c:strCache>
                <c:ptCount val="1"/>
                <c:pt idx="0">
                  <c:v>Virssaistību finansējums atbilstoši apst. MK p/l, LVL, kopā 284,3 milj. LVL</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'Grafiks_2_Neatbilstību segšana'!$A$3:$A$14</c:f>
              <c:strCache>
                <c:ptCount val="12"/>
                <c:pt idx="0">
                  <c:v>1.1.</c:v>
                </c:pt>
                <c:pt idx="1">
                  <c:v>1.2.</c:v>
                </c:pt>
                <c:pt idx="2">
                  <c:v>1.3.</c:v>
                </c:pt>
                <c:pt idx="3">
                  <c:v>1.4.</c:v>
                </c:pt>
                <c:pt idx="4">
                  <c:v>2.1.</c:v>
                </c:pt>
                <c:pt idx="5">
                  <c:v>2.3.</c:v>
                </c:pt>
                <c:pt idx="6">
                  <c:v>3.1.</c:v>
                </c:pt>
                <c:pt idx="7">
                  <c:v>3.2.</c:v>
                </c:pt>
                <c:pt idx="8">
                  <c:v>3.3.</c:v>
                </c:pt>
                <c:pt idx="9">
                  <c:v>3.4.</c:v>
                </c:pt>
                <c:pt idx="10">
                  <c:v>3.5.</c:v>
                </c:pt>
                <c:pt idx="11">
                  <c:v>3.6.</c:v>
                </c:pt>
              </c:strCache>
            </c:strRef>
          </c:cat>
          <c:val>
            <c:numRef>
              <c:f>'Grafiks_2_Neatbilstību segšana'!$C$3:$C$14</c:f>
              <c:numCache>
                <c:formatCode>#,##0</c:formatCode>
                <c:ptCount val="12"/>
                <c:pt idx="0">
                  <c:v>10753421</c:v>
                </c:pt>
                <c:pt idx="1">
                  <c:v>8239369</c:v>
                </c:pt>
                <c:pt idx="2">
                  <c:v>30353437</c:v>
                </c:pt>
                <c:pt idx="3">
                  <c:v>3325660</c:v>
                </c:pt>
                <c:pt idx="4">
                  <c:v>40814550</c:v>
                </c:pt>
                <c:pt idx="5">
                  <c:v>6000000</c:v>
                </c:pt>
                <c:pt idx="6">
                  <c:v>38871547</c:v>
                </c:pt>
                <c:pt idx="7">
                  <c:v>30966017</c:v>
                </c:pt>
                <c:pt idx="8">
                  <c:v>31087535</c:v>
                </c:pt>
                <c:pt idx="9">
                  <c:v>29242015</c:v>
                </c:pt>
                <c:pt idx="10">
                  <c:v>3879949</c:v>
                </c:pt>
                <c:pt idx="11">
                  <c:v>50787563</c:v>
                </c:pt>
              </c:numCache>
            </c:numRef>
          </c:val>
        </c:ser>
        <c:ser>
          <c:idx val="1"/>
          <c:order val="1"/>
          <c:tx>
            <c:strRef>
              <c:f>'Grafiks_2_Neatbilstību segšana'!$D$2</c:f>
              <c:strCache>
                <c:ptCount val="1"/>
                <c:pt idx="0">
                  <c:v>Noslēgti līgumi par virssaistību finansējumu (publiskā fin.daļa) uz 31.12.2013., kopā 189,8</c:v>
                </c:pt>
              </c:strCache>
            </c:strRef>
          </c:tx>
          <c:spPr>
            <a:solidFill>
              <a:schemeClr val="accent2"/>
            </a:solidFill>
            <a:ln>
              <a:noFill/>
            </a:ln>
            <a:effectLst/>
          </c:spPr>
          <c:invertIfNegative val="0"/>
          <c:dLbls>
            <c:dLbl>
              <c:idx val="5"/>
              <c:delete val="1"/>
              <c:extLst>
                <c:ext xmlns:c15="http://schemas.microsoft.com/office/drawing/2012/chart" uri="{CE6537A1-D6FC-4f65-9D91-7224C49458BB}"/>
              </c:extLst>
            </c:dLbl>
            <c:dLbl>
              <c:idx val="10"/>
              <c:delete val="1"/>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'Grafiks_2_Neatbilstību segšana'!$A$3:$A$14</c:f>
              <c:strCache>
                <c:ptCount val="12"/>
                <c:pt idx="0">
                  <c:v>1.1.</c:v>
                </c:pt>
                <c:pt idx="1">
                  <c:v>1.2.</c:v>
                </c:pt>
                <c:pt idx="2">
                  <c:v>1.3.</c:v>
                </c:pt>
                <c:pt idx="3">
                  <c:v>1.4.</c:v>
                </c:pt>
                <c:pt idx="4">
                  <c:v>2.1.</c:v>
                </c:pt>
                <c:pt idx="5">
                  <c:v>2.3.</c:v>
                </c:pt>
                <c:pt idx="6">
                  <c:v>3.1.</c:v>
                </c:pt>
                <c:pt idx="7">
                  <c:v>3.2.</c:v>
                </c:pt>
                <c:pt idx="8">
                  <c:v>3.3.</c:v>
                </c:pt>
                <c:pt idx="9">
                  <c:v>3.4.</c:v>
                </c:pt>
                <c:pt idx="10">
                  <c:v>3.5.</c:v>
                </c:pt>
                <c:pt idx="11">
                  <c:v>3.6.</c:v>
                </c:pt>
              </c:strCache>
            </c:strRef>
          </c:cat>
          <c:val>
            <c:numRef>
              <c:f>'Grafiks_2_Neatbilstību segšana'!$D$3:$D$14</c:f>
              <c:numCache>
                <c:formatCode>#,##0</c:formatCode>
                <c:ptCount val="12"/>
                <c:pt idx="0">
                  <c:v>9085608</c:v>
                </c:pt>
                <c:pt idx="1">
                  <c:v>8239369</c:v>
                </c:pt>
                <c:pt idx="2">
                  <c:v>25868593.390000001</c:v>
                </c:pt>
                <c:pt idx="3">
                  <c:v>2450171</c:v>
                </c:pt>
                <c:pt idx="4">
                  <c:v>7829105.6600000001</c:v>
                </c:pt>
                <c:pt idx="5">
                  <c:v>0</c:v>
                </c:pt>
                <c:pt idx="6">
                  <c:v>18896234</c:v>
                </c:pt>
                <c:pt idx="7">
                  <c:v>29886922</c:v>
                </c:pt>
                <c:pt idx="8">
                  <c:v>27735190</c:v>
                </c:pt>
                <c:pt idx="9">
                  <c:v>19305417.990000002</c:v>
                </c:pt>
                <c:pt idx="10">
                  <c:v>0</c:v>
                </c:pt>
                <c:pt idx="11">
                  <c:v>40500269</c:v>
                </c:pt>
              </c:numCache>
            </c:numRef>
          </c:val>
        </c:ser>
        <c:ser>
          <c:idx val="2"/>
          <c:order val="2"/>
          <c:tx>
            <c:strRef>
              <c:f>'Grafiks_2_Neatbilstību segšana'!$E$2</c:f>
              <c:strCache>
                <c:ptCount val="1"/>
                <c:pt idx="0">
                  <c:v>Noslēgto virssaistību līgumu daļa, kas nav nosegta ar neatbilstībām un lauztajiem līgumiem uz 31.12.2013.</c:v>
                </c:pt>
              </c:strCache>
            </c:strRef>
          </c:tx>
          <c:spPr>
            <a:solidFill>
              <a:schemeClr val="accent3"/>
            </a:solidFill>
            <a:ln>
              <a:noFill/>
            </a:ln>
            <a:effectLst/>
          </c:spPr>
          <c:invertIfNegative val="0"/>
          <c:dLbls>
            <c:dLbl>
              <c:idx val="5"/>
              <c:delete val="1"/>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'Grafiks_2_Neatbilstību segšana'!$A$3:$A$14</c:f>
              <c:strCache>
                <c:ptCount val="12"/>
                <c:pt idx="0">
                  <c:v>1.1.</c:v>
                </c:pt>
                <c:pt idx="1">
                  <c:v>1.2.</c:v>
                </c:pt>
                <c:pt idx="2">
                  <c:v>1.3.</c:v>
                </c:pt>
                <c:pt idx="3">
                  <c:v>1.4.</c:v>
                </c:pt>
                <c:pt idx="4">
                  <c:v>2.1.</c:v>
                </c:pt>
                <c:pt idx="5">
                  <c:v>2.3.</c:v>
                </c:pt>
                <c:pt idx="6">
                  <c:v>3.1.</c:v>
                </c:pt>
                <c:pt idx="7">
                  <c:v>3.2.</c:v>
                </c:pt>
                <c:pt idx="8">
                  <c:v>3.3.</c:v>
                </c:pt>
                <c:pt idx="9">
                  <c:v>3.4.</c:v>
                </c:pt>
                <c:pt idx="10">
                  <c:v>3.5.</c:v>
                </c:pt>
                <c:pt idx="11">
                  <c:v>3.6.</c:v>
                </c:pt>
              </c:strCache>
            </c:strRef>
          </c:cat>
          <c:val>
            <c:numRef>
              <c:f>'Grafiks_2_Neatbilstību segšana'!$E$3:$E$14</c:f>
              <c:numCache>
                <c:formatCode>#,##0</c:formatCode>
                <c:ptCount val="12"/>
                <c:pt idx="0">
                  <c:v>8823693.4900000002</c:v>
                </c:pt>
                <c:pt idx="1">
                  <c:v>8026238.0199999996</c:v>
                </c:pt>
                <c:pt idx="2">
                  <c:v>22008767.780000001</c:v>
                </c:pt>
                <c:pt idx="3">
                  <c:v>2229614.19</c:v>
                </c:pt>
                <c:pt idx="4">
                  <c:v>1031684.8300000001</c:v>
                </c:pt>
                <c:pt idx="5">
                  <c:v>0</c:v>
                </c:pt>
                <c:pt idx="6">
                  <c:v>11225454.699999999</c:v>
                </c:pt>
                <c:pt idx="7">
                  <c:v>27296505.240000002</c:v>
                </c:pt>
                <c:pt idx="8">
                  <c:v>24971852.530000001</c:v>
                </c:pt>
                <c:pt idx="9">
                  <c:v>7488630.0000000037</c:v>
                </c:pt>
                <c:pt idx="10">
                  <c:v>0</c:v>
                </c:pt>
                <c:pt idx="11">
                  <c:v>37348827.109999999</c:v>
                </c:pt>
              </c:numCache>
            </c:numRef>
          </c:val>
        </c:ser>
        <c:dLbls>
          <c:showLegendKey val="0"/>
          <c:showVal val="0"/>
          <c:showCatName val="0"/>
          <c:showSerName val="0"/>
          <c:showPercent val="0"/>
          <c:showBubbleSize val="0"/>
        </c:dLbls>
        <c:gapWidth val="182"/>
        <c:overlap val="100"/>
        <c:axId val="217083296"/>
        <c:axId val="217083688"/>
      </c:barChart>
      <c:catAx>
        <c:axId val="21708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7083688"/>
        <c:crosses val="autoZero"/>
        <c:auto val="1"/>
        <c:lblAlgn val="ctr"/>
        <c:lblOffset val="100"/>
        <c:noMultiLvlLbl val="0"/>
      </c:catAx>
      <c:valAx>
        <c:axId val="2170836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217083296"/>
        <c:crosses val="autoZero"/>
        <c:crossBetween val="between"/>
        <c:dispUnits>
          <c:builtInUnit val="millions"/>
          <c:dispUnitsLbl>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lv-LV"/>
              </a:p>
            </c:txPr>
          </c:dispUnitsLbl>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276962</xdr:colOff>
      <xdr:row>0</xdr:row>
      <xdr:rowOff>765922</xdr:rowOff>
    </xdr:from>
    <xdr:to>
      <xdr:col>24</xdr:col>
      <xdr:colOff>358588</xdr:colOff>
      <xdr:row>41</xdr:row>
      <xdr:rowOff>112059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11203</xdr:colOff>
      <xdr:row>43</xdr:row>
      <xdr:rowOff>134471</xdr:rowOff>
    </xdr:from>
    <xdr:to>
      <xdr:col>19</xdr:col>
      <xdr:colOff>33618</xdr:colOff>
      <xdr:row>83</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52386</xdr:rowOff>
    </xdr:from>
    <xdr:to>
      <xdr:col>4</xdr:col>
      <xdr:colOff>1038226</xdr:colOff>
      <xdr:row>45</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EVIE&#352;ANAS%20UZRAUDZ&#298;BA/M&#275;r&#311;a%20profils/apguves%20m&#275;r&#311;i/2013.gads/Target_profiles_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EVIE&#352;ANAS%20UZRAUDZ&#298;BA/M&#275;r&#311;a%20profils/virssaist&#299;bas/Darba_faili_decembris_2013/FMzinop4_131113_virssaistibu_ligumu_plan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EVIE&#352;ANAS%20UZRAUDZ&#298;BA/M&#275;r&#311;a%20profils/virssaist&#299;bas/Virssaistibu_neizpildes_30.09.2013._Aktualizets_06.11.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ministries"/>
      <sheetName val="By minstries EUR"/>
      <sheetName val="Mērķi_apst_MK_120313"/>
      <sheetName val="Sheet1"/>
      <sheetName val="Sheet3"/>
      <sheetName val="Sheet4"/>
      <sheetName val="IZM"/>
      <sheetName val="LM"/>
      <sheetName val="EM"/>
      <sheetName val="FM"/>
      <sheetName val="KM"/>
      <sheetName val="SaM"/>
      <sheetName val="VKanc"/>
      <sheetName val="VM"/>
      <sheetName val="VARAM"/>
      <sheetName val="Kopā"/>
      <sheetName val="Printesanai_uz31.08.13."/>
    </sheetNames>
    <sheetDataSet>
      <sheetData sheetId="0"/>
      <sheetData sheetId="1"/>
      <sheetData sheetId="2">
        <row r="20">
          <cell r="K20">
            <v>21618400.82</v>
          </cell>
          <cell r="R20">
            <v>165865.32</v>
          </cell>
          <cell r="S20">
            <v>22920800</v>
          </cell>
          <cell r="Y20">
            <v>699880.32000000007</v>
          </cell>
          <cell r="Z20">
            <v>22926139.25</v>
          </cell>
          <cell r="AF20">
            <v>1138003.32</v>
          </cell>
          <cell r="AG20">
            <v>23598063.530000001</v>
          </cell>
          <cell r="AM20">
            <v>1811436.32</v>
          </cell>
          <cell r="AN20">
            <v>23763342.399999999</v>
          </cell>
          <cell r="AT20">
            <v>2338141.3200000003</v>
          </cell>
          <cell r="AU20">
            <v>24085662.609999999</v>
          </cell>
          <cell r="BA20">
            <v>2901384.3200000003</v>
          </cell>
          <cell r="BB20">
            <v>24749520.130000003</v>
          </cell>
          <cell r="BH20">
            <v>3395306.3200000003</v>
          </cell>
          <cell r="BI20">
            <v>24868570.990000002</v>
          </cell>
          <cell r="BO20">
            <v>3765833.3200000003</v>
          </cell>
          <cell r="BP20">
            <v>25097554.030000001</v>
          </cell>
          <cell r="BV20">
            <v>4350159.32</v>
          </cell>
          <cell r="BW20">
            <v>25855799.170000002</v>
          </cell>
          <cell r="CC20">
            <v>4795498.32</v>
          </cell>
          <cell r="CD20">
            <v>26237807.91</v>
          </cell>
          <cell r="CJ20">
            <v>6332704.6529999999</v>
          </cell>
          <cell r="CK20">
            <v>26882560.73</v>
          </cell>
        </row>
        <row r="26">
          <cell r="K26">
            <v>9567598.8599999994</v>
          </cell>
          <cell r="R26">
            <v>346237.69</v>
          </cell>
          <cell r="S26">
            <v>9867819.5599999987</v>
          </cell>
          <cell r="Y26">
            <v>521461.18</v>
          </cell>
          <cell r="Z26">
            <v>9948791.4699999988</v>
          </cell>
          <cell r="AF26">
            <v>522157.7</v>
          </cell>
          <cell r="AG26">
            <v>9948791.4699999988</v>
          </cell>
          <cell r="AM26">
            <v>969092.92999999993</v>
          </cell>
          <cell r="AN26">
            <v>10162501.449999999</v>
          </cell>
          <cell r="AT26">
            <v>1166186.18</v>
          </cell>
          <cell r="AU26">
            <v>10315447.119999999</v>
          </cell>
          <cell r="BA26">
            <v>1166186.18</v>
          </cell>
          <cell r="BB26">
            <v>10318262.52</v>
          </cell>
          <cell r="BH26">
            <v>1696201.5999999999</v>
          </cell>
          <cell r="BI26">
            <v>10754750.680000002</v>
          </cell>
          <cell r="BO26">
            <v>1897588.1199999999</v>
          </cell>
          <cell r="BP26">
            <v>10873592.930000002</v>
          </cell>
          <cell r="BV26">
            <v>1898140.24</v>
          </cell>
          <cell r="BW26">
            <v>10884847.200000001</v>
          </cell>
          <cell r="CC26">
            <v>2477339.83</v>
          </cell>
          <cell r="CD26">
            <v>11116603.539999999</v>
          </cell>
          <cell r="CJ26">
            <v>2677447.8499999996</v>
          </cell>
          <cell r="CK26">
            <v>11440107.43</v>
          </cell>
        </row>
        <row r="29">
          <cell r="K29">
            <v>129914895.48000002</v>
          </cell>
          <cell r="R29">
            <v>1623709</v>
          </cell>
          <cell r="S29">
            <v>131798247.98</v>
          </cell>
          <cell r="Y29">
            <v>1896020</v>
          </cell>
          <cell r="Z29">
            <v>132140534.33000001</v>
          </cell>
          <cell r="AF29">
            <v>3312560</v>
          </cell>
          <cell r="AG29">
            <v>135751697.49000001</v>
          </cell>
          <cell r="AM29">
            <v>4559814</v>
          </cell>
          <cell r="AN29">
            <v>138213499.19000003</v>
          </cell>
          <cell r="AT29">
            <v>5029906</v>
          </cell>
          <cell r="AU29">
            <v>139311688.42000002</v>
          </cell>
          <cell r="BA29">
            <v>7267328</v>
          </cell>
          <cell r="BB29">
            <v>139817698.86999997</v>
          </cell>
          <cell r="BH29">
            <v>8532619</v>
          </cell>
          <cell r="BI29">
            <v>140488637.81999999</v>
          </cell>
          <cell r="BO29">
            <v>9044877</v>
          </cell>
          <cell r="BP29">
            <v>142231409.08000001</v>
          </cell>
          <cell r="BV29">
            <v>9848975</v>
          </cell>
          <cell r="BW29">
            <v>143814479.56000003</v>
          </cell>
          <cell r="CC29">
            <v>11582429</v>
          </cell>
          <cell r="CD29">
            <v>148093638.44000003</v>
          </cell>
          <cell r="CJ29">
            <v>15421295</v>
          </cell>
          <cell r="CK29">
            <v>149010378.53000003</v>
          </cell>
        </row>
        <row r="53">
          <cell r="K53">
            <v>140361404.56999999</v>
          </cell>
          <cell r="R53">
            <v>6236852</v>
          </cell>
          <cell r="S53">
            <v>147175304.11000001</v>
          </cell>
          <cell r="Y53">
            <v>7846068</v>
          </cell>
          <cell r="Z53">
            <v>148734495.05000001</v>
          </cell>
          <cell r="AF53">
            <v>10010923</v>
          </cell>
          <cell r="AG53">
            <v>150612661.16999999</v>
          </cell>
          <cell r="AM53">
            <v>12491659</v>
          </cell>
          <cell r="AN53">
            <v>152990921.42000005</v>
          </cell>
          <cell r="AT53">
            <v>14904342</v>
          </cell>
          <cell r="AU53">
            <v>155506342.89000002</v>
          </cell>
          <cell r="BA53">
            <v>17313795</v>
          </cell>
          <cell r="BB53">
            <v>158185046.44</v>
          </cell>
          <cell r="BH53">
            <v>19678760</v>
          </cell>
          <cell r="BI53">
            <v>160989856.86999997</v>
          </cell>
          <cell r="BO53">
            <v>22212951</v>
          </cell>
          <cell r="BP53">
            <v>163104061.51999998</v>
          </cell>
          <cell r="BV53">
            <v>24347162</v>
          </cell>
          <cell r="BW53">
            <v>165742195.40999997</v>
          </cell>
          <cell r="CC53">
            <v>26592010</v>
          </cell>
          <cell r="CD53">
            <v>167159401.46000001</v>
          </cell>
          <cell r="CJ53">
            <v>29186115</v>
          </cell>
          <cell r="CK53">
            <v>171173799.61000001</v>
          </cell>
        </row>
        <row r="69">
          <cell r="K69">
            <v>4108704.98</v>
          </cell>
          <cell r="R69">
            <v>193858.71</v>
          </cell>
          <cell r="S69">
            <v>4210465.41</v>
          </cell>
          <cell r="Y69">
            <v>315180.92000000004</v>
          </cell>
          <cell r="Z69">
            <v>4259693.83</v>
          </cell>
          <cell r="AF69">
            <v>348409.64</v>
          </cell>
          <cell r="AG69">
            <v>4284362.46</v>
          </cell>
          <cell r="AM69">
            <v>447804.3</v>
          </cell>
          <cell r="AN69">
            <v>4321841.25</v>
          </cell>
          <cell r="AT69">
            <v>495532.47</v>
          </cell>
          <cell r="AU69">
            <v>4356357.9400000004</v>
          </cell>
          <cell r="BA69">
            <v>512206.43999999994</v>
          </cell>
          <cell r="BB69">
            <v>4357152.12</v>
          </cell>
          <cell r="BH69">
            <v>564335.99</v>
          </cell>
          <cell r="BI69">
            <v>4370187.46</v>
          </cell>
          <cell r="BO69">
            <v>638621.44999999995</v>
          </cell>
          <cell r="BP69">
            <v>4394916.18</v>
          </cell>
          <cell r="BV69">
            <v>646856.35999999987</v>
          </cell>
          <cell r="BW69">
            <v>4398837.51</v>
          </cell>
          <cell r="CC69">
            <v>669121.35999999987</v>
          </cell>
          <cell r="CD69">
            <v>4423050.49</v>
          </cell>
          <cell r="CJ69">
            <v>687224.55999999994</v>
          </cell>
          <cell r="CK69">
            <v>4434255.57</v>
          </cell>
        </row>
        <row r="72">
          <cell r="K72">
            <v>6549643.6299999999</v>
          </cell>
          <cell r="R72">
            <v>946225.19</v>
          </cell>
          <cell r="S72">
            <v>7496756.3399999999</v>
          </cell>
          <cell r="Y72">
            <v>946225.19</v>
          </cell>
          <cell r="Z72">
            <v>7510651.1500000004</v>
          </cell>
          <cell r="AF72">
            <v>946225.19</v>
          </cell>
          <cell r="AG72">
            <v>7510651.1500000004</v>
          </cell>
          <cell r="AM72">
            <v>1001525.9199999999</v>
          </cell>
          <cell r="AN72">
            <v>7510651.1500000004</v>
          </cell>
          <cell r="AT72">
            <v>1001525.9199999999</v>
          </cell>
          <cell r="AU72">
            <v>7510651.1500000004</v>
          </cell>
          <cell r="BA72">
            <v>1001525.9199999999</v>
          </cell>
          <cell r="BB72">
            <v>7510651.1500000004</v>
          </cell>
          <cell r="BH72">
            <v>1309146.1399999999</v>
          </cell>
          <cell r="BI72">
            <v>7693010.6900000004</v>
          </cell>
          <cell r="BO72">
            <v>1309146.1399999999</v>
          </cell>
          <cell r="BP72">
            <v>7693010.6900000004</v>
          </cell>
          <cell r="BV72">
            <v>1309146.1399999999</v>
          </cell>
          <cell r="BW72">
            <v>7693010.6900000004</v>
          </cell>
          <cell r="CC72">
            <v>1488837.7699999998</v>
          </cell>
          <cell r="CD72">
            <v>8109966.8700000001</v>
          </cell>
          <cell r="CJ72">
            <v>1488837.7699999998</v>
          </cell>
          <cell r="CK72">
            <v>8194164.9199999999</v>
          </cell>
        </row>
        <row r="76">
          <cell r="K76">
            <v>5502817.4700000007</v>
          </cell>
          <cell r="R76">
            <v>264623.8235</v>
          </cell>
          <cell r="S76">
            <v>5698441.1399999997</v>
          </cell>
          <cell r="Y76">
            <v>402286.6985</v>
          </cell>
          <cell r="Z76">
            <v>5910148.1199999992</v>
          </cell>
          <cell r="AF76">
            <v>719511.64800000004</v>
          </cell>
          <cell r="AG76">
            <v>6009796.71</v>
          </cell>
          <cell r="AM76">
            <v>866089.99249999993</v>
          </cell>
          <cell r="AN76">
            <v>6163236.7400000002</v>
          </cell>
          <cell r="AT76">
            <v>1099488.8160000001</v>
          </cell>
          <cell r="AU76">
            <v>6247496.3500000006</v>
          </cell>
          <cell r="BA76">
            <v>1203795.7365000001</v>
          </cell>
          <cell r="BB76">
            <v>6355576.2200000007</v>
          </cell>
          <cell r="BH76">
            <v>1396897.4170000001</v>
          </cell>
          <cell r="BI76">
            <v>6483082.79</v>
          </cell>
          <cell r="BO76">
            <v>1491376.2975000001</v>
          </cell>
          <cell r="BP76">
            <v>6547714.0800000001</v>
          </cell>
          <cell r="BV76">
            <v>1654821.2094999999</v>
          </cell>
          <cell r="BW76">
            <v>6619358.9400000004</v>
          </cell>
          <cell r="CC76">
            <v>1821652.4509999999</v>
          </cell>
          <cell r="CD76">
            <v>6672960.5300000003</v>
          </cell>
          <cell r="CJ76">
            <v>1952665.6159999999</v>
          </cell>
          <cell r="CK76">
            <v>6813774.7299999995</v>
          </cell>
        </row>
        <row r="86">
          <cell r="K86">
            <v>214543347.81413597</v>
          </cell>
          <cell r="R86">
            <v>6918053.1500000004</v>
          </cell>
          <cell r="S86">
            <v>245768991.72999996</v>
          </cell>
          <cell r="Y86">
            <v>8722077.5600000005</v>
          </cell>
          <cell r="Z86">
            <v>248154411.97999996</v>
          </cell>
          <cell r="AF86">
            <v>12997180.140000001</v>
          </cell>
          <cell r="AG86">
            <v>251339984.47</v>
          </cell>
          <cell r="AM86">
            <v>17476382.640000001</v>
          </cell>
          <cell r="AN86">
            <v>254130874.58000001</v>
          </cell>
          <cell r="AT86">
            <v>22031550.170000002</v>
          </cell>
          <cell r="AU86">
            <v>258942869.28281599</v>
          </cell>
          <cell r="BA86">
            <v>25537959.870000001</v>
          </cell>
          <cell r="BB86">
            <v>236426069.44413602</v>
          </cell>
          <cell r="BH86">
            <v>28288559.27</v>
          </cell>
          <cell r="BI86">
            <v>237642141.934136</v>
          </cell>
          <cell r="BO86">
            <v>30969984.710000001</v>
          </cell>
          <cell r="BP86">
            <v>246633170.54413599</v>
          </cell>
          <cell r="BV86">
            <v>36097286.710000001</v>
          </cell>
          <cell r="BW86">
            <v>248193445.32413599</v>
          </cell>
          <cell r="CC86">
            <v>39883779.109999999</v>
          </cell>
          <cell r="CD86">
            <v>249907455.214136</v>
          </cell>
          <cell r="CJ86">
            <v>41103211.300300002</v>
          </cell>
          <cell r="CK86">
            <v>253470897.74413598</v>
          </cell>
        </row>
        <row r="117">
          <cell r="K117">
            <v>26527824.710000001</v>
          </cell>
          <cell r="R117">
            <v>439958.82999999996</v>
          </cell>
          <cell r="S117">
            <v>26974749.800000001</v>
          </cell>
          <cell r="Y117">
            <v>1869574.2599999998</v>
          </cell>
          <cell r="Z117">
            <v>28585779.18</v>
          </cell>
          <cell r="AF117">
            <v>1982623.27</v>
          </cell>
          <cell r="AG117">
            <v>28585779.18</v>
          </cell>
          <cell r="AM117">
            <v>2280170.4500000002</v>
          </cell>
          <cell r="AN117">
            <v>28950142.880000003</v>
          </cell>
          <cell r="AT117">
            <v>3745492.38</v>
          </cell>
          <cell r="AU117">
            <v>30360207.579999998</v>
          </cell>
          <cell r="BA117">
            <v>3745492.38</v>
          </cell>
          <cell r="BB117">
            <v>30473556.280000001</v>
          </cell>
          <cell r="BH117">
            <v>4201735.0199999996</v>
          </cell>
          <cell r="BI117">
            <v>31208234.02</v>
          </cell>
          <cell r="BO117">
            <v>5707610.9699999997</v>
          </cell>
          <cell r="BP117">
            <v>32145547.009999998</v>
          </cell>
          <cell r="BV117">
            <v>5797223.75</v>
          </cell>
          <cell r="BW117">
            <v>32532798.620000001</v>
          </cell>
          <cell r="CC117">
            <v>6196425.2800000003</v>
          </cell>
          <cell r="CD117">
            <v>32734795.579999998</v>
          </cell>
          <cell r="CJ117">
            <v>7806244.9000000004</v>
          </cell>
          <cell r="CK117">
            <v>34429368.700000003</v>
          </cell>
        </row>
        <row r="122">
          <cell r="K122">
            <v>167344128.54000002</v>
          </cell>
          <cell r="R122">
            <v>3513660.0240000002</v>
          </cell>
          <cell r="S122">
            <v>171213468.69999999</v>
          </cell>
          <cell r="Y122">
            <v>6650556.6740000006</v>
          </cell>
          <cell r="Z122">
            <v>173239733.75</v>
          </cell>
          <cell r="AF122">
            <v>7978227.6740000006</v>
          </cell>
          <cell r="AG122">
            <v>175617865</v>
          </cell>
          <cell r="AM122">
            <v>14241309.674000001</v>
          </cell>
          <cell r="AN122">
            <v>179009622.78999996</v>
          </cell>
          <cell r="AT122">
            <v>17217360.674000002</v>
          </cell>
          <cell r="AU122">
            <v>182348973.09999999</v>
          </cell>
          <cell r="BA122">
            <v>20374938.674000002</v>
          </cell>
          <cell r="BB122">
            <v>185884179.44</v>
          </cell>
          <cell r="BH122">
            <v>21935753.864</v>
          </cell>
          <cell r="BI122">
            <v>186240273.09999996</v>
          </cell>
          <cell r="BO122">
            <v>27111435.864</v>
          </cell>
          <cell r="BP122">
            <v>191810678.57999998</v>
          </cell>
          <cell r="BV122">
            <v>27604430.864</v>
          </cell>
          <cell r="BW122">
            <v>195201043.81</v>
          </cell>
          <cell r="CC122">
            <v>30043489.864</v>
          </cell>
          <cell r="CD122">
            <v>196225034.04999998</v>
          </cell>
          <cell r="CJ122">
            <v>37165759.864</v>
          </cell>
          <cell r="CK122">
            <v>202458623.39999998</v>
          </cell>
        </row>
        <row r="138">
          <cell r="K138">
            <v>11695311.630000001</v>
          </cell>
          <cell r="R138">
            <v>858301.42</v>
          </cell>
          <cell r="S138">
            <v>12461663.940000001</v>
          </cell>
          <cell r="Y138">
            <v>1077502.42</v>
          </cell>
          <cell r="Z138">
            <v>12604965.609999999</v>
          </cell>
          <cell r="AF138">
            <v>3068243.23</v>
          </cell>
          <cell r="AG138">
            <v>14287514.849999998</v>
          </cell>
          <cell r="AM138">
            <v>3437587.23</v>
          </cell>
          <cell r="AN138">
            <v>14468081.16</v>
          </cell>
          <cell r="AT138">
            <v>3889058.23</v>
          </cell>
          <cell r="AU138">
            <v>14650791.209999999</v>
          </cell>
          <cell r="BA138">
            <v>4564439.2300000004</v>
          </cell>
          <cell r="BB138">
            <v>14966553.75</v>
          </cell>
          <cell r="BH138">
            <v>4969663.2300000004</v>
          </cell>
          <cell r="BI138">
            <v>15444806.520000001</v>
          </cell>
          <cell r="BO138">
            <v>5097494.2300000004</v>
          </cell>
          <cell r="BP138">
            <v>15481759.140000001</v>
          </cell>
          <cell r="BV138">
            <v>6196245.2300000004</v>
          </cell>
          <cell r="BW138">
            <v>15796541.09</v>
          </cell>
          <cell r="CC138">
            <v>6805330.2300000004</v>
          </cell>
          <cell r="CD138">
            <v>16028934.25</v>
          </cell>
          <cell r="CJ138">
            <v>6807205.2300000004</v>
          </cell>
          <cell r="CK138">
            <v>18080677.039999999</v>
          </cell>
        </row>
        <row r="142">
          <cell r="K142">
            <v>8589644.7899999991</v>
          </cell>
          <cell r="R142">
            <v>0</v>
          </cell>
          <cell r="S142">
            <v>8589644.7899999991</v>
          </cell>
          <cell r="Y142">
            <v>0</v>
          </cell>
          <cell r="Z142">
            <v>8589644.7899999991</v>
          </cell>
          <cell r="AF142">
            <v>87472</v>
          </cell>
          <cell r="AG142">
            <v>8707393.0500000007</v>
          </cell>
          <cell r="AM142">
            <v>93117.49</v>
          </cell>
          <cell r="AN142">
            <v>8707393.0500000007</v>
          </cell>
          <cell r="AT142">
            <v>93117.49</v>
          </cell>
          <cell r="AU142">
            <v>8764801.9299999997</v>
          </cell>
          <cell r="BA142">
            <v>93117.49</v>
          </cell>
          <cell r="BB142">
            <v>8764801.9299999997</v>
          </cell>
          <cell r="BH142">
            <v>93117.49</v>
          </cell>
          <cell r="BI142">
            <v>8764801.9299999997</v>
          </cell>
          <cell r="BO142">
            <v>93117.49</v>
          </cell>
          <cell r="BP142">
            <v>8764801.9299999997</v>
          </cell>
          <cell r="BV142">
            <v>127117.49</v>
          </cell>
          <cell r="BW142">
            <v>8764801.9299999997</v>
          </cell>
          <cell r="CC142">
            <v>161117.49</v>
          </cell>
          <cell r="CD142">
            <v>8770651.8000000007</v>
          </cell>
          <cell r="CJ142">
            <v>229117.49</v>
          </cell>
          <cell r="CK142">
            <v>8770651.8000000007</v>
          </cell>
        </row>
        <row r="149">
          <cell r="K149">
            <v>113607136.52</v>
          </cell>
          <cell r="R149">
            <v>4663297.3499999996</v>
          </cell>
          <cell r="S149">
            <v>114421394.29000001</v>
          </cell>
          <cell r="Y149">
            <v>18058799.32</v>
          </cell>
          <cell r="Z149">
            <v>122356579.19</v>
          </cell>
          <cell r="AF149">
            <v>18934317.990000002</v>
          </cell>
          <cell r="AG149">
            <v>130047067.81000002</v>
          </cell>
          <cell r="AM149">
            <v>25618655.240000002</v>
          </cell>
          <cell r="AN149">
            <v>138584903.81</v>
          </cell>
          <cell r="AT149">
            <v>30317038.976</v>
          </cell>
          <cell r="AU149">
            <v>144556639.28999999</v>
          </cell>
          <cell r="BA149">
            <v>32855097.205999997</v>
          </cell>
          <cell r="BB149">
            <v>149333328.61000004</v>
          </cell>
          <cell r="BH149">
            <v>36989502.665999994</v>
          </cell>
          <cell r="BI149">
            <v>151266118.43000001</v>
          </cell>
          <cell r="BO149">
            <v>43215518.176000006</v>
          </cell>
          <cell r="BP149">
            <v>157118585.53</v>
          </cell>
          <cell r="BV149">
            <v>43258565.816000007</v>
          </cell>
          <cell r="BW149">
            <v>164613558.43000004</v>
          </cell>
          <cell r="CC149">
            <v>48981144.816000007</v>
          </cell>
          <cell r="CD149">
            <v>171448700.70000002</v>
          </cell>
          <cell r="CJ149">
            <v>58926214.816000007</v>
          </cell>
          <cell r="CK149">
            <v>178132438.28</v>
          </cell>
        </row>
        <row r="159">
          <cell r="K159">
            <v>276114680.68999994</v>
          </cell>
          <cell r="R159">
            <v>9175497.1400000006</v>
          </cell>
          <cell r="S159">
            <v>282319657.76999998</v>
          </cell>
          <cell r="Y159">
            <v>14513740.254000003</v>
          </cell>
          <cell r="Z159">
            <v>285385186.44999999</v>
          </cell>
          <cell r="AF159">
            <v>16054097.664000001</v>
          </cell>
          <cell r="AG159">
            <v>288129024.14999998</v>
          </cell>
          <cell r="AM159">
            <v>21734450.524</v>
          </cell>
          <cell r="AN159">
            <v>296575063.34000003</v>
          </cell>
          <cell r="AT159">
            <v>25623616.643999998</v>
          </cell>
          <cell r="AU159">
            <v>309029804.56000006</v>
          </cell>
          <cell r="BA159">
            <v>35417396.544000007</v>
          </cell>
          <cell r="BB159">
            <v>312418708.47999996</v>
          </cell>
          <cell r="BH159">
            <v>41277611.174000002</v>
          </cell>
          <cell r="BI159">
            <v>320606037.59000003</v>
          </cell>
          <cell r="BO159">
            <v>42910097.294</v>
          </cell>
          <cell r="BP159">
            <v>328032460.27999997</v>
          </cell>
          <cell r="BV159">
            <v>55935085.147999994</v>
          </cell>
          <cell r="BW159">
            <v>335394894.16000003</v>
          </cell>
          <cell r="CC159">
            <v>69262793.928000003</v>
          </cell>
          <cell r="CD159">
            <v>341081678.92000002</v>
          </cell>
          <cell r="CJ159">
            <v>78250995.230000004</v>
          </cell>
          <cell r="CK159">
            <v>353345278.23999995</v>
          </cell>
        </row>
        <row r="172">
          <cell r="K172">
            <v>91451099.840000004</v>
          </cell>
          <cell r="R172">
            <v>2555898.0699999998</v>
          </cell>
          <cell r="S172">
            <v>94294642.560000002</v>
          </cell>
          <cell r="Y172">
            <v>2988958.81</v>
          </cell>
          <cell r="Z172">
            <v>96115011.039999992</v>
          </cell>
          <cell r="AF172">
            <v>5326700.0999999996</v>
          </cell>
          <cell r="AG172">
            <v>96572190.659999996</v>
          </cell>
          <cell r="AM172">
            <v>6657646.6199999992</v>
          </cell>
          <cell r="AN172">
            <v>99525669.780000001</v>
          </cell>
          <cell r="AT172">
            <v>7977847.75</v>
          </cell>
          <cell r="AU172">
            <v>100163959.87</v>
          </cell>
          <cell r="BA172">
            <v>9307901</v>
          </cell>
          <cell r="BB172">
            <v>101567240.78</v>
          </cell>
          <cell r="BH172">
            <v>11735832.91</v>
          </cell>
          <cell r="BI172">
            <v>102628075.23</v>
          </cell>
          <cell r="BO172">
            <v>12875135.489999998</v>
          </cell>
          <cell r="BP172">
            <v>106597395.93000001</v>
          </cell>
          <cell r="BV172">
            <v>14806603.279999999</v>
          </cell>
          <cell r="BW172">
            <v>109333573.12000002</v>
          </cell>
          <cell r="CC172">
            <v>18890639.34</v>
          </cell>
          <cell r="CD172">
            <v>110981353.04000001</v>
          </cell>
          <cell r="CJ172">
            <v>22345855.609999999</v>
          </cell>
          <cell r="CK172">
            <v>114426630.97000001</v>
          </cell>
        </row>
        <row r="179">
          <cell r="K179">
            <v>22501090.289999999</v>
          </cell>
          <cell r="R179">
            <v>1641104.49</v>
          </cell>
          <cell r="S179">
            <v>23533365.84</v>
          </cell>
          <cell r="Y179">
            <v>1985393</v>
          </cell>
          <cell r="Z179">
            <v>23684384.939999998</v>
          </cell>
          <cell r="AF179">
            <v>4715738</v>
          </cell>
          <cell r="AG179">
            <v>24299307.310000002</v>
          </cell>
          <cell r="AM179">
            <v>6347969</v>
          </cell>
          <cell r="AN179">
            <v>25819538.369999997</v>
          </cell>
          <cell r="AT179">
            <v>7291797</v>
          </cell>
          <cell r="AU179">
            <v>28893935.809999999</v>
          </cell>
          <cell r="BA179">
            <v>12426351</v>
          </cell>
          <cell r="BB179">
            <v>30438752.469999999</v>
          </cell>
          <cell r="BH179">
            <v>13250239</v>
          </cell>
          <cell r="BI179">
            <v>30438752.469999999</v>
          </cell>
          <cell r="BO179">
            <v>15468370</v>
          </cell>
          <cell r="BP179">
            <v>31187600.969999999</v>
          </cell>
          <cell r="BV179">
            <v>16916145</v>
          </cell>
          <cell r="BW179">
            <v>32799809.409999996</v>
          </cell>
          <cell r="CC179">
            <v>17703963</v>
          </cell>
          <cell r="CD179">
            <v>33470878.169999994</v>
          </cell>
          <cell r="CJ179">
            <v>19096369.161399998</v>
          </cell>
          <cell r="CK179">
            <v>34559461.57</v>
          </cell>
        </row>
        <row r="185">
          <cell r="K185">
            <v>2870628.5</v>
          </cell>
          <cell r="R185">
            <v>69381.48</v>
          </cell>
          <cell r="S185">
            <v>2954519.33</v>
          </cell>
          <cell r="Y185">
            <v>158226.18</v>
          </cell>
          <cell r="Z185">
            <v>3290678.54</v>
          </cell>
          <cell r="AF185">
            <v>206127.38</v>
          </cell>
          <cell r="AG185">
            <v>3290678.54</v>
          </cell>
          <cell r="AM185">
            <v>238558.63</v>
          </cell>
          <cell r="AN185">
            <v>3385224.5300000003</v>
          </cell>
          <cell r="AT185">
            <v>384936.03</v>
          </cell>
          <cell r="AU185">
            <v>3553937.99</v>
          </cell>
          <cell r="BA185">
            <v>384936.03</v>
          </cell>
          <cell r="BB185">
            <v>3558079.69</v>
          </cell>
          <cell r="BH185">
            <v>461618.51</v>
          </cell>
          <cell r="BI185">
            <v>3667534.75</v>
          </cell>
          <cell r="BO185">
            <v>574621.77</v>
          </cell>
          <cell r="BP185">
            <v>3733859.44</v>
          </cell>
          <cell r="BV185">
            <v>612592.55000000005</v>
          </cell>
          <cell r="BW185">
            <v>3831816.17</v>
          </cell>
          <cell r="CC185">
            <v>654603.1</v>
          </cell>
          <cell r="CD185">
            <v>3871877.85</v>
          </cell>
          <cell r="CJ185">
            <v>804255.54</v>
          </cell>
          <cell r="CK185">
            <v>4065113.55</v>
          </cell>
        </row>
        <row r="187">
          <cell r="K187">
            <v>240189683.67000002</v>
          </cell>
          <cell r="R187">
            <v>12354111</v>
          </cell>
          <cell r="S187">
            <v>263023342.5</v>
          </cell>
          <cell r="Y187">
            <v>15794480</v>
          </cell>
          <cell r="Z187">
            <v>248719261.74000001</v>
          </cell>
          <cell r="AF187">
            <v>23715841</v>
          </cell>
          <cell r="AG187">
            <v>291637793.38</v>
          </cell>
          <cell r="AM187">
            <v>28399908</v>
          </cell>
          <cell r="AN187">
            <v>292687381.98000002</v>
          </cell>
          <cell r="AT187">
            <v>36570272</v>
          </cell>
          <cell r="AU187">
            <v>284716507.60000002</v>
          </cell>
          <cell r="BA187">
            <v>44691079</v>
          </cell>
          <cell r="BB187">
            <v>290459751.89000005</v>
          </cell>
          <cell r="BH187">
            <v>58578656</v>
          </cell>
          <cell r="BI187">
            <v>300050315.48000002</v>
          </cell>
          <cell r="BO187">
            <v>63770773</v>
          </cell>
          <cell r="BP187">
            <v>306597696.70000005</v>
          </cell>
          <cell r="BV187">
            <v>88609592</v>
          </cell>
          <cell r="BW187">
            <v>309261164.50999999</v>
          </cell>
          <cell r="CC187">
            <v>109726874</v>
          </cell>
          <cell r="CD187">
            <v>317462467.31999999</v>
          </cell>
          <cell r="CJ187">
            <v>110661781</v>
          </cell>
          <cell r="CK187">
            <v>343658124.27000004</v>
          </cell>
        </row>
        <row r="194">
          <cell r="K194">
            <v>271201334.31</v>
          </cell>
          <cell r="R194">
            <v>1282769.8</v>
          </cell>
          <cell r="S194">
            <v>272236674.06</v>
          </cell>
          <cell r="Y194">
            <v>2605505.33</v>
          </cell>
          <cell r="Z194">
            <v>275154457.98000002</v>
          </cell>
          <cell r="AF194">
            <v>5331966.3030219059</v>
          </cell>
          <cell r="AG194">
            <v>275627166.54000002</v>
          </cell>
          <cell r="AM194">
            <v>13084248.253021905</v>
          </cell>
          <cell r="AN194">
            <v>277413569.47000003</v>
          </cell>
          <cell r="AT194">
            <v>17859587.813021902</v>
          </cell>
          <cell r="AU194">
            <v>279633305.73000002</v>
          </cell>
          <cell r="BA194">
            <v>24059124.214285269</v>
          </cell>
          <cell r="BB194">
            <v>280408092.75</v>
          </cell>
          <cell r="BH194">
            <v>30555356.594285272</v>
          </cell>
          <cell r="BI194">
            <v>282302528.73000002</v>
          </cell>
          <cell r="BO194">
            <v>33600541.914285272</v>
          </cell>
          <cell r="BP194">
            <v>284652083</v>
          </cell>
          <cell r="BV194">
            <v>41605572.696973652</v>
          </cell>
          <cell r="BW194">
            <v>288811161.42000002</v>
          </cell>
          <cell r="CC194">
            <v>48800381.646973655</v>
          </cell>
          <cell r="CD194">
            <v>291117759.81</v>
          </cell>
          <cell r="CJ194">
            <v>52662918.421160258</v>
          </cell>
          <cell r="CK194">
            <v>302324446.00999999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likums Nr.1"/>
      <sheetName val="cet.plāni"/>
      <sheetName val="maksajumu_merku_neizpilde"/>
      <sheetName val="Grafiks"/>
      <sheetName val="Salīdzinājums"/>
      <sheetName val="Apguve dalījumā pa ministr"/>
      <sheetName val="Sheet1"/>
    </sheetNames>
    <sheetDataSet>
      <sheetData sheetId="0"/>
      <sheetData sheetId="1"/>
      <sheetData sheetId="2">
        <row r="12">
          <cell r="AS12">
            <v>-165779.07999999938</v>
          </cell>
        </row>
        <row r="18">
          <cell r="AS18">
            <v>-1311046.7200000007</v>
          </cell>
        </row>
        <row r="24">
          <cell r="AS24">
            <v>-6781859.3200000003</v>
          </cell>
        </row>
        <row r="27">
          <cell r="AS27">
            <v>-20149793.224285275</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likums Nr.1"/>
      <sheetName val="aktuala"/>
      <sheetName val="pec_vecas_secibas"/>
      <sheetName val="maksajumu_merku_neizpilde"/>
      <sheetName val="Grafiks"/>
      <sheetName val="Gafiks_2"/>
      <sheetName val="Grafiks 3"/>
      <sheetName val="Salīdzinājums"/>
      <sheetName val="Apguve dalījumā pa ministr"/>
      <sheetName val="Sheet1"/>
    </sheetNames>
    <sheetDataSet>
      <sheetData sheetId="0"/>
      <sheetData sheetId="1"/>
      <sheetData sheetId="2">
        <row r="21">
          <cell r="E21">
            <v>56835208</v>
          </cell>
        </row>
      </sheetData>
      <sheetData sheetId="3"/>
      <sheetData sheetId="4"/>
      <sheetData sheetId="5">
        <row r="1">
          <cell r="B1" t="str">
            <v>Virssaistību finansējums atbilstoši apst. MK p/l un KDG; Kopā 280,1 milj. latu</v>
          </cell>
        </row>
        <row r="3">
          <cell r="A3" t="str">
            <v>VeM</v>
          </cell>
        </row>
        <row r="4">
          <cell r="A4">
            <v>0</v>
          </cell>
        </row>
        <row r="5">
          <cell r="A5" t="str">
            <v>KM</v>
          </cell>
        </row>
        <row r="6">
          <cell r="A6">
            <v>0</v>
          </cell>
        </row>
        <row r="7">
          <cell r="A7" t="str">
            <v>LM</v>
          </cell>
        </row>
        <row r="8">
          <cell r="A8">
            <v>0</v>
          </cell>
        </row>
        <row r="9">
          <cell r="A9" t="str">
            <v>IZM</v>
          </cell>
        </row>
        <row r="10">
          <cell r="A10">
            <v>0</v>
          </cell>
        </row>
        <row r="11">
          <cell r="A11" t="str">
            <v>SM</v>
          </cell>
        </row>
        <row r="12">
          <cell r="A12">
            <v>0</v>
          </cell>
        </row>
        <row r="13">
          <cell r="A13" t="str">
            <v>EM</v>
          </cell>
        </row>
        <row r="14">
          <cell r="A14">
            <v>0</v>
          </cell>
        </row>
        <row r="15">
          <cell r="A15" t="str">
            <v>VARAM</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mailto:Arturs.Sluburs@fm.gov.lv" TargetMode="External"/></Relationships>
</file>

<file path=xl/worksheets/_rels/sheet13.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L34"/>
  <sheetViews>
    <sheetView view="pageBreakPreview" zoomScale="85" zoomScaleNormal="85" zoomScaleSheetLayoutView="85" workbookViewId="0">
      <selection activeCell="G18" sqref="G18"/>
    </sheetView>
  </sheetViews>
  <sheetFormatPr defaultRowHeight="17.25"/>
  <cols>
    <col min="1" max="1" width="13" style="971" customWidth="1"/>
    <col min="2" max="2" width="62.7109375" style="972" customWidth="1"/>
    <col min="3" max="3" width="9.7109375" style="971" customWidth="1"/>
    <col min="4" max="4" width="19.140625" style="970" hidden="1" customWidth="1"/>
    <col min="5" max="8" width="19.140625" style="970" customWidth="1"/>
    <col min="9" max="10" width="19.140625" style="970" customWidth="1" collapsed="1"/>
    <col min="11" max="11" width="19.140625" style="970" customWidth="1"/>
    <col min="12" max="12" width="45.7109375" style="970" customWidth="1" collapsed="1"/>
    <col min="13" max="14" width="15.28515625" customWidth="1"/>
  </cols>
  <sheetData>
    <row r="1" spans="1:12" ht="24" customHeight="1">
      <c r="A1" s="1024" t="s">
        <v>1402</v>
      </c>
      <c r="B1" s="1024"/>
      <c r="C1" s="1024"/>
      <c r="D1" s="1024"/>
      <c r="E1" s="1024"/>
      <c r="F1" s="1024"/>
      <c r="G1" s="1024"/>
      <c r="H1" s="1024"/>
      <c r="I1" s="1024"/>
      <c r="J1" s="1024"/>
      <c r="K1" s="1024"/>
      <c r="L1" s="1024"/>
    </row>
    <row r="2" spans="1:12" ht="20.25">
      <c r="A2" s="254"/>
      <c r="B2" s="255"/>
      <c r="C2" s="255"/>
      <c r="D2" s="255"/>
      <c r="E2" s="255"/>
      <c r="F2" s="255"/>
      <c r="G2" s="255"/>
      <c r="H2" s="255"/>
      <c r="I2" s="255"/>
      <c r="J2" s="255"/>
      <c r="K2" s="255"/>
      <c r="L2" s="255"/>
    </row>
    <row r="3" spans="1:12" ht="15.75" customHeight="1" thickBot="1">
      <c r="A3" s="59"/>
      <c r="B3" s="60"/>
      <c r="C3" s="59"/>
      <c r="D3" s="103"/>
      <c r="E3" s="916"/>
      <c r="F3" s="916"/>
      <c r="G3" s="916"/>
      <c r="H3" s="916"/>
      <c r="I3" s="916"/>
      <c r="J3" s="916"/>
      <c r="K3" s="916"/>
      <c r="L3" s="916"/>
    </row>
    <row r="4" spans="1:12" s="40" customFormat="1" ht="165.75" thickTop="1">
      <c r="A4" s="973" t="s">
        <v>631</v>
      </c>
      <c r="B4" s="974" t="s">
        <v>394</v>
      </c>
      <c r="C4" s="975" t="s">
        <v>395</v>
      </c>
      <c r="D4" s="975" t="s">
        <v>666</v>
      </c>
      <c r="E4" s="975" t="s">
        <v>665</v>
      </c>
      <c r="F4" s="975" t="s">
        <v>746</v>
      </c>
      <c r="G4" s="975" t="s">
        <v>740</v>
      </c>
      <c r="H4" s="975" t="s">
        <v>1396</v>
      </c>
      <c r="I4" s="975" t="s">
        <v>1423</v>
      </c>
      <c r="J4" s="975" t="s">
        <v>1424</v>
      </c>
      <c r="K4" s="1031" t="s">
        <v>1426</v>
      </c>
      <c r="L4" s="975" t="s">
        <v>1362</v>
      </c>
    </row>
    <row r="5" spans="1:12" s="40" customFormat="1" ht="16.5" customHeight="1">
      <c r="A5" s="976"/>
      <c r="B5" s="977"/>
      <c r="C5" s="978"/>
      <c r="D5" s="978"/>
      <c r="E5" s="978"/>
      <c r="F5" s="978"/>
      <c r="G5" s="978"/>
      <c r="H5" s="978"/>
      <c r="I5" s="978"/>
      <c r="J5" s="978"/>
      <c r="K5" s="1032"/>
      <c r="L5" s="978"/>
    </row>
    <row r="6" spans="1:12" s="275" customFormat="1" ht="16.5" customHeight="1">
      <c r="A6" s="979">
        <v>1</v>
      </c>
      <c r="B6" s="980">
        <v>2</v>
      </c>
      <c r="C6" s="980">
        <v>3</v>
      </c>
      <c r="D6" s="980">
        <v>4</v>
      </c>
      <c r="E6" s="980">
        <v>4</v>
      </c>
      <c r="F6" s="980">
        <v>5</v>
      </c>
      <c r="G6" s="980">
        <v>6</v>
      </c>
      <c r="H6" s="980" t="s">
        <v>1425</v>
      </c>
      <c r="I6" s="980">
        <v>8</v>
      </c>
      <c r="J6" s="980">
        <v>9</v>
      </c>
      <c r="K6" s="980"/>
      <c r="L6" s="980">
        <v>11</v>
      </c>
    </row>
    <row r="7" spans="1:12" s="103" customFormat="1" ht="16.5" customHeight="1">
      <c r="A7" s="25"/>
      <c r="B7" s="26" t="s">
        <v>396</v>
      </c>
      <c r="C7" s="27"/>
      <c r="D7" s="918">
        <f>Virssaistības_progress!E7</f>
        <v>3384365376.0099998</v>
      </c>
      <c r="E7" s="918">
        <f>Virssaistības_progress!H7</f>
        <v>284321063</v>
      </c>
      <c r="F7" s="28">
        <f>Virssaistības_progress!Y7</f>
        <v>189796880.04000002</v>
      </c>
      <c r="G7" s="918">
        <f>Virssaistības_progress!S7</f>
        <v>46745755.129999995</v>
      </c>
      <c r="H7" s="28">
        <f>F7-G7</f>
        <v>143051124.91000003</v>
      </c>
      <c r="I7" s="28">
        <f>SUM(I16:I33)</f>
        <v>82852391.999719992</v>
      </c>
      <c r="J7" s="28">
        <f>SUM(J16:J33)</f>
        <v>114104610</v>
      </c>
      <c r="K7" s="65">
        <f>J7/E7</f>
        <v>0.40132309859857268</v>
      </c>
      <c r="L7" s="986"/>
    </row>
    <row r="8" spans="1:12" s="275" customFormat="1" ht="7.5" customHeight="1">
      <c r="A8" s="981"/>
      <c r="B8" s="981"/>
      <c r="C8" s="980"/>
      <c r="D8" s="982"/>
      <c r="E8" s="983"/>
      <c r="F8" s="983"/>
      <c r="G8" s="982"/>
      <c r="H8" s="982"/>
      <c r="I8" s="982"/>
      <c r="J8" s="982"/>
      <c r="K8" s="982"/>
      <c r="L8" s="982"/>
    </row>
    <row r="9" spans="1:12" s="275" customFormat="1" ht="16.5" customHeight="1">
      <c r="A9" s="25"/>
      <c r="B9" s="26" t="s">
        <v>397</v>
      </c>
      <c r="C9" s="27"/>
      <c r="D9" s="919">
        <f>Virssaistības_progress!E9</f>
        <v>459322460.71999997</v>
      </c>
      <c r="E9" s="919">
        <f>Virssaistības_progress!H9</f>
        <v>52671887</v>
      </c>
      <c r="F9" s="90">
        <f>Virssaistības_progress!Y9</f>
        <v>45643741.390000001</v>
      </c>
      <c r="G9" s="919">
        <f>Virssaistības_progress!S9</f>
        <v>4929709.8100000005</v>
      </c>
      <c r="H9" s="28">
        <f>F9-8</f>
        <v>45643733.390000001</v>
      </c>
      <c r="I9" s="28">
        <f>I16+I17+I18+I19+I20+I21</f>
        <v>5648164.5836500004</v>
      </c>
      <c r="J9" s="28">
        <f>J16+J17+J18+J19+J20+J21</f>
        <v>1129823</v>
      </c>
      <c r="K9" s="65">
        <f>J9/E9</f>
        <v>2.1450209292862434E-2</v>
      </c>
      <c r="L9" s="987"/>
    </row>
    <row r="10" spans="1:12" s="275" customFormat="1" ht="16.5" customHeight="1">
      <c r="A10" s="25"/>
      <c r="B10" s="26" t="s">
        <v>398</v>
      </c>
      <c r="C10" s="27"/>
      <c r="D10" s="919">
        <f>Virssaistības_progress!E10</f>
        <v>1777009488.9400001</v>
      </c>
      <c r="E10" s="919">
        <f>Virssaistības_progress!H10</f>
        <v>196681692</v>
      </c>
      <c r="F10" s="90">
        <f>Virssaistības_progress!Y10</f>
        <v>116417948.65000001</v>
      </c>
      <c r="G10" s="919">
        <f>Virssaistības_progress!S10</f>
        <v>32033891.299999997</v>
      </c>
      <c r="H10" s="28">
        <f>F10-8</f>
        <v>116417940.65000001</v>
      </c>
      <c r="I10" s="28">
        <f>I22+I25+I26+I27+I29+I31+I32</f>
        <v>66828095.264789999</v>
      </c>
      <c r="J10" s="28">
        <f>J22+J25+J26+J27+J29+J31+J32</f>
        <v>98325276</v>
      </c>
      <c r="K10" s="65">
        <f t="shared" ref="K10:K31" si="0">J10/E10</f>
        <v>0.49992083655656167</v>
      </c>
      <c r="L10" s="987"/>
    </row>
    <row r="11" spans="1:12" s="275" customFormat="1" ht="16.5" customHeight="1">
      <c r="A11" s="25"/>
      <c r="B11" s="26" t="s">
        <v>399</v>
      </c>
      <c r="C11" s="27"/>
      <c r="D11" s="919">
        <f>Virssaistības_progress!E11</f>
        <v>1148033426.3499999</v>
      </c>
      <c r="E11" s="919">
        <f>Virssaistības_progress!H11</f>
        <v>34967484</v>
      </c>
      <c r="F11" s="90">
        <f>Virssaistības_progress!Y11</f>
        <v>27735190</v>
      </c>
      <c r="G11" s="919">
        <f>Virssaistības_progress!S11</f>
        <v>9782154.0199999996</v>
      </c>
      <c r="H11" s="28">
        <f>F11-8</f>
        <v>27735182</v>
      </c>
      <c r="I11" s="28">
        <f>I28+I30+I33</f>
        <v>10376132.151280001</v>
      </c>
      <c r="J11" s="28">
        <f>J28+J30+J33</f>
        <v>14649511</v>
      </c>
      <c r="K11" s="65">
        <f t="shared" si="0"/>
        <v>0.41894667056972129</v>
      </c>
      <c r="L11" s="987"/>
    </row>
    <row r="12" spans="1:12" s="275" customFormat="1" ht="7.5" customHeight="1">
      <c r="A12" s="981"/>
      <c r="B12" s="984"/>
      <c r="C12" s="980"/>
      <c r="D12" s="982"/>
      <c r="E12" s="985"/>
      <c r="F12" s="983"/>
      <c r="G12" s="982"/>
      <c r="H12" s="982"/>
      <c r="I12" s="982"/>
      <c r="J12" s="982"/>
      <c r="K12" s="982"/>
      <c r="L12" s="982"/>
    </row>
    <row r="13" spans="1:12" s="275" customFormat="1" ht="16.5" customHeight="1">
      <c r="A13" s="25"/>
      <c r="B13" s="26" t="s">
        <v>400</v>
      </c>
      <c r="C13" s="27"/>
      <c r="D13" s="919">
        <f>Virssaistības_progress!E13</f>
        <v>459322460.71999997</v>
      </c>
      <c r="E13" s="919">
        <f>Virssaistības_progress!H13</f>
        <v>52671887</v>
      </c>
      <c r="F13" s="90">
        <f>Virssaistības_progress!Y13</f>
        <v>45643741.390000001</v>
      </c>
      <c r="G13" s="919">
        <f>Virssaistības_progress!S13</f>
        <v>4929709.8100000005</v>
      </c>
      <c r="H13" s="28">
        <f>F13-8</f>
        <v>45643733.390000001</v>
      </c>
      <c r="I13" s="90">
        <f>I16+I17+I18+I19+I20+I21</f>
        <v>5648164.5836500004</v>
      </c>
      <c r="J13" s="90">
        <f>J16+J17+J18+J19+J20+J21</f>
        <v>1129823</v>
      </c>
      <c r="K13" s="65">
        <f t="shared" si="0"/>
        <v>2.1450209292862434E-2</v>
      </c>
      <c r="L13" s="988"/>
    </row>
    <row r="14" spans="1:12" s="275" customFormat="1" ht="16.5" customHeight="1">
      <c r="A14" s="25"/>
      <c r="B14" s="26" t="s">
        <v>401</v>
      </c>
      <c r="C14" s="27"/>
      <c r="D14" s="919">
        <f>Virssaistības_progress!E14</f>
        <v>544793770.04000008</v>
      </c>
      <c r="E14" s="919">
        <f>Virssaistības_progress!H14</f>
        <v>46814550</v>
      </c>
      <c r="F14" s="90">
        <f>Virssaistības_progress!Y14</f>
        <v>7829105.6600000001</v>
      </c>
      <c r="G14" s="919">
        <f>Virssaistības_progress!S14</f>
        <v>6802920.5800000001</v>
      </c>
      <c r="H14" s="28">
        <f>F14-8</f>
        <v>7829097.6600000001</v>
      </c>
      <c r="I14" s="28">
        <f>I22</f>
        <v>24391574</v>
      </c>
      <c r="J14" s="28">
        <f>J22</f>
        <v>46814550</v>
      </c>
      <c r="K14" s="65">
        <f t="shared" si="0"/>
        <v>1</v>
      </c>
      <c r="L14" s="988"/>
    </row>
    <row r="15" spans="1:12" s="275" customFormat="1" ht="16.5" customHeight="1">
      <c r="A15" s="25"/>
      <c r="B15" s="26" t="s">
        <v>402</v>
      </c>
      <c r="C15" s="27"/>
      <c r="D15" s="919">
        <f>Virssaistības_progress!E15</f>
        <v>2380249145.25</v>
      </c>
      <c r="E15" s="919">
        <f>Virssaistības_progress!H15</f>
        <v>184834626</v>
      </c>
      <c r="F15" s="90">
        <f>Virssaistības_progress!Y15</f>
        <v>136324032.99000001</v>
      </c>
      <c r="G15" s="919">
        <f>Virssaistības_progress!S15</f>
        <v>35013124.739999995</v>
      </c>
      <c r="H15" s="28">
        <f>F15-8</f>
        <v>136324024.99000001</v>
      </c>
      <c r="I15" s="90">
        <f>SUM(I26:I33)</f>
        <v>52789675.350680001</v>
      </c>
      <c r="J15" s="90">
        <f>SUM(J26:J33)</f>
        <v>66160237</v>
      </c>
      <c r="K15" s="65">
        <f t="shared" si="0"/>
        <v>0.35794287267365155</v>
      </c>
      <c r="L15" s="988"/>
    </row>
    <row r="16" spans="1:12" s="275" customFormat="1" thickBot="1">
      <c r="A16" s="995" t="s">
        <v>2</v>
      </c>
      <c r="B16" s="996" t="s">
        <v>404</v>
      </c>
      <c r="C16" s="997" t="s">
        <v>0</v>
      </c>
      <c r="D16" s="993">
        <f>VLOOKUP(Prioritasu_dalijums!A16,Virssaistības_progress!A:E,5,0)</f>
        <v>91518201.449999988</v>
      </c>
      <c r="E16" s="998">
        <f>VLOOKUP(A16,Virssaistības_progress!A:H,8,0)</f>
        <v>10753421</v>
      </c>
      <c r="F16" s="993">
        <f>VLOOKUP(A16,Virssaistības_progress!A:Y,25,0)</f>
        <v>9085608</v>
      </c>
      <c r="G16" s="993">
        <f>VLOOKUP(A16,Virssaistības_progress!A:S,19,0)</f>
        <v>261914.50999999998</v>
      </c>
      <c r="H16" s="993">
        <f>F16-G16</f>
        <v>8823693.4900000002</v>
      </c>
      <c r="I16" s="993">
        <v>455418</v>
      </c>
      <c r="J16" s="993">
        <v>638607</v>
      </c>
      <c r="K16" s="1019">
        <f t="shared" si="0"/>
        <v>5.9386403638432832E-2</v>
      </c>
      <c r="L16" s="999"/>
    </row>
    <row r="17" spans="1:12" s="275" customFormat="1" ht="16.5">
      <c r="A17" s="1004" t="s">
        <v>12</v>
      </c>
      <c r="B17" s="1005" t="s">
        <v>416</v>
      </c>
      <c r="C17" s="1006" t="s">
        <v>0</v>
      </c>
      <c r="D17" s="1007">
        <f>VLOOKUP(Prioritasu_dalijums!A17,Virssaistības_progress!A:E,5,0)</f>
        <v>102840094.41</v>
      </c>
      <c r="E17" s="1008">
        <f>VLOOKUP(A17,Virssaistības_progress!A:H,8,0)</f>
        <v>8239369</v>
      </c>
      <c r="F17" s="1007">
        <f>VLOOKUP(A17,Virssaistības_progress!A:Y,25,0)</f>
        <v>8239369</v>
      </c>
      <c r="G17" s="1007">
        <f>VLOOKUP(A17,Virssaistības_progress!A:S,19,0)</f>
        <v>213130.98000000004</v>
      </c>
      <c r="H17" s="1007">
        <f t="shared" ref="H17:H31" si="1">F17-G17</f>
        <v>8026238.0199999996</v>
      </c>
      <c r="I17" s="1007">
        <v>430456</v>
      </c>
      <c r="J17" s="1007">
        <v>185317</v>
      </c>
      <c r="K17" s="1021">
        <f t="shared" si="0"/>
        <v>2.2491649542580264E-2</v>
      </c>
      <c r="L17" s="1009" t="s">
        <v>1420</v>
      </c>
    </row>
    <row r="18" spans="1:12" s="97" customFormat="1" ht="16.5">
      <c r="A18" s="1010" t="s">
        <v>383</v>
      </c>
      <c r="B18" s="20" t="s">
        <v>441</v>
      </c>
      <c r="C18" s="21" t="s">
        <v>0</v>
      </c>
      <c r="D18" s="23">
        <f>VLOOKUP(Prioritasu_dalijums!A18,Virssaistības_progress!A:E,5,0)</f>
        <v>198980165.94</v>
      </c>
      <c r="E18" s="18">
        <f>VLOOKUP(A18,Virssaistības_progress!A:H,8,0)</f>
        <v>30353437</v>
      </c>
      <c r="F18" s="23">
        <f>VLOOKUP(A18,Virssaistības_progress!A:Y,25,0)</f>
        <v>25868593.390000001</v>
      </c>
      <c r="G18" s="23">
        <f>VLOOKUP(A18,Virssaistības_progress!A:S,19,0)</f>
        <v>3859825.6100000003</v>
      </c>
      <c r="H18" s="23">
        <f t="shared" si="1"/>
        <v>22008767.780000001</v>
      </c>
      <c r="I18" s="23">
        <v>4139529</v>
      </c>
      <c r="J18" s="23">
        <v>305899</v>
      </c>
      <c r="K18" s="1018">
        <f t="shared" si="0"/>
        <v>1.007790320417421E-2</v>
      </c>
      <c r="L18" s="698" t="s">
        <v>1421</v>
      </c>
    </row>
    <row r="19" spans="1:12" s="97" customFormat="1" ht="16.5">
      <c r="A19" s="1010" t="s">
        <v>40</v>
      </c>
      <c r="B19" s="20" t="s">
        <v>463</v>
      </c>
      <c r="C19" s="21" t="s">
        <v>0</v>
      </c>
      <c r="D19" s="23">
        <f>VLOOKUP(Prioritasu_dalijums!A19,Virssaistības_progress!A:E,5,0)</f>
        <v>36258630.349999994</v>
      </c>
      <c r="E19" s="18">
        <f>VLOOKUP(A19,Virssaistības_progress!A:H,8,0)</f>
        <v>3325660</v>
      </c>
      <c r="F19" s="23">
        <f>VLOOKUP(A19,Virssaistības_progress!A:Y,25,0)</f>
        <v>2450171</v>
      </c>
      <c r="G19" s="23">
        <f>VLOOKUP(A19,Virssaistības_progress!A:S,19,0)</f>
        <v>220556.81</v>
      </c>
      <c r="H19" s="23">
        <f t="shared" si="1"/>
        <v>2229614.19</v>
      </c>
      <c r="I19" s="23">
        <v>223489</v>
      </c>
      <c r="J19" s="23">
        <v>0</v>
      </c>
      <c r="K19" s="1018">
        <f t="shared" si="0"/>
        <v>0</v>
      </c>
      <c r="L19" s="698" t="s">
        <v>1420</v>
      </c>
    </row>
    <row r="20" spans="1:12" s="97" customFormat="1" ht="16.5">
      <c r="A20" s="1010" t="s">
        <v>45</v>
      </c>
      <c r="B20" s="20" t="s">
        <v>471</v>
      </c>
      <c r="C20" s="21" t="s">
        <v>0</v>
      </c>
      <c r="D20" s="23">
        <f>VLOOKUP(Prioritasu_dalijums!A20,Virssaistības_progress!A:E,5,0)</f>
        <v>16877607.539999999</v>
      </c>
      <c r="E20" s="18">
        <f>VLOOKUP(A20,Virssaistības_progress!A:H,8,0)</f>
        <v>0</v>
      </c>
      <c r="F20" s="23">
        <f>VLOOKUP(A20,Virssaistības_progress!A:Y,25,0)</f>
        <v>0</v>
      </c>
      <c r="G20" s="23">
        <f>VLOOKUP(A20,Virssaistības_progress!A:S,19,0)</f>
        <v>373919.12000000005</v>
      </c>
      <c r="H20" s="23">
        <v>0</v>
      </c>
      <c r="I20" s="23">
        <v>389736</v>
      </c>
      <c r="J20" s="23">
        <v>0</v>
      </c>
      <c r="K20" s="1018">
        <v>0</v>
      </c>
      <c r="L20" s="698" t="s">
        <v>1397</v>
      </c>
    </row>
    <row r="21" spans="1:12" s="97" customFormat="1" thickBot="1">
      <c r="A21" s="1011" t="s">
        <v>205</v>
      </c>
      <c r="B21" s="1012" t="s">
        <v>489</v>
      </c>
      <c r="C21" s="1013" t="s">
        <v>0</v>
      </c>
      <c r="D21" s="1014">
        <f>VLOOKUP(Prioritasu_dalijums!A21,Virssaistības_progress!A:E,5,0)</f>
        <v>12847761.029999999</v>
      </c>
      <c r="E21" s="1015">
        <f>VLOOKUP(A21,Virssaistības_progress!A:H,8,0)</f>
        <v>0</v>
      </c>
      <c r="F21" s="1014">
        <f>VLOOKUP(A21,Virssaistības_progress!A:Y,25,0)</f>
        <v>0</v>
      </c>
      <c r="G21" s="1014">
        <f>VLOOKUP(A21,Virssaistības_progress!A:S,19,0)</f>
        <v>362.77999999999884</v>
      </c>
      <c r="H21" s="1014">
        <v>0</v>
      </c>
      <c r="I21" s="1014">
        <v>9536.5836499999987</v>
      </c>
      <c r="J21" s="1014">
        <v>0</v>
      </c>
      <c r="K21" s="1022">
        <v>0</v>
      </c>
      <c r="L21" s="1016" t="s">
        <v>1397</v>
      </c>
    </row>
    <row r="22" spans="1:12" s="97" customFormat="1" ht="16.5">
      <c r="A22" s="1004" t="s">
        <v>146</v>
      </c>
      <c r="B22" s="1005" t="s">
        <v>493</v>
      </c>
      <c r="C22" s="1006"/>
      <c r="D22" s="1007">
        <f>VLOOKUP(Prioritasu_dalijums!A22,Virssaistības_progress!A:E,5,0)</f>
        <v>351120609.92000002</v>
      </c>
      <c r="E22" s="1008">
        <f>VLOOKUP(A22,Virssaistības_progress!A:H,8,0)</f>
        <v>40814550</v>
      </c>
      <c r="F22" s="1007">
        <f>VLOOKUP(A22,Virssaistības_progress!A:Y,25,0)</f>
        <v>7829105.6600000001</v>
      </c>
      <c r="G22" s="1007">
        <f>VLOOKUP(A22,Virssaistības_progress!A:S,19,0)</f>
        <v>6797420.8300000001</v>
      </c>
      <c r="H22" s="1007">
        <f t="shared" si="1"/>
        <v>1031684.8300000001</v>
      </c>
      <c r="I22" s="1007">
        <v>24391574</v>
      </c>
      <c r="J22" s="1028">
        <v>46814550</v>
      </c>
      <c r="K22" s="1033">
        <v>1</v>
      </c>
      <c r="L22" s="1025" t="s">
        <v>1419</v>
      </c>
    </row>
    <row r="23" spans="1:12" s="97" customFormat="1" ht="50.25" customHeight="1">
      <c r="A23" s="1010" t="s">
        <v>65</v>
      </c>
      <c r="B23" s="20" t="s">
        <v>513</v>
      </c>
      <c r="C23" s="21" t="s">
        <v>55</v>
      </c>
      <c r="D23" s="23">
        <f>VLOOKUP(Prioritasu_dalijums!A23,Virssaistības_progress!A:E,5,0)</f>
        <v>116418850.78</v>
      </c>
      <c r="E23" s="18">
        <f>VLOOKUP(A23,Virssaistības_progress!A:H,8,0)</f>
        <v>0</v>
      </c>
      <c r="F23" s="23">
        <f>VLOOKUP(A23,Virssaistības_progress!A:Y,25,0)</f>
        <v>0</v>
      </c>
      <c r="G23" s="23">
        <f>VLOOKUP(A23,Virssaistības_progress!A:S,19,0)</f>
        <v>0</v>
      </c>
      <c r="H23" s="23">
        <f t="shared" si="1"/>
        <v>0</v>
      </c>
      <c r="I23" s="23">
        <v>0</v>
      </c>
      <c r="J23" s="1029"/>
      <c r="K23" s="1034"/>
      <c r="L23" s="1026"/>
    </row>
    <row r="24" spans="1:12" s="97" customFormat="1" ht="50.25" customHeight="1">
      <c r="A24" s="1010" t="s">
        <v>71</v>
      </c>
      <c r="B24" s="20" t="s">
        <v>523</v>
      </c>
      <c r="C24" s="21" t="s">
        <v>55</v>
      </c>
      <c r="D24" s="23">
        <f>VLOOKUP(Prioritasu_dalijums!A24,Virssaistības_progress!A:E,5,0)</f>
        <v>61100320.039999999</v>
      </c>
      <c r="E24" s="18">
        <f>VLOOKUP(A24,Virssaistības_progress!A:H,8,0)</f>
        <v>6000000</v>
      </c>
      <c r="F24" s="23">
        <f>VLOOKUP(A24,Virssaistības_progress!A:Y,25,0)</f>
        <v>0</v>
      </c>
      <c r="G24" s="23">
        <f>VLOOKUP(A24,Virssaistības_progress!A:S,19,0)</f>
        <v>0</v>
      </c>
      <c r="H24" s="23">
        <f t="shared" si="1"/>
        <v>0</v>
      </c>
      <c r="I24" s="23">
        <v>0</v>
      </c>
      <c r="J24" s="1030"/>
      <c r="K24" s="1034"/>
      <c r="L24" s="1027"/>
    </row>
    <row r="25" spans="1:12" s="97" customFormat="1" thickBot="1">
      <c r="A25" s="1011" t="s">
        <v>190</v>
      </c>
      <c r="B25" s="1012" t="s">
        <v>489</v>
      </c>
      <c r="C25" s="1013" t="s">
        <v>55</v>
      </c>
      <c r="D25" s="1014">
        <f>VLOOKUP(Prioritasu_dalijums!A25,Virssaistības_progress!A:E,5,0)</f>
        <v>16153989.300000001</v>
      </c>
      <c r="E25" s="1015">
        <f>VLOOKUP(A25,Virssaistības_progress!A:H,8,0)</f>
        <v>0</v>
      </c>
      <c r="F25" s="1014">
        <f>VLOOKUP(A25,Virssaistības_progress!A:Y,25,0)</f>
        <v>0</v>
      </c>
      <c r="G25" s="1014">
        <f>VLOOKUP(A25,Virssaistības_progress!A:S,19,0)</f>
        <v>5499.75</v>
      </c>
      <c r="H25" s="1014">
        <v>0</v>
      </c>
      <c r="I25" s="1014">
        <v>22978.065390000003</v>
      </c>
      <c r="J25" s="1014">
        <v>0</v>
      </c>
      <c r="K25" s="1035"/>
      <c r="L25" s="1016" t="s">
        <v>1397</v>
      </c>
    </row>
    <row r="26" spans="1:12" s="97" customFormat="1" ht="16.5">
      <c r="A26" s="1000" t="s">
        <v>77</v>
      </c>
      <c r="B26" s="1001" t="s">
        <v>538</v>
      </c>
      <c r="C26" s="1002" t="s">
        <v>55</v>
      </c>
      <c r="D26" s="994">
        <f>VLOOKUP(Prioritasu_dalijums!A26,Virssaistības_progress!A:E,5,0)</f>
        <v>377454780.53999996</v>
      </c>
      <c r="E26" s="1003">
        <f>VLOOKUP(A26,Virssaistības_progress!A:H,8,0)</f>
        <v>38871547</v>
      </c>
      <c r="F26" s="994">
        <f>VLOOKUP(A26,Virssaistības_progress!A:Y,25,0)</f>
        <v>18896234</v>
      </c>
      <c r="G26" s="994">
        <f>VLOOKUP(A26,Virssaistības_progress!A:S,19,0)</f>
        <v>7670779.3000000007</v>
      </c>
      <c r="H26" s="994">
        <f t="shared" si="1"/>
        <v>11225454.699999999</v>
      </c>
      <c r="I26" s="994">
        <v>10035802</v>
      </c>
      <c r="J26" s="994">
        <v>14158626</v>
      </c>
      <c r="K26" s="1020">
        <f t="shared" si="0"/>
        <v>0.3642413820062268</v>
      </c>
      <c r="L26" s="1017"/>
    </row>
    <row r="27" spans="1:12" s="97" customFormat="1" ht="33">
      <c r="A27" s="19" t="s">
        <v>95</v>
      </c>
      <c r="B27" s="20" t="s">
        <v>560</v>
      </c>
      <c r="C27" s="21" t="s">
        <v>55</v>
      </c>
      <c r="D27" s="23">
        <f>VLOOKUP(Prioritasu_dalijums!A27,Virssaistības_progress!A:E,5,0)</f>
        <v>382433257.82999998</v>
      </c>
      <c r="E27" s="18">
        <f>VLOOKUP(A27,Virssaistības_progress!A:H,8,0)</f>
        <v>30966017</v>
      </c>
      <c r="F27" s="23">
        <f>VLOOKUP(A27,Virssaistības_progress!A:Y,25,0)</f>
        <v>29886922</v>
      </c>
      <c r="G27" s="23">
        <f>VLOOKUP(A27,Virssaistības_progress!A:S,19,0)</f>
        <v>2590416.7599999998</v>
      </c>
      <c r="H27" s="23">
        <f t="shared" si="1"/>
        <v>27296505.240000002</v>
      </c>
      <c r="I27" s="23">
        <v>4456465</v>
      </c>
      <c r="J27" s="23">
        <v>1588312</v>
      </c>
      <c r="K27" s="1018">
        <f t="shared" si="0"/>
        <v>5.1292098689992967E-2</v>
      </c>
      <c r="L27" s="23" t="s">
        <v>1422</v>
      </c>
    </row>
    <row r="28" spans="1:12" s="97" customFormat="1" ht="33">
      <c r="A28" s="19" t="s">
        <v>202</v>
      </c>
      <c r="B28" s="20" t="s">
        <v>576</v>
      </c>
      <c r="C28" s="21" t="s">
        <v>142</v>
      </c>
      <c r="D28" s="23">
        <f>VLOOKUP(Prioritasu_dalijums!A28,Virssaistības_progress!A:E,5,0)</f>
        <v>653601744.07000005</v>
      </c>
      <c r="E28" s="18">
        <f>VLOOKUP(A28,Virssaistības_progress!A:H,8,0)</f>
        <v>31087535</v>
      </c>
      <c r="F28" s="23">
        <f>VLOOKUP(A28,Virssaistības_progress!A:Y,25,0)</f>
        <v>27735190</v>
      </c>
      <c r="G28" s="23">
        <f>VLOOKUP(A28,Virssaistības_progress!A:S,19,0)</f>
        <v>2763337.4699999997</v>
      </c>
      <c r="H28" s="23">
        <f t="shared" si="1"/>
        <v>24971852.530000001</v>
      </c>
      <c r="I28" s="23">
        <v>2763337</v>
      </c>
      <c r="J28" s="23">
        <v>6015415</v>
      </c>
      <c r="K28" s="1018">
        <f t="shared" si="0"/>
        <v>0.19349925942986473</v>
      </c>
      <c r="L28" s="988"/>
    </row>
    <row r="29" spans="1:12" s="97" customFormat="1" ht="33">
      <c r="A29" s="19" t="s">
        <v>110</v>
      </c>
      <c r="B29" s="20" t="s">
        <v>633</v>
      </c>
      <c r="C29" s="21" t="s">
        <v>55</v>
      </c>
      <c r="D29" s="23">
        <f>VLOOKUP(Prioritasu_dalijums!A29,Virssaistības_progress!A:E,5,0)</f>
        <v>238915120.44</v>
      </c>
      <c r="E29" s="18">
        <f>VLOOKUP(A29,Virssaistības_progress!A:H,8,0)</f>
        <v>29242015</v>
      </c>
      <c r="F29" s="23">
        <f>VLOOKUP(A29,Virssaistības_progress!A:Y,25,0)</f>
        <v>19305417.990000002</v>
      </c>
      <c r="G29" s="23">
        <f>VLOOKUP(A29,Virssaistības_progress!A:S,19,0)</f>
        <v>11816787.989999998</v>
      </c>
      <c r="H29" s="23">
        <f t="shared" si="1"/>
        <v>7488630.0000000037</v>
      </c>
      <c r="I29" s="23">
        <v>18490414</v>
      </c>
      <c r="J29" s="23">
        <v>22757791</v>
      </c>
      <c r="K29" s="1018">
        <f t="shared" si="0"/>
        <v>0.77825659415057413</v>
      </c>
      <c r="L29" s="988"/>
    </row>
    <row r="30" spans="1:12" s="97" customFormat="1" ht="33">
      <c r="A30" s="19" t="s">
        <v>122</v>
      </c>
      <c r="B30" s="20" t="s">
        <v>600</v>
      </c>
      <c r="C30" s="21" t="s">
        <v>142</v>
      </c>
      <c r="D30" s="23">
        <f>VLOOKUP(Prioritasu_dalijums!A30,Virssaistības_progress!A:E,5,0)</f>
        <v>485857473.47999996</v>
      </c>
      <c r="E30" s="18">
        <f>VLOOKUP(A30,Virssaistības_progress!A:H,8,0)</f>
        <v>3879949</v>
      </c>
      <c r="F30" s="23">
        <f>VLOOKUP(A30,Virssaistības_progress!A:Y,25,0)</f>
        <v>0</v>
      </c>
      <c r="G30" s="23">
        <f>VLOOKUP(A30,Virssaistības_progress!A:S,19,0)</f>
        <v>7018611.6199999992</v>
      </c>
      <c r="H30" s="23">
        <v>0</v>
      </c>
      <c r="I30" s="23">
        <v>7602027</v>
      </c>
      <c r="J30" s="23">
        <v>8634096</v>
      </c>
      <c r="K30" s="1018">
        <f t="shared" si="0"/>
        <v>2.2253117244582339</v>
      </c>
      <c r="L30" s="988"/>
    </row>
    <row r="31" spans="1:12" s="97" customFormat="1" ht="16.5">
      <c r="A31" s="19" t="s">
        <v>128</v>
      </c>
      <c r="B31" s="20" t="s">
        <v>616</v>
      </c>
      <c r="C31" s="21" t="s">
        <v>55</v>
      </c>
      <c r="D31" s="23">
        <f>VLOOKUP(Prioritasu_dalijums!A31,Virssaistības_progress!A:E,5,0)</f>
        <v>192923990.01999998</v>
      </c>
      <c r="E31" s="18">
        <f>VLOOKUP(A31,Virssaistības_progress!A:H,8,0)</f>
        <v>50787563</v>
      </c>
      <c r="F31" s="23">
        <f>VLOOKUP(A31,Virssaistības_progress!A:Y,25,0)</f>
        <v>40500269</v>
      </c>
      <c r="G31" s="23">
        <f>VLOOKUP(A31,Virssaistības_progress!A:S,19,0)</f>
        <v>3151441.8899999997</v>
      </c>
      <c r="H31" s="23">
        <f t="shared" si="1"/>
        <v>37348827.109999999</v>
      </c>
      <c r="I31" s="23">
        <v>9401327</v>
      </c>
      <c r="J31" s="23">
        <v>13005997</v>
      </c>
      <c r="K31" s="1018">
        <f t="shared" si="0"/>
        <v>0.2560862587559084</v>
      </c>
      <c r="L31" s="988"/>
    </row>
    <row r="32" spans="1:12" s="97" customFormat="1" ht="16.5">
      <c r="A32" s="19" t="s">
        <v>192</v>
      </c>
      <c r="B32" s="20" t="s">
        <v>621</v>
      </c>
      <c r="C32" s="21" t="s">
        <v>55</v>
      </c>
      <c r="D32" s="23">
        <f>VLOOKUP(Prioritasu_dalijums!A32,Virssaistības_progress!A:E,5,0)</f>
        <v>40488570.07</v>
      </c>
      <c r="E32" s="18">
        <f>VLOOKUP(A32,Virssaistības_progress!A:H,8,0)</f>
        <v>0</v>
      </c>
      <c r="F32" s="23">
        <f>VLOOKUP(A32,Virssaistības_progress!A:Y,25,0)</f>
        <v>0</v>
      </c>
      <c r="G32" s="23">
        <f>VLOOKUP(A32,Virssaistības_progress!A:S,19,0)</f>
        <v>1544.7799999999988</v>
      </c>
      <c r="H32" s="23">
        <v>0</v>
      </c>
      <c r="I32" s="23">
        <v>29535.199399999998</v>
      </c>
      <c r="J32" s="23">
        <v>0</v>
      </c>
      <c r="K32" s="1018">
        <v>0</v>
      </c>
      <c r="L32" s="23" t="s">
        <v>1397</v>
      </c>
    </row>
    <row r="33" spans="1:12" s="97" customFormat="1" ht="16.5">
      <c r="A33" s="19" t="s">
        <v>194</v>
      </c>
      <c r="B33" s="20" t="s">
        <v>623</v>
      </c>
      <c r="C33" s="21" t="s">
        <v>142</v>
      </c>
      <c r="D33" s="23">
        <f>VLOOKUP(Prioritasu_dalijums!A33,Virssaistības_progress!A:E,5,0)</f>
        <v>8574208.8000000007</v>
      </c>
      <c r="E33" s="18">
        <f>VLOOKUP(A33,Virssaistības_progress!A:H,8,0)</f>
        <v>0</v>
      </c>
      <c r="F33" s="23">
        <f>VLOOKUP(A33,Virssaistības_progress!A:Y,25,0)</f>
        <v>0</v>
      </c>
      <c r="G33" s="23">
        <f>VLOOKUP(A33,Virssaistības_progress!A:S,19,0)</f>
        <v>204.93000000000029</v>
      </c>
      <c r="H33" s="23">
        <v>0</v>
      </c>
      <c r="I33" s="23">
        <v>10768.151280000002</v>
      </c>
      <c r="J33" s="23">
        <v>0</v>
      </c>
      <c r="K33" s="1018">
        <v>0</v>
      </c>
      <c r="L33" s="23" t="s">
        <v>1397</v>
      </c>
    </row>
    <row r="34" spans="1:12" ht="15">
      <c r="A34" s="970"/>
      <c r="B34" s="970"/>
      <c r="C34" s="970"/>
    </row>
  </sheetData>
  <protectedRanges>
    <protectedRange sqref="A35:XFD189" name="footnote_1"/>
    <protectedRange sqref="B7:B33" name="Aktivitātes nosaukums_1"/>
  </protectedRanges>
  <autoFilter ref="A15:L33"/>
  <mergeCells count="5">
    <mergeCell ref="A1:L1"/>
    <mergeCell ref="L22:L24"/>
    <mergeCell ref="J22:J24"/>
    <mergeCell ref="K4:K5"/>
    <mergeCell ref="K22:K25"/>
  </mergeCells>
  <pageMargins left="0.70866141732283472" right="0.70866141732283472" top="0.74803149606299213" bottom="0.74803149606299213" header="0.31496062992125984" footer="0.31496062992125984"/>
  <pageSetup paperSize="9" scale="49"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74"/>
  <sheetViews>
    <sheetView zoomScale="85" zoomScaleNormal="85" workbookViewId="0">
      <selection activeCell="E20" sqref="E19:E20"/>
    </sheetView>
  </sheetViews>
  <sheetFormatPr defaultRowHeight="17.25" outlineLevelCol="1"/>
  <cols>
    <col min="1" max="1" width="13" style="4" customWidth="1"/>
    <col min="2" max="2" width="34.5703125" style="24" customWidth="1"/>
    <col min="3" max="3" width="21" style="4" customWidth="1"/>
    <col min="4" max="4" width="13" customWidth="1"/>
    <col min="5" max="5" width="19.140625" style="97" customWidth="1"/>
    <col min="6" max="7" width="19.140625" style="120" hidden="1" customWidth="1" outlineLevel="1"/>
    <col min="8" max="8" width="19.140625" style="97" hidden="1" customWidth="1" collapsed="1"/>
    <col min="9" max="12" width="19.140625" style="120" hidden="1" customWidth="1" outlineLevel="1"/>
    <col min="13" max="13" width="19.140625" style="104" hidden="1" customWidth="1" collapsed="1"/>
    <col min="14" max="14" width="19.140625" hidden="1" customWidth="1" outlineLevel="1"/>
    <col min="15" max="15" width="19.140625" style="120" hidden="1" customWidth="1" outlineLevel="1"/>
    <col min="16" max="16" width="19.140625" style="104" hidden="1" customWidth="1" collapsed="1"/>
    <col min="17" max="17" width="19.140625" style="104" hidden="1" customWidth="1"/>
    <col min="18" max="19" width="19.140625" hidden="1" customWidth="1"/>
    <col min="20" max="20" width="19.140625" style="120" hidden="1" customWidth="1"/>
    <col min="21" max="25" width="19.140625" hidden="1" customWidth="1"/>
    <col min="26" max="27" width="19.140625" customWidth="1"/>
    <col min="28" max="28" width="19.140625" customWidth="1" collapsed="1"/>
    <col min="29" max="33" width="15.28515625" customWidth="1"/>
  </cols>
  <sheetData>
    <row r="1" spans="1:29" ht="24" customHeight="1">
      <c r="A1" s="253" t="s">
        <v>737</v>
      </c>
      <c r="B1" s="253"/>
      <c r="C1" s="253"/>
      <c r="D1" s="253"/>
      <c r="E1" s="258"/>
      <c r="F1" s="253"/>
      <c r="G1" s="253"/>
      <c r="H1" s="258"/>
      <c r="I1" s="263"/>
      <c r="J1" s="253"/>
      <c r="K1" s="253"/>
      <c r="L1" s="253"/>
      <c r="M1" s="253"/>
      <c r="N1" s="253"/>
      <c r="O1" s="253"/>
      <c r="P1" s="253"/>
      <c r="Q1" s="253"/>
      <c r="R1" s="253"/>
      <c r="S1" s="253"/>
      <c r="T1" s="263"/>
      <c r="U1" s="253"/>
      <c r="V1" s="253"/>
      <c r="W1" s="253"/>
      <c r="X1" s="253"/>
      <c r="Y1" s="253"/>
      <c r="Z1" s="253"/>
      <c r="AA1" s="253"/>
      <c r="AB1" s="30"/>
    </row>
    <row r="2" spans="1:29" ht="20.25">
      <c r="A2" s="254" t="s">
        <v>747</v>
      </c>
      <c r="B2" s="255"/>
      <c r="C2" s="255"/>
      <c r="D2" s="255"/>
      <c r="E2" s="259"/>
      <c r="F2" s="255"/>
      <c r="G2" s="255"/>
      <c r="H2" s="259"/>
      <c r="I2" s="264"/>
      <c r="J2" s="255"/>
      <c r="K2" s="255"/>
      <c r="L2" s="255"/>
      <c r="M2" s="255"/>
      <c r="N2" s="255"/>
      <c r="O2" s="255"/>
      <c r="P2" s="255"/>
      <c r="Q2" s="255"/>
      <c r="R2" s="255"/>
      <c r="S2" s="255"/>
      <c r="T2" s="264"/>
      <c r="U2" s="255"/>
      <c r="V2" s="255"/>
      <c r="W2" s="255"/>
      <c r="X2" s="255"/>
      <c r="Y2" s="255"/>
      <c r="Z2" s="255"/>
      <c r="AA2" s="255"/>
      <c r="AB2" s="31"/>
    </row>
    <row r="3" spans="1:29" ht="15.75" customHeight="1" thickBot="1">
      <c r="A3" s="59"/>
      <c r="B3" s="60"/>
      <c r="C3" s="59"/>
      <c r="D3" s="40"/>
      <c r="E3" s="275"/>
      <c r="F3" s="105"/>
      <c r="G3" s="105"/>
      <c r="H3" s="98"/>
      <c r="I3" s="105"/>
      <c r="J3" s="105"/>
      <c r="K3" s="105"/>
      <c r="L3" s="105"/>
      <c r="M3" s="103"/>
      <c r="N3" s="72"/>
      <c r="O3" s="122"/>
      <c r="P3" s="103"/>
      <c r="Q3" s="103"/>
      <c r="R3" s="72"/>
      <c r="S3" s="72"/>
      <c r="T3" s="122"/>
      <c r="U3" s="40"/>
      <c r="V3" s="72"/>
      <c r="W3" s="40"/>
      <c r="X3" s="72"/>
      <c r="Y3" s="40"/>
      <c r="Z3" s="72"/>
      <c r="AA3" s="72"/>
      <c r="AC3" s="100"/>
    </row>
    <row r="4" spans="1:29" s="40" customFormat="1" ht="171" thickTop="1">
      <c r="A4" s="5" t="s">
        <v>631</v>
      </c>
      <c r="B4" s="6" t="s">
        <v>394</v>
      </c>
      <c r="C4" s="78" t="s">
        <v>395</v>
      </c>
      <c r="D4" s="78" t="s">
        <v>211</v>
      </c>
      <c r="E4" s="265" t="s">
        <v>666</v>
      </c>
      <c r="F4" s="106" t="s">
        <v>392</v>
      </c>
      <c r="G4" s="106" t="s">
        <v>634</v>
      </c>
      <c r="H4" s="78" t="s">
        <v>665</v>
      </c>
      <c r="I4" s="106" t="s">
        <v>832</v>
      </c>
      <c r="J4" s="106" t="s">
        <v>748</v>
      </c>
      <c r="K4" s="106" t="s">
        <v>749</v>
      </c>
      <c r="L4" s="106" t="s">
        <v>750</v>
      </c>
      <c r="M4" s="78" t="s">
        <v>829</v>
      </c>
      <c r="N4" s="46" t="s">
        <v>663</v>
      </c>
      <c r="O4" s="106" t="s">
        <v>664</v>
      </c>
      <c r="P4" s="78" t="s">
        <v>830</v>
      </c>
      <c r="Q4" s="78" t="s">
        <v>738</v>
      </c>
      <c r="R4" s="78" t="s">
        <v>739</v>
      </c>
      <c r="S4" s="78" t="s">
        <v>740</v>
      </c>
      <c r="T4" s="106" t="s">
        <v>730</v>
      </c>
      <c r="U4" s="78" t="s">
        <v>741</v>
      </c>
      <c r="V4" s="78" t="s">
        <v>742</v>
      </c>
      <c r="W4" s="78" t="s">
        <v>743</v>
      </c>
      <c r="X4" s="78" t="s">
        <v>744</v>
      </c>
      <c r="Y4" s="78" t="s">
        <v>745</v>
      </c>
      <c r="Z4" s="78" t="s">
        <v>746</v>
      </c>
      <c r="AA4" s="78" t="s">
        <v>722</v>
      </c>
      <c r="AB4" s="78" t="s">
        <v>711</v>
      </c>
    </row>
    <row r="5" spans="1:29" s="40" customFormat="1" ht="16.5" customHeight="1">
      <c r="A5" s="7"/>
      <c r="B5" s="8"/>
      <c r="C5" s="79"/>
      <c r="D5" s="79"/>
      <c r="E5" s="96"/>
      <c r="F5" s="107"/>
      <c r="G5" s="107"/>
      <c r="H5" s="96"/>
      <c r="I5" s="107"/>
      <c r="J5" s="107"/>
      <c r="K5" s="107"/>
      <c r="L5" s="107"/>
      <c r="M5" s="79"/>
      <c r="N5" s="47"/>
      <c r="O5" s="107"/>
      <c r="P5" s="79"/>
      <c r="Q5" s="79"/>
      <c r="R5" s="79"/>
      <c r="S5" s="79"/>
      <c r="T5" s="107"/>
      <c r="U5" s="79"/>
      <c r="V5" s="79"/>
      <c r="W5" s="79"/>
      <c r="X5" s="79"/>
      <c r="Y5" s="79"/>
      <c r="Z5" s="79"/>
      <c r="AA5" s="256"/>
      <c r="AB5" s="1"/>
    </row>
    <row r="6" spans="1:29" s="40" customFormat="1" ht="16.5" customHeight="1">
      <c r="A6" s="9">
        <v>1</v>
      </c>
      <c r="B6" s="1">
        <v>2</v>
      </c>
      <c r="C6" s="1">
        <v>3</v>
      </c>
      <c r="D6" s="1">
        <v>4</v>
      </c>
      <c r="E6" s="266">
        <v>5</v>
      </c>
      <c r="F6" s="108" t="s">
        <v>655</v>
      </c>
      <c r="G6" s="108" t="s">
        <v>212</v>
      </c>
      <c r="H6" s="1">
        <v>6</v>
      </c>
      <c r="I6" s="108" t="s">
        <v>654</v>
      </c>
      <c r="J6" s="108">
        <v>7</v>
      </c>
      <c r="K6" s="108" t="s">
        <v>149</v>
      </c>
      <c r="L6" s="108" t="s">
        <v>219</v>
      </c>
      <c r="M6" s="1">
        <v>8</v>
      </c>
      <c r="N6" s="48" t="s">
        <v>213</v>
      </c>
      <c r="O6" s="108" t="s">
        <v>214</v>
      </c>
      <c r="P6" s="1" t="s">
        <v>217</v>
      </c>
      <c r="Q6" s="1" t="s">
        <v>218</v>
      </c>
      <c r="R6" s="1" t="s">
        <v>831</v>
      </c>
      <c r="S6" s="1" t="s">
        <v>215</v>
      </c>
      <c r="T6" s="108"/>
      <c r="U6" s="1">
        <v>13</v>
      </c>
      <c r="V6" s="1" t="s">
        <v>216</v>
      </c>
      <c r="W6" s="1" t="s">
        <v>386</v>
      </c>
      <c r="X6" s="1" t="s">
        <v>387</v>
      </c>
      <c r="Y6" s="1" t="s">
        <v>709</v>
      </c>
      <c r="Z6" s="1" t="s">
        <v>731</v>
      </c>
      <c r="AA6" s="1"/>
      <c r="AB6" s="64" t="s">
        <v>710</v>
      </c>
    </row>
    <row r="7" spans="1:29" s="40" customFormat="1" ht="16.5" customHeight="1">
      <c r="A7" s="25"/>
      <c r="B7" s="26" t="s">
        <v>396</v>
      </c>
      <c r="C7" s="27"/>
      <c r="D7" s="27"/>
      <c r="E7" s="267">
        <f t="shared" ref="E7:AA7" si="0">E9+E10+E11</f>
        <v>3377749850.8499994</v>
      </c>
      <c r="F7" s="109"/>
      <c r="G7" s="109">
        <f t="shared" si="0"/>
        <v>7163639</v>
      </c>
      <c r="H7" s="28">
        <f t="shared" si="0"/>
        <v>284321063</v>
      </c>
      <c r="I7" s="109">
        <f t="shared" si="0"/>
        <v>266633999.22998014</v>
      </c>
      <c r="J7" s="109">
        <f t="shared" si="0"/>
        <v>2921590310.8499999</v>
      </c>
      <c r="K7" s="109">
        <f t="shared" si="0"/>
        <v>7735346.9800000004</v>
      </c>
      <c r="L7" s="109">
        <f t="shared" si="0"/>
        <v>72301064.780000001</v>
      </c>
      <c r="M7" s="28">
        <f t="shared" si="0"/>
        <v>80036411.75999999</v>
      </c>
      <c r="N7" s="49">
        <f t="shared" si="0"/>
        <v>469938704.68000001</v>
      </c>
      <c r="O7" s="109">
        <f t="shared" si="0"/>
        <v>754259767.68000007</v>
      </c>
      <c r="P7" s="28">
        <v>60003239</v>
      </c>
      <c r="Q7" s="28">
        <f t="shared" si="0"/>
        <v>108698731.28</v>
      </c>
      <c r="R7" s="28">
        <f t="shared" si="0"/>
        <v>168701970.28000003</v>
      </c>
      <c r="S7" s="28">
        <f t="shared" si="0"/>
        <v>88665558.519999996</v>
      </c>
      <c r="T7" s="109">
        <v>26664025.990000002</v>
      </c>
      <c r="U7" s="28">
        <f t="shared" si="0"/>
        <v>3265716850.8600001</v>
      </c>
      <c r="V7" s="28">
        <f t="shared" si="0"/>
        <v>344126540.01000023</v>
      </c>
      <c r="W7" s="28">
        <f t="shared" si="0"/>
        <v>321467669.1499998</v>
      </c>
      <c r="X7" s="28">
        <f t="shared" si="0"/>
        <v>230733592.18999985</v>
      </c>
      <c r="Y7" s="28">
        <f t="shared" si="0"/>
        <v>432792098.53000027</v>
      </c>
      <c r="Z7" s="28">
        <f t="shared" si="0"/>
        <v>201932730.30000004</v>
      </c>
      <c r="AA7" s="28" t="e">
        <f t="shared" si="0"/>
        <v>#REF!</v>
      </c>
      <c r="AB7" s="65">
        <f>Z7/H7</f>
        <v>0.71022782543550089</v>
      </c>
    </row>
    <row r="8" spans="1:29" s="40" customFormat="1" ht="16.5" customHeight="1">
      <c r="A8" s="3"/>
      <c r="B8" s="3"/>
      <c r="C8" s="1"/>
      <c r="D8" s="1"/>
      <c r="E8" s="276"/>
      <c r="F8" s="110"/>
      <c r="G8" s="110"/>
      <c r="H8" s="101"/>
      <c r="I8" s="110"/>
      <c r="J8" s="110"/>
      <c r="K8" s="110"/>
      <c r="L8" s="110"/>
      <c r="M8" s="2"/>
      <c r="N8" s="50"/>
      <c r="O8" s="110"/>
      <c r="P8" s="2"/>
      <c r="Q8" s="2"/>
      <c r="R8" s="2"/>
      <c r="S8" s="2"/>
      <c r="T8" s="110"/>
      <c r="U8" s="2"/>
      <c r="V8" s="2"/>
      <c r="W8" s="2"/>
      <c r="X8" s="2"/>
      <c r="Y8" s="2"/>
      <c r="Z8" s="2"/>
      <c r="AA8" s="2"/>
      <c r="AB8" s="66"/>
    </row>
    <row r="9" spans="1:29" s="40" customFormat="1" ht="16.5" customHeight="1">
      <c r="A9" s="25"/>
      <c r="B9" s="26" t="s">
        <v>397</v>
      </c>
      <c r="C9" s="27"/>
      <c r="D9" s="27"/>
      <c r="E9" s="268">
        <f t="shared" ref="E9:AA9" si="1">E13</f>
        <v>459322460.71999997</v>
      </c>
      <c r="F9" s="111"/>
      <c r="G9" s="111">
        <f t="shared" si="1"/>
        <v>7163639</v>
      </c>
      <c r="H9" s="29">
        <f t="shared" si="1"/>
        <v>52671887</v>
      </c>
      <c r="I9" s="111">
        <f t="shared" si="1"/>
        <v>43630247.27914504</v>
      </c>
      <c r="J9" s="111">
        <f t="shared" si="1"/>
        <v>451693994.00000006</v>
      </c>
      <c r="K9" s="111">
        <f t="shared" si="1"/>
        <v>1317677.03</v>
      </c>
      <c r="L9" s="111">
        <f t="shared" si="1"/>
        <v>4252286.82</v>
      </c>
      <c r="M9" s="29">
        <f t="shared" si="1"/>
        <v>5569963.8499999996</v>
      </c>
      <c r="N9" s="51">
        <f t="shared" si="1"/>
        <v>14792105.719999978</v>
      </c>
      <c r="O9" s="111">
        <f t="shared" si="1"/>
        <v>67463992.719999969</v>
      </c>
      <c r="P9" s="29">
        <v>5947210</v>
      </c>
      <c r="Q9" s="29">
        <f t="shared" si="1"/>
        <v>4552463.66</v>
      </c>
      <c r="R9" s="29">
        <f t="shared" si="1"/>
        <v>10499673.66</v>
      </c>
      <c r="S9" s="29">
        <f t="shared" si="1"/>
        <v>4929709.8100000005</v>
      </c>
      <c r="T9" s="111">
        <v>541561.60000000009</v>
      </c>
      <c r="U9" s="29">
        <f t="shared" si="1"/>
        <v>498739096.25</v>
      </c>
      <c r="V9" s="29">
        <f t="shared" si="1"/>
        <v>47045102.249999978</v>
      </c>
      <c r="W9" s="29">
        <f t="shared" si="1"/>
        <v>15489180.659999996</v>
      </c>
      <c r="X9" s="29">
        <f t="shared" si="1"/>
        <v>3675074.61</v>
      </c>
      <c r="Y9" s="29">
        <f t="shared" si="1"/>
        <v>51974812.059999973</v>
      </c>
      <c r="Z9" s="90">
        <f t="shared" si="1"/>
        <v>45206628.680000007</v>
      </c>
      <c r="AA9" s="90" t="e">
        <f t="shared" si="1"/>
        <v>#REF!</v>
      </c>
      <c r="AB9" s="91">
        <f>Z9/H9</f>
        <v>0.85826863730931091</v>
      </c>
      <c r="AC9" s="72"/>
    </row>
    <row r="10" spans="1:29" s="40" customFormat="1" ht="16.5" customHeight="1">
      <c r="A10" s="25"/>
      <c r="B10" s="26" t="s">
        <v>398</v>
      </c>
      <c r="C10" s="27"/>
      <c r="D10" s="27"/>
      <c r="E10" s="268">
        <f t="shared" ref="E10:AA10" si="2">E14+E153</f>
        <v>1770393963.7799997</v>
      </c>
      <c r="F10" s="111"/>
      <c r="G10" s="111">
        <f t="shared" si="2"/>
        <v>0</v>
      </c>
      <c r="H10" s="29">
        <f t="shared" si="2"/>
        <v>196681692</v>
      </c>
      <c r="I10" s="111">
        <f t="shared" si="2"/>
        <v>192744081.15964395</v>
      </c>
      <c r="J10" s="111">
        <f t="shared" si="2"/>
        <v>1458735305.48</v>
      </c>
      <c r="K10" s="111">
        <f t="shared" si="2"/>
        <v>5972727.8300000001</v>
      </c>
      <c r="L10" s="111">
        <f t="shared" si="2"/>
        <v>65003777.959999993</v>
      </c>
      <c r="M10" s="29">
        <f t="shared" si="2"/>
        <v>70976505.789999992</v>
      </c>
      <c r="N10" s="51">
        <f>N14+N153</f>
        <v>318274183.9799999</v>
      </c>
      <c r="O10" s="111">
        <f t="shared" si="2"/>
        <v>514955875.97999996</v>
      </c>
      <c r="P10" s="29">
        <v>49385150</v>
      </c>
      <c r="Q10" s="29">
        <f t="shared" si="2"/>
        <v>95545050.480000004</v>
      </c>
      <c r="R10" s="29">
        <f t="shared" si="2"/>
        <v>144930200.48000002</v>
      </c>
      <c r="S10" s="29">
        <f t="shared" si="2"/>
        <v>73953694.689999998</v>
      </c>
      <c r="T10" s="111">
        <v>20652775.800000001</v>
      </c>
      <c r="U10" s="29">
        <f t="shared" si="2"/>
        <v>1746250841.8900001</v>
      </c>
      <c r="V10" s="29">
        <f t="shared" si="2"/>
        <v>287515536.41000003</v>
      </c>
      <c r="W10" s="29">
        <f t="shared" si="2"/>
        <v>153486644.87999985</v>
      </c>
      <c r="X10" s="29">
        <f t="shared" si="2"/>
        <v>86781003.579999879</v>
      </c>
      <c r="Y10" s="29">
        <f t="shared" si="2"/>
        <v>361469231.10000014</v>
      </c>
      <c r="Z10" s="90">
        <f t="shared" si="2"/>
        <v>134159049.42000003</v>
      </c>
      <c r="AA10" s="90" t="e">
        <f t="shared" si="2"/>
        <v>#REF!</v>
      </c>
      <c r="AB10" s="91">
        <f>Z10/H10</f>
        <v>0.68211254466938398</v>
      </c>
      <c r="AC10" s="72"/>
    </row>
    <row r="11" spans="1:29" s="40" customFormat="1" ht="16.5" customHeight="1">
      <c r="A11" s="25"/>
      <c r="B11" s="26" t="s">
        <v>399</v>
      </c>
      <c r="C11" s="27"/>
      <c r="D11" s="27"/>
      <c r="E11" s="268">
        <f t="shared" ref="E11:AA11" si="3">E154</f>
        <v>1148033426.3499999</v>
      </c>
      <c r="F11" s="111"/>
      <c r="G11" s="111">
        <f t="shared" si="3"/>
        <v>0</v>
      </c>
      <c r="H11" s="29">
        <f t="shared" si="3"/>
        <v>34967484</v>
      </c>
      <c r="I11" s="111">
        <f t="shared" si="3"/>
        <v>30259670.791191168</v>
      </c>
      <c r="J11" s="111">
        <f t="shared" si="3"/>
        <v>1011161011.3699999</v>
      </c>
      <c r="K11" s="111">
        <f t="shared" si="3"/>
        <v>444942.12000000005</v>
      </c>
      <c r="L11" s="111">
        <f t="shared" si="3"/>
        <v>3045000</v>
      </c>
      <c r="M11" s="29">
        <f t="shared" si="3"/>
        <v>3489942.1199999996</v>
      </c>
      <c r="N11" s="51">
        <f t="shared" si="3"/>
        <v>136872414.98000014</v>
      </c>
      <c r="O11" s="111">
        <f>O154</f>
        <v>171839898.98000014</v>
      </c>
      <c r="P11" s="29">
        <v>4670879</v>
      </c>
      <c r="Q11" s="29">
        <f t="shared" si="3"/>
        <v>8601217.1400000006</v>
      </c>
      <c r="R11" s="29">
        <f t="shared" si="3"/>
        <v>13272096.140000001</v>
      </c>
      <c r="S11" s="29">
        <f t="shared" si="3"/>
        <v>9782154.0199999996</v>
      </c>
      <c r="T11" s="111">
        <v>5469688.5899999999</v>
      </c>
      <c r="U11" s="29">
        <f t="shared" si="3"/>
        <v>1020726912.7199999</v>
      </c>
      <c r="V11" s="29">
        <f t="shared" si="3"/>
        <v>9565901.3500001766</v>
      </c>
      <c r="W11" s="29">
        <f t="shared" si="3"/>
        <v>152491843.60999995</v>
      </c>
      <c r="X11" s="29">
        <f t="shared" si="3"/>
        <v>140277513.99999997</v>
      </c>
      <c r="Y11" s="29">
        <f t="shared" si="3"/>
        <v>19348055.370000184</v>
      </c>
      <c r="Z11" s="90">
        <f t="shared" si="3"/>
        <v>22567052.200000007</v>
      </c>
      <c r="AA11" s="90" t="e">
        <f t="shared" si="3"/>
        <v>#REF!</v>
      </c>
      <c r="AB11" s="91">
        <f>Z11/H11</f>
        <v>0.64537248948194292</v>
      </c>
      <c r="AC11" s="72"/>
    </row>
    <row r="12" spans="1:29" s="40" customFormat="1" ht="16.5" customHeight="1">
      <c r="A12" s="3"/>
      <c r="B12" s="3"/>
      <c r="C12" s="1"/>
      <c r="D12" s="1"/>
      <c r="E12" s="276"/>
      <c r="F12" s="110"/>
      <c r="G12" s="110"/>
      <c r="H12" s="102" t="s">
        <v>671</v>
      </c>
      <c r="I12" s="110"/>
      <c r="J12" s="110"/>
      <c r="K12" s="110"/>
      <c r="L12" s="110"/>
      <c r="M12" s="2"/>
      <c r="N12" s="50"/>
      <c r="O12" s="110"/>
      <c r="P12" s="2"/>
      <c r="Q12" s="2"/>
      <c r="R12" s="2"/>
      <c r="S12" s="2"/>
      <c r="T12" s="110"/>
      <c r="U12" s="2"/>
      <c r="V12" s="2"/>
      <c r="W12" s="2"/>
      <c r="X12" s="2"/>
      <c r="Y12" s="2"/>
      <c r="Z12" s="2"/>
      <c r="AA12" s="2"/>
      <c r="AB12" s="66"/>
    </row>
    <row r="13" spans="1:29" s="40" customFormat="1" ht="16.5" customHeight="1">
      <c r="A13" s="25"/>
      <c r="B13" s="26" t="s">
        <v>400</v>
      </c>
      <c r="C13" s="27"/>
      <c r="D13" s="29"/>
      <c r="E13" s="268">
        <f t="shared" ref="E13:Y13" si="4">E16</f>
        <v>459322460.71999997</v>
      </c>
      <c r="F13" s="111"/>
      <c r="G13" s="111">
        <f t="shared" si="4"/>
        <v>7163639</v>
      </c>
      <c r="H13" s="29">
        <f t="shared" si="4"/>
        <v>52671887</v>
      </c>
      <c r="I13" s="111">
        <f t="shared" si="4"/>
        <v>43630247.27914504</v>
      </c>
      <c r="J13" s="111">
        <f t="shared" si="4"/>
        <v>451693994.00000006</v>
      </c>
      <c r="K13" s="111">
        <f t="shared" si="4"/>
        <v>1317677.03</v>
      </c>
      <c r="L13" s="111">
        <f t="shared" si="4"/>
        <v>4252286.82</v>
      </c>
      <c r="M13" s="29">
        <f t="shared" si="4"/>
        <v>5569963.8499999996</v>
      </c>
      <c r="N13" s="51">
        <f t="shared" si="4"/>
        <v>14792105.719999978</v>
      </c>
      <c r="O13" s="111">
        <f t="shared" si="4"/>
        <v>67463992.719999969</v>
      </c>
      <c r="P13" s="29">
        <v>5947210</v>
      </c>
      <c r="Q13" s="29">
        <f t="shared" si="4"/>
        <v>4552463.66</v>
      </c>
      <c r="R13" s="29">
        <f t="shared" si="4"/>
        <v>10499673.66</v>
      </c>
      <c r="S13" s="29">
        <f t="shared" si="4"/>
        <v>4929709.8100000005</v>
      </c>
      <c r="T13" s="111">
        <v>541561.60000000009</v>
      </c>
      <c r="U13" s="29">
        <f t="shared" si="4"/>
        <v>498739096.25</v>
      </c>
      <c r="V13" s="29">
        <f t="shared" si="4"/>
        <v>47045102.249999978</v>
      </c>
      <c r="W13" s="29">
        <f t="shared" si="4"/>
        <v>15489180.659999996</v>
      </c>
      <c r="X13" s="29">
        <f t="shared" si="4"/>
        <v>3675074.61</v>
      </c>
      <c r="Y13" s="29">
        <f t="shared" si="4"/>
        <v>51974812.059999973</v>
      </c>
      <c r="Z13" s="90">
        <f>Z16</f>
        <v>45206628.680000007</v>
      </c>
      <c r="AA13" s="90" t="e">
        <f t="shared" ref="AA13" si="5">AA16</f>
        <v>#REF!</v>
      </c>
      <c r="AB13" s="91">
        <f t="shared" ref="AB13:AB76" si="6">Z13/H13</f>
        <v>0.85826863730931091</v>
      </c>
      <c r="AC13" s="72"/>
    </row>
    <row r="14" spans="1:29" s="40" customFormat="1" ht="16.5" customHeight="1">
      <c r="A14" s="25"/>
      <c r="B14" s="26" t="s">
        <v>401</v>
      </c>
      <c r="C14" s="27"/>
      <c r="D14" s="29"/>
      <c r="E14" s="268">
        <f t="shared" ref="E14:AA14" si="7">E107</f>
        <v>538178244.88</v>
      </c>
      <c r="F14" s="111"/>
      <c r="G14" s="111">
        <f t="shared" si="7"/>
        <v>0</v>
      </c>
      <c r="H14" s="29">
        <f t="shared" si="7"/>
        <v>46814550</v>
      </c>
      <c r="I14" s="111">
        <f t="shared" si="7"/>
        <v>46814405.118455425</v>
      </c>
      <c r="J14" s="111">
        <f t="shared" si="7"/>
        <v>449619275</v>
      </c>
      <c r="K14" s="111">
        <f t="shared" si="7"/>
        <v>1531874.9100000001</v>
      </c>
      <c r="L14" s="111">
        <f t="shared" si="7"/>
        <v>43649918.289999992</v>
      </c>
      <c r="M14" s="29">
        <f t="shared" si="7"/>
        <v>45181793.200000003</v>
      </c>
      <c r="N14" s="51">
        <f t="shared" si="7"/>
        <v>95174495.559999973</v>
      </c>
      <c r="O14" s="111">
        <f t="shared" si="7"/>
        <v>141989045.56</v>
      </c>
      <c r="P14" s="29">
        <v>26042615</v>
      </c>
      <c r="Q14" s="29">
        <f t="shared" si="7"/>
        <v>67861902.170000002</v>
      </c>
      <c r="R14" s="29">
        <f t="shared" si="7"/>
        <v>93904517.170000002</v>
      </c>
      <c r="S14" s="29">
        <f t="shared" si="7"/>
        <v>48722723.969999999</v>
      </c>
      <c r="T14" s="111">
        <v>14547739.500000002</v>
      </c>
      <c r="U14" s="29">
        <f t="shared" si="7"/>
        <v>452697626.89000005</v>
      </c>
      <c r="V14" s="29">
        <f t="shared" si="7"/>
        <v>3078351.8899999894</v>
      </c>
      <c r="W14" s="29">
        <f t="shared" si="7"/>
        <v>90187969.699999988</v>
      </c>
      <c r="X14" s="29">
        <f t="shared" si="7"/>
        <v>57341864.539999992</v>
      </c>
      <c r="Y14" s="29">
        <f t="shared" si="7"/>
        <v>51801075.860000014</v>
      </c>
      <c r="Z14" s="90">
        <f t="shared" si="7"/>
        <v>0</v>
      </c>
      <c r="AA14" s="90" t="e">
        <f t="shared" si="7"/>
        <v>#REF!</v>
      </c>
      <c r="AB14" s="91">
        <f t="shared" si="6"/>
        <v>0</v>
      </c>
      <c r="AC14" s="72"/>
    </row>
    <row r="15" spans="1:29" s="40" customFormat="1" ht="16.5" customHeight="1">
      <c r="A15" s="25"/>
      <c r="B15" s="26" t="s">
        <v>402</v>
      </c>
      <c r="C15" s="27"/>
      <c r="D15" s="29"/>
      <c r="E15" s="268">
        <f t="shared" ref="E15:AA15" si="8">E152</f>
        <v>2380249145.25</v>
      </c>
      <c r="F15" s="111"/>
      <c r="G15" s="111">
        <f t="shared" si="8"/>
        <v>0</v>
      </c>
      <c r="H15" s="29">
        <f t="shared" si="8"/>
        <v>184834626</v>
      </c>
      <c r="I15" s="111">
        <f t="shared" si="8"/>
        <v>176189346.83237967</v>
      </c>
      <c r="J15" s="111">
        <f t="shared" si="8"/>
        <v>2020277041.8499999</v>
      </c>
      <c r="K15" s="111">
        <f t="shared" si="8"/>
        <v>4885795.04</v>
      </c>
      <c r="L15" s="111">
        <f t="shared" si="8"/>
        <v>24398859.669999998</v>
      </c>
      <c r="M15" s="29">
        <f t="shared" si="8"/>
        <v>29284654.709999997</v>
      </c>
      <c r="N15" s="51">
        <f t="shared" si="8"/>
        <v>359972103.4000001</v>
      </c>
      <c r="O15" s="111">
        <f t="shared" si="8"/>
        <v>544806729.4000001</v>
      </c>
      <c r="P15" s="29">
        <v>28013414</v>
      </c>
      <c r="Q15" s="29">
        <f t="shared" si="8"/>
        <v>36284365.450000003</v>
      </c>
      <c r="R15" s="29">
        <f>R152</f>
        <v>64297779.450000003</v>
      </c>
      <c r="S15" s="29">
        <f t="shared" si="8"/>
        <v>35013124.739999995</v>
      </c>
      <c r="T15" s="111">
        <v>11574724.890000001</v>
      </c>
      <c r="U15" s="29">
        <f t="shared" si="8"/>
        <v>2314280127.7199998</v>
      </c>
      <c r="V15" s="29">
        <f t="shared" si="8"/>
        <v>294003085.87000024</v>
      </c>
      <c r="W15" s="29">
        <f t="shared" si="8"/>
        <v>215790518.78999981</v>
      </c>
      <c r="X15" s="29">
        <f t="shared" si="8"/>
        <v>169716653.03999984</v>
      </c>
      <c r="Y15" s="29">
        <f t="shared" si="8"/>
        <v>329016210.61000025</v>
      </c>
      <c r="Z15" s="90">
        <f t="shared" si="8"/>
        <v>156726101.62000003</v>
      </c>
      <c r="AA15" s="90" t="e">
        <f t="shared" si="8"/>
        <v>#REF!</v>
      </c>
      <c r="AB15" s="91">
        <f t="shared" si="6"/>
        <v>0.84792608945468928</v>
      </c>
      <c r="AC15" s="72"/>
    </row>
    <row r="16" spans="1:29" s="40" customFormat="1" ht="17.25" customHeight="1">
      <c r="A16" s="10">
        <v>1</v>
      </c>
      <c r="B16" s="11" t="s">
        <v>403</v>
      </c>
      <c r="C16" s="12" t="s">
        <v>0</v>
      </c>
      <c r="D16" s="12" t="s">
        <v>1</v>
      </c>
      <c r="E16" s="273">
        <f t="shared" ref="E16:AA16" si="9">E17+E29+E55+E77+E86+E104</f>
        <v>459322460.71999997</v>
      </c>
      <c r="F16" s="112"/>
      <c r="G16" s="112">
        <f t="shared" si="9"/>
        <v>7163639</v>
      </c>
      <c r="H16" s="260">
        <f t="shared" si="9"/>
        <v>52671887</v>
      </c>
      <c r="I16" s="112">
        <f t="shared" si="9"/>
        <v>43630247.27914504</v>
      </c>
      <c r="J16" s="112">
        <f t="shared" si="9"/>
        <v>451693994.00000006</v>
      </c>
      <c r="K16" s="112">
        <f t="shared" si="9"/>
        <v>1317677.03</v>
      </c>
      <c r="L16" s="112">
        <f t="shared" si="9"/>
        <v>4252286.82</v>
      </c>
      <c r="M16" s="13">
        <f t="shared" si="9"/>
        <v>5569963.8499999996</v>
      </c>
      <c r="N16" s="52">
        <f>N17+N29+N55+N77+N86+N104</f>
        <v>14792105.719999978</v>
      </c>
      <c r="O16" s="112">
        <f t="shared" si="9"/>
        <v>67463992.719999969</v>
      </c>
      <c r="P16" s="13">
        <v>5947210</v>
      </c>
      <c r="Q16" s="13">
        <f t="shared" si="9"/>
        <v>4552463.66</v>
      </c>
      <c r="R16" s="13">
        <f>P16+Q16</f>
        <v>10499673.66</v>
      </c>
      <c r="S16" s="13">
        <f t="shared" si="9"/>
        <v>4929709.8100000005</v>
      </c>
      <c r="T16" s="112">
        <v>541561.60000000009</v>
      </c>
      <c r="U16" s="13">
        <f t="shared" si="9"/>
        <v>498739096.25</v>
      </c>
      <c r="V16" s="13">
        <f t="shared" si="9"/>
        <v>47045102.249999978</v>
      </c>
      <c r="W16" s="13">
        <f t="shared" si="9"/>
        <v>15489180.659999996</v>
      </c>
      <c r="X16" s="13">
        <f t="shared" si="9"/>
        <v>3675074.61</v>
      </c>
      <c r="Y16" s="13">
        <f t="shared" ref="Y16:Y79" si="10">O16-W16</f>
        <v>51974812.059999973</v>
      </c>
      <c r="Z16" s="13">
        <f t="shared" si="9"/>
        <v>45206628.680000007</v>
      </c>
      <c r="AA16" s="13" t="e">
        <f t="shared" si="9"/>
        <v>#REF!</v>
      </c>
      <c r="AB16" s="67">
        <f t="shared" si="6"/>
        <v>0.85826863730931091</v>
      </c>
    </row>
    <row r="17" spans="1:28" s="40" customFormat="1" ht="33">
      <c r="A17" s="14" t="s">
        <v>2</v>
      </c>
      <c r="B17" s="15" t="s">
        <v>404</v>
      </c>
      <c r="C17" s="16" t="s">
        <v>0</v>
      </c>
      <c r="D17" s="16"/>
      <c r="E17" s="270">
        <f t="shared" ref="E17:O17" si="11">E18+E22</f>
        <v>91518201.449999988</v>
      </c>
      <c r="F17" s="113"/>
      <c r="G17" s="113">
        <f t="shared" si="11"/>
        <v>0</v>
      </c>
      <c r="H17" s="261">
        <f t="shared" si="11"/>
        <v>10753421</v>
      </c>
      <c r="I17" s="113">
        <f t="shared" si="11"/>
        <v>9306301.523992246</v>
      </c>
      <c r="J17" s="113">
        <f t="shared" si="11"/>
        <v>85675542</v>
      </c>
      <c r="K17" s="113">
        <f t="shared" si="11"/>
        <v>53029.49</v>
      </c>
      <c r="L17" s="113">
        <f t="shared" si="11"/>
        <v>363547</v>
      </c>
      <c r="M17" s="17">
        <f t="shared" si="11"/>
        <v>416576.49</v>
      </c>
      <c r="N17" s="53">
        <f t="shared" si="11"/>
        <v>5842659.4499999965</v>
      </c>
      <c r="O17" s="113">
        <f t="shared" si="11"/>
        <v>16596080.449999996</v>
      </c>
      <c r="P17" s="17">
        <v>314944</v>
      </c>
      <c r="Q17" s="17">
        <f t="shared" ref="Q17" si="12">Q18+Q22</f>
        <v>363547</v>
      </c>
      <c r="R17" s="17">
        <f>P17+Q17</f>
        <v>678491</v>
      </c>
      <c r="S17" s="17">
        <f t="shared" ref="S17" si="13">S18+S22</f>
        <v>261914.50999999998</v>
      </c>
      <c r="T17" s="113">
        <v>53330.789999999986</v>
      </c>
      <c r="U17" s="17">
        <f t="shared" ref="U17:AA17" si="14">U18+U22</f>
        <v>99967901.760000005</v>
      </c>
      <c r="V17" s="17">
        <f t="shared" si="14"/>
        <v>14292359.760000002</v>
      </c>
      <c r="W17" s="17">
        <f t="shared" si="14"/>
        <v>2041806.179999995</v>
      </c>
      <c r="X17" s="17">
        <f t="shared" si="14"/>
        <v>3970.1899999973248</v>
      </c>
      <c r="Y17" s="17">
        <f t="shared" si="10"/>
        <v>14554274.27</v>
      </c>
      <c r="Z17" s="17">
        <f t="shared" si="14"/>
        <v>8693002.950000003</v>
      </c>
      <c r="AA17" s="17" t="e">
        <f t="shared" si="14"/>
        <v>#REF!</v>
      </c>
      <c r="AB17" s="68">
        <f t="shared" si="6"/>
        <v>0.80839417986146023</v>
      </c>
    </row>
    <row r="18" spans="1:28" s="40" customFormat="1" ht="49.5">
      <c r="A18" s="14" t="s">
        <v>3</v>
      </c>
      <c r="B18" s="15" t="s">
        <v>405</v>
      </c>
      <c r="C18" s="16" t="s">
        <v>0</v>
      </c>
      <c r="D18" s="16"/>
      <c r="E18" s="270">
        <f t="shared" ref="E18:O18" si="15">E19+E20+E21</f>
        <v>45147469.729999997</v>
      </c>
      <c r="F18" s="113"/>
      <c r="G18" s="113">
        <f t="shared" si="15"/>
        <v>0</v>
      </c>
      <c r="H18" s="261">
        <f t="shared" si="15"/>
        <v>10753421</v>
      </c>
      <c r="I18" s="113">
        <f t="shared" si="15"/>
        <v>9306301.523992246</v>
      </c>
      <c r="J18" s="113">
        <f t="shared" si="15"/>
        <v>39314965</v>
      </c>
      <c r="K18" s="113">
        <f t="shared" si="15"/>
        <v>33184.32</v>
      </c>
      <c r="L18" s="113">
        <f t="shared" si="15"/>
        <v>0</v>
      </c>
      <c r="M18" s="17">
        <f t="shared" si="15"/>
        <v>33184.32</v>
      </c>
      <c r="N18" s="53">
        <f t="shared" si="15"/>
        <v>5832504.7299999967</v>
      </c>
      <c r="O18" s="113">
        <f t="shared" si="15"/>
        <v>16585925.729999997</v>
      </c>
      <c r="P18" s="17">
        <v>152258</v>
      </c>
      <c r="Q18" s="17">
        <f t="shared" ref="Q18" si="16">Q19+Q20+Q21</f>
        <v>0</v>
      </c>
      <c r="R18" s="17">
        <f t="shared" ref="R18:R81" si="17">P18+Q18</f>
        <v>152258</v>
      </c>
      <c r="S18" s="17">
        <f t="shared" ref="S18" si="18">S19+S20+S21</f>
        <v>119073.68</v>
      </c>
      <c r="T18" s="113">
        <v>16450</v>
      </c>
      <c r="U18" s="17">
        <f t="shared" ref="U18:AA18" si="19">U19+U20+U21</f>
        <v>53721399</v>
      </c>
      <c r="V18" s="17">
        <f t="shared" si="19"/>
        <v>14406434</v>
      </c>
      <c r="W18" s="17">
        <f t="shared" si="19"/>
        <v>2060418.049999997</v>
      </c>
      <c r="X18" s="17">
        <f t="shared" si="19"/>
        <v>0</v>
      </c>
      <c r="Y18" s="17">
        <f t="shared" si="10"/>
        <v>14525507.68</v>
      </c>
      <c r="Z18" s="17">
        <f t="shared" si="19"/>
        <v>8693002.950000003</v>
      </c>
      <c r="AA18" s="17" t="e">
        <f t="shared" si="19"/>
        <v>#REF!</v>
      </c>
      <c r="AB18" s="68">
        <f t="shared" si="6"/>
        <v>0.80839417986146023</v>
      </c>
    </row>
    <row r="19" spans="1:28" ht="66">
      <c r="A19" s="19" t="s">
        <v>4</v>
      </c>
      <c r="B19" s="20" t="s">
        <v>406</v>
      </c>
      <c r="C19" s="21" t="s">
        <v>0</v>
      </c>
      <c r="D19" s="21" t="s">
        <v>5</v>
      </c>
      <c r="E19" s="271">
        <f>VLOOKUP($A19,publ_fin!$A:$I,8,FALSE)</f>
        <v>0</v>
      </c>
      <c r="F19" s="114">
        <v>0</v>
      </c>
      <c r="G19" s="115"/>
      <c r="H19" s="262">
        <v>0</v>
      </c>
      <c r="I19" s="115">
        <f>F19*H19</f>
        <v>0</v>
      </c>
      <c r="J19" s="117">
        <v>0</v>
      </c>
      <c r="K19" s="117">
        <v>0</v>
      </c>
      <c r="L19" s="117">
        <v>0</v>
      </c>
      <c r="M19" s="23">
        <f>K19+L19</f>
        <v>0</v>
      </c>
      <c r="N19" s="54">
        <f>E19-J19</f>
        <v>0</v>
      </c>
      <c r="O19" s="117">
        <f>H19+N19</f>
        <v>0</v>
      </c>
      <c r="P19" s="23">
        <v>0</v>
      </c>
      <c r="Q19" s="23">
        <f>IFERROR(VLOOKUP(A19,lauzti_līg!A:H,8,FALSE),0)</f>
        <v>0</v>
      </c>
      <c r="R19" s="23">
        <f t="shared" si="17"/>
        <v>0</v>
      </c>
      <c r="S19" s="23">
        <f>R19-M19</f>
        <v>0</v>
      </c>
      <c r="T19" s="117">
        <v>0</v>
      </c>
      <c r="U19" s="23">
        <f>IFERROR(VLOOKUP(A19,Nosl_līg!A:H,8,FALSE),0)</f>
        <v>0</v>
      </c>
      <c r="V19" s="23">
        <f>U19-J19</f>
        <v>0</v>
      </c>
      <c r="W19" s="23">
        <f>O19-S19-V19</f>
        <v>0</v>
      </c>
      <c r="X19" s="23">
        <f>IF(N19&gt;=S19+V19,N19-S19-V19,0)</f>
        <v>0</v>
      </c>
      <c r="Y19" s="23">
        <f t="shared" si="10"/>
        <v>0</v>
      </c>
      <c r="Z19" s="23">
        <f>IF(H19=0,0, IF(U19-E19+R19-M19&lt;0, 0, U19-E19+R19-M19))</f>
        <v>0</v>
      </c>
      <c r="AA19" s="23">
        <v>0</v>
      </c>
      <c r="AB19" s="69" t="e">
        <f t="shared" si="6"/>
        <v>#DIV/0!</v>
      </c>
    </row>
    <row r="20" spans="1:28" ht="33">
      <c r="A20" s="19" t="s">
        <v>170</v>
      </c>
      <c r="B20" s="20" t="s">
        <v>407</v>
      </c>
      <c r="C20" s="21" t="s">
        <v>0</v>
      </c>
      <c r="D20" s="21" t="s">
        <v>5</v>
      </c>
      <c r="E20" s="271">
        <f>VLOOKUP($A20,publ_fin!$A:$I,8,FALSE)</f>
        <v>45147469.729999997</v>
      </c>
      <c r="F20" s="114">
        <v>0.86542706028083949</v>
      </c>
      <c r="G20" s="115"/>
      <c r="H20" s="262">
        <v>10753421</v>
      </c>
      <c r="I20" s="115">
        <f>F20*H20</f>
        <v>9306301.523992246</v>
      </c>
      <c r="J20" s="117">
        <v>39314965</v>
      </c>
      <c r="K20" s="117">
        <v>33184.32</v>
      </c>
      <c r="L20" s="117">
        <v>0</v>
      </c>
      <c r="M20" s="23">
        <f t="shared" ref="M20:M76" si="20">K20+L20</f>
        <v>33184.32</v>
      </c>
      <c r="N20" s="54">
        <f>E20-J20</f>
        <v>5832504.7299999967</v>
      </c>
      <c r="O20" s="117">
        <f>H20+N20</f>
        <v>16585925.729999997</v>
      </c>
      <c r="P20" s="23">
        <v>152258</v>
      </c>
      <c r="Q20" s="23">
        <f>IFERROR(VLOOKUP(A20,lauzti_līg!A:H,8,FALSE),0)</f>
        <v>0</v>
      </c>
      <c r="R20" s="23">
        <f t="shared" si="17"/>
        <v>152258</v>
      </c>
      <c r="S20" s="23">
        <f>R20-M20</f>
        <v>119073.68</v>
      </c>
      <c r="T20" s="117">
        <v>16450</v>
      </c>
      <c r="U20" s="23">
        <f>IFERROR(VLOOKUP(A20,Nosl_līg!A:H,8,FALSE),0)</f>
        <v>53721399</v>
      </c>
      <c r="V20" s="23">
        <f>U20-J20</f>
        <v>14406434</v>
      </c>
      <c r="W20" s="23">
        <f>O20-S20-V20</f>
        <v>2060418.049999997</v>
      </c>
      <c r="X20" s="23">
        <f>IF(N20&gt;=S20+V20,N20-S20-V20,0)</f>
        <v>0</v>
      </c>
      <c r="Y20" s="23">
        <f t="shared" si="10"/>
        <v>14525507.68</v>
      </c>
      <c r="Z20" s="23">
        <f>IF(H20=0,0, IF(U20-E20+R20-M20&lt;0, 0, U20-E20+R20-M20))</f>
        <v>8693002.950000003</v>
      </c>
      <c r="AA20" s="23" t="e">
        <f>VLOOKUP(A20,#REF!,63,FALSE)/F20+T20</f>
        <v>#REF!</v>
      </c>
      <c r="AB20" s="69">
        <f t="shared" si="6"/>
        <v>0.80839417986146023</v>
      </c>
    </row>
    <row r="21" spans="1:28" ht="49.5">
      <c r="A21" s="19" t="s">
        <v>6</v>
      </c>
      <c r="B21" s="20" t="s">
        <v>408</v>
      </c>
      <c r="C21" s="21" t="s">
        <v>0</v>
      </c>
      <c r="D21" s="21" t="s">
        <v>5</v>
      </c>
      <c r="E21" s="271">
        <f>VLOOKUP($A21,publ_fin!$A:$I,8,FALSE)</f>
        <v>0</v>
      </c>
      <c r="F21" s="114">
        <v>0</v>
      </c>
      <c r="G21" s="115"/>
      <c r="H21" s="262">
        <v>0</v>
      </c>
      <c r="I21" s="115">
        <f>F21*H21</f>
        <v>0</v>
      </c>
      <c r="J21" s="117">
        <v>0</v>
      </c>
      <c r="K21" s="117">
        <v>0</v>
      </c>
      <c r="L21" s="117">
        <v>0</v>
      </c>
      <c r="M21" s="23">
        <f t="shared" si="20"/>
        <v>0</v>
      </c>
      <c r="N21" s="54">
        <f>E21-J21</f>
        <v>0</v>
      </c>
      <c r="O21" s="117">
        <f>H21+N21</f>
        <v>0</v>
      </c>
      <c r="P21" s="23">
        <v>0</v>
      </c>
      <c r="Q21" s="23">
        <f>IFERROR(VLOOKUP(A21,lauzti_līg!A:H,8,FALSE),0)</f>
        <v>0</v>
      </c>
      <c r="R21" s="23">
        <f t="shared" si="17"/>
        <v>0</v>
      </c>
      <c r="S21" s="23">
        <f>R21-M21</f>
        <v>0</v>
      </c>
      <c r="T21" s="117">
        <v>0</v>
      </c>
      <c r="U21" s="23">
        <f>IFERROR(VLOOKUP(A21,Nosl_līg!A:H,8,FALSE),0)</f>
        <v>0</v>
      </c>
      <c r="V21" s="23">
        <f>U21-J21</f>
        <v>0</v>
      </c>
      <c r="W21" s="23">
        <f>O21-S21-V21</f>
        <v>0</v>
      </c>
      <c r="X21" s="23">
        <f>IF(N21&gt;=S21+V21,N21-S21-V21,0)</f>
        <v>0</v>
      </c>
      <c r="Y21" s="23">
        <f t="shared" si="10"/>
        <v>0</v>
      </c>
      <c r="Z21" s="23">
        <f>IF(H21=0,0, IF(U21-E21+R21-M21&lt;0, 0, U21-E21+R21-M21))</f>
        <v>0</v>
      </c>
      <c r="AA21" s="23">
        <v>0</v>
      </c>
      <c r="AB21" s="69" t="e">
        <f t="shared" si="6"/>
        <v>#DIV/0!</v>
      </c>
    </row>
    <row r="22" spans="1:28" s="40" customFormat="1" ht="33">
      <c r="A22" s="14" t="s">
        <v>7</v>
      </c>
      <c r="B22" s="15" t="s">
        <v>409</v>
      </c>
      <c r="C22" s="16" t="s">
        <v>0</v>
      </c>
      <c r="D22" s="16" t="s">
        <v>5</v>
      </c>
      <c r="E22" s="270">
        <f t="shared" ref="E22:AA22" si="21">E23+E26</f>
        <v>46370731.719999999</v>
      </c>
      <c r="F22" s="113"/>
      <c r="G22" s="113">
        <f t="shared" si="21"/>
        <v>0</v>
      </c>
      <c r="H22" s="261">
        <f t="shared" si="21"/>
        <v>0</v>
      </c>
      <c r="I22" s="113">
        <f t="shared" si="21"/>
        <v>0</v>
      </c>
      <c r="J22" s="113">
        <f t="shared" si="21"/>
        <v>46360577</v>
      </c>
      <c r="K22" s="113">
        <f t="shared" si="21"/>
        <v>19845.169999999998</v>
      </c>
      <c r="L22" s="113">
        <f t="shared" si="21"/>
        <v>363547</v>
      </c>
      <c r="M22" s="17">
        <f t="shared" si="21"/>
        <v>383392.17</v>
      </c>
      <c r="N22" s="53">
        <f t="shared" si="21"/>
        <v>10154.719999999739</v>
      </c>
      <c r="O22" s="113">
        <f t="shared" si="21"/>
        <v>10154.719999999739</v>
      </c>
      <c r="P22" s="17">
        <v>162686</v>
      </c>
      <c r="Q22" s="17">
        <f t="shared" si="21"/>
        <v>363547</v>
      </c>
      <c r="R22" s="17">
        <f t="shared" si="17"/>
        <v>526233</v>
      </c>
      <c r="S22" s="17">
        <f t="shared" ref="S22:U22" si="22">S23+S26</f>
        <v>142840.82999999999</v>
      </c>
      <c r="T22" s="113">
        <v>36880.789999999986</v>
      </c>
      <c r="U22" s="17">
        <f t="shared" si="22"/>
        <v>46246502.760000005</v>
      </c>
      <c r="V22" s="17">
        <f t="shared" si="21"/>
        <v>-114074.23999999836</v>
      </c>
      <c r="W22" s="17">
        <f t="shared" si="21"/>
        <v>-18611.870000001894</v>
      </c>
      <c r="X22" s="17">
        <f t="shared" si="21"/>
        <v>3970.1899999973248</v>
      </c>
      <c r="Y22" s="17">
        <f t="shared" si="10"/>
        <v>28766.590000001634</v>
      </c>
      <c r="Z22" s="17">
        <f t="shared" si="21"/>
        <v>0</v>
      </c>
      <c r="AA22" s="17" t="e">
        <f t="shared" si="21"/>
        <v>#REF!</v>
      </c>
      <c r="AB22" s="68" t="e">
        <f t="shared" si="6"/>
        <v>#DIV/0!</v>
      </c>
    </row>
    <row r="23" spans="1:28" s="40" customFormat="1" ht="33">
      <c r="A23" s="19" t="s">
        <v>8</v>
      </c>
      <c r="B23" s="20" t="s">
        <v>410</v>
      </c>
      <c r="C23" s="21" t="s">
        <v>0</v>
      </c>
      <c r="D23" s="21" t="s">
        <v>5</v>
      </c>
      <c r="E23" s="269">
        <f t="shared" ref="E23:AA23" si="23">E24+E25</f>
        <v>45369236.719999999</v>
      </c>
      <c r="F23" s="116"/>
      <c r="G23" s="116">
        <f t="shared" si="23"/>
        <v>0</v>
      </c>
      <c r="H23" s="18">
        <f t="shared" si="23"/>
        <v>0</v>
      </c>
      <c r="I23" s="116">
        <f t="shared" si="23"/>
        <v>0</v>
      </c>
      <c r="J23" s="116">
        <f t="shared" si="23"/>
        <v>45359082</v>
      </c>
      <c r="K23" s="116">
        <f t="shared" si="23"/>
        <v>19845.169999999998</v>
      </c>
      <c r="L23" s="116">
        <f t="shared" si="23"/>
        <v>363547</v>
      </c>
      <c r="M23" s="18">
        <f t="shared" si="23"/>
        <v>383392.17</v>
      </c>
      <c r="N23" s="54">
        <f t="shared" si="23"/>
        <v>10154.719999999739</v>
      </c>
      <c r="O23" s="116">
        <f t="shared" si="23"/>
        <v>10154.719999999739</v>
      </c>
      <c r="P23" s="18">
        <v>161437</v>
      </c>
      <c r="Q23" s="18">
        <f t="shared" si="23"/>
        <v>363547</v>
      </c>
      <c r="R23" s="18">
        <f t="shared" si="17"/>
        <v>524984</v>
      </c>
      <c r="S23" s="18">
        <f t="shared" ref="S23:U23" si="24">S24+S25</f>
        <v>141591.82999999999</v>
      </c>
      <c r="T23" s="116">
        <v>35744.129999999983</v>
      </c>
      <c r="U23" s="18">
        <f t="shared" si="24"/>
        <v>45245007.760000005</v>
      </c>
      <c r="V23" s="18">
        <f t="shared" si="23"/>
        <v>-114074.23999999836</v>
      </c>
      <c r="W23" s="18">
        <f t="shared" si="23"/>
        <v>-17362.870000001894</v>
      </c>
      <c r="X23" s="18">
        <f t="shared" si="23"/>
        <v>3970.1899999973248</v>
      </c>
      <c r="Y23" s="18">
        <f t="shared" si="10"/>
        <v>27517.590000001634</v>
      </c>
      <c r="Z23" s="18">
        <f t="shared" si="23"/>
        <v>0</v>
      </c>
      <c r="AA23" s="18" t="e">
        <f t="shared" si="23"/>
        <v>#REF!</v>
      </c>
      <c r="AB23" s="70" t="e">
        <f t="shared" si="6"/>
        <v>#DIV/0!</v>
      </c>
    </row>
    <row r="24" spans="1:28" ht="49.5">
      <c r="A24" s="19" t="s">
        <v>225</v>
      </c>
      <c r="B24" s="20" t="s">
        <v>411</v>
      </c>
      <c r="C24" s="21" t="s">
        <v>0</v>
      </c>
      <c r="D24" s="21" t="s">
        <v>5</v>
      </c>
      <c r="E24" s="271">
        <f>VLOOKUP($A24,publ_fin!$A:$I,8,FALSE)</f>
        <v>8201016.3600000003</v>
      </c>
      <c r="F24" s="114">
        <v>0.89532828433873612</v>
      </c>
      <c r="G24" s="115"/>
      <c r="H24" s="262">
        <v>0</v>
      </c>
      <c r="I24" s="115">
        <f>F24*H24</f>
        <v>0</v>
      </c>
      <c r="J24" s="117">
        <v>8215129</v>
      </c>
      <c r="K24" s="117">
        <v>14984.1</v>
      </c>
      <c r="L24" s="117">
        <v>0</v>
      </c>
      <c r="M24" s="23">
        <f t="shared" si="20"/>
        <v>14984.1</v>
      </c>
      <c r="N24" s="54">
        <f>E24-J24</f>
        <v>-14112.639999999665</v>
      </c>
      <c r="O24" s="117">
        <f>H24+N24</f>
        <v>-14112.639999999665</v>
      </c>
      <c r="P24" s="23">
        <v>54811</v>
      </c>
      <c r="Q24" s="23">
        <f>IFERROR(VLOOKUP(A24,lauzti_līg!A:H,8,FALSE),0)</f>
        <v>0</v>
      </c>
      <c r="R24" s="23">
        <f t="shared" si="17"/>
        <v>54811</v>
      </c>
      <c r="S24" s="23">
        <f>R24-M24</f>
        <v>39826.9</v>
      </c>
      <c r="T24" s="117">
        <v>7275.5199999999986</v>
      </c>
      <c r="U24" s="23">
        <f>IFERROR(VLOOKUP(A24,Nosl_līg!A:H,8,FALSE),0)</f>
        <v>8182522.5199999996</v>
      </c>
      <c r="V24" s="23">
        <f>U24-J24</f>
        <v>-32606.480000000447</v>
      </c>
      <c r="W24" s="23">
        <f>O24-S24-V24</f>
        <v>-21333.059999999219</v>
      </c>
      <c r="X24" s="23">
        <f>IF(N24&gt;=S24+V24,N24-S24-V24,0)</f>
        <v>0</v>
      </c>
      <c r="Y24" s="23">
        <f t="shared" si="10"/>
        <v>7220.4199999995544</v>
      </c>
      <c r="Z24" s="23">
        <f>IF(H24=0,0, IF(U24-E24+R24-M24&lt;0, 0, U24-E24+R24-M24))</f>
        <v>0</v>
      </c>
      <c r="AA24" s="23" t="e">
        <f>VLOOKUP(A24,#REF!,63,FALSE)/F24+T24</f>
        <v>#REF!</v>
      </c>
      <c r="AB24" s="69" t="e">
        <f t="shared" si="6"/>
        <v>#DIV/0!</v>
      </c>
    </row>
    <row r="25" spans="1:28" ht="33">
      <c r="A25" s="19" t="s">
        <v>227</v>
      </c>
      <c r="B25" s="20" t="s">
        <v>412</v>
      </c>
      <c r="C25" s="21" t="s">
        <v>0</v>
      </c>
      <c r="D25" s="21" t="s">
        <v>5</v>
      </c>
      <c r="E25" s="271">
        <f>VLOOKUP($A25,publ_fin!$A:$I,8,FALSE)</f>
        <v>37168220.359999999</v>
      </c>
      <c r="F25" s="114">
        <v>0.9334636246759489</v>
      </c>
      <c r="G25" s="115"/>
      <c r="H25" s="262">
        <v>0</v>
      </c>
      <c r="I25" s="115">
        <f>F25*H25</f>
        <v>0</v>
      </c>
      <c r="J25" s="117">
        <v>37143953</v>
      </c>
      <c r="K25" s="117">
        <v>4861.07</v>
      </c>
      <c r="L25" s="117">
        <v>363547</v>
      </c>
      <c r="M25" s="23">
        <f t="shared" si="20"/>
        <v>368408.07</v>
      </c>
      <c r="N25" s="54">
        <f>E25-J25</f>
        <v>24267.359999999404</v>
      </c>
      <c r="O25" s="117">
        <f>H25+N25</f>
        <v>24267.359999999404</v>
      </c>
      <c r="P25" s="23">
        <v>106626</v>
      </c>
      <c r="Q25" s="23">
        <f>IFERROR(VLOOKUP(A25,lauzti_līg!A:H,8,FALSE),0)</f>
        <v>363547</v>
      </c>
      <c r="R25" s="23">
        <f t="shared" si="17"/>
        <v>470173</v>
      </c>
      <c r="S25" s="23">
        <f>R25-M25</f>
        <v>101764.93</v>
      </c>
      <c r="T25" s="117">
        <v>28468.609999999986</v>
      </c>
      <c r="U25" s="23">
        <f>IFERROR(VLOOKUP(A25,Nosl_līg!A:H,8,FALSE),0)</f>
        <v>37062485.240000002</v>
      </c>
      <c r="V25" s="23">
        <f>U25-J25</f>
        <v>-81467.759999997914</v>
      </c>
      <c r="W25" s="23">
        <f>O25-S25-V25</f>
        <v>3970.1899999973248</v>
      </c>
      <c r="X25" s="23">
        <f>IF(N25&gt;=S25+V25,N25-S25-V25,0)</f>
        <v>3970.1899999973248</v>
      </c>
      <c r="Y25" s="23">
        <f t="shared" si="10"/>
        <v>20297.170000002079</v>
      </c>
      <c r="Z25" s="23">
        <f>IF(H25=0,0, IF(U25-E25+R25-M25&lt;0, 0, U25-E25+R25-M25))</f>
        <v>0</v>
      </c>
      <c r="AA25" s="23" t="e">
        <f>VLOOKUP(A25,#REF!,63,FALSE)/F25+T25</f>
        <v>#REF!</v>
      </c>
      <c r="AB25" s="69" t="e">
        <f t="shared" si="6"/>
        <v>#DIV/0!</v>
      </c>
    </row>
    <row r="26" spans="1:28" s="40" customFormat="1" ht="33">
      <c r="A26" s="19" t="s">
        <v>9</v>
      </c>
      <c r="B26" s="20" t="s">
        <v>413</v>
      </c>
      <c r="C26" s="21" t="s">
        <v>0</v>
      </c>
      <c r="D26" s="21" t="s">
        <v>5</v>
      </c>
      <c r="E26" s="269">
        <f t="shared" ref="E26:AA26" si="25">E27+E28</f>
        <v>1001495</v>
      </c>
      <c r="F26" s="116"/>
      <c r="G26" s="116">
        <f t="shared" si="25"/>
        <v>0</v>
      </c>
      <c r="H26" s="18">
        <f t="shared" si="25"/>
        <v>0</v>
      </c>
      <c r="I26" s="116">
        <f t="shared" si="25"/>
        <v>0</v>
      </c>
      <c r="J26" s="116">
        <f t="shared" si="25"/>
        <v>1001495</v>
      </c>
      <c r="K26" s="116">
        <f t="shared" si="25"/>
        <v>0</v>
      </c>
      <c r="L26" s="116">
        <f t="shared" si="25"/>
        <v>0</v>
      </c>
      <c r="M26" s="18">
        <f t="shared" si="25"/>
        <v>0</v>
      </c>
      <c r="N26" s="54">
        <f t="shared" si="25"/>
        <v>0</v>
      </c>
      <c r="O26" s="116">
        <f t="shared" si="25"/>
        <v>0</v>
      </c>
      <c r="P26" s="18">
        <v>1249</v>
      </c>
      <c r="Q26" s="18">
        <f t="shared" si="25"/>
        <v>0</v>
      </c>
      <c r="R26" s="18">
        <f t="shared" si="17"/>
        <v>1249</v>
      </c>
      <c r="S26" s="18">
        <f t="shared" si="25"/>
        <v>1249</v>
      </c>
      <c r="T26" s="116">
        <v>1136.6600000000001</v>
      </c>
      <c r="U26" s="18">
        <f t="shared" si="25"/>
        <v>1001495</v>
      </c>
      <c r="V26" s="18">
        <f t="shared" si="25"/>
        <v>0</v>
      </c>
      <c r="W26" s="18">
        <f t="shared" si="25"/>
        <v>-1249</v>
      </c>
      <c r="X26" s="18">
        <f t="shared" si="25"/>
        <v>0</v>
      </c>
      <c r="Y26" s="18">
        <f t="shared" si="10"/>
        <v>1249</v>
      </c>
      <c r="Z26" s="18">
        <f t="shared" si="25"/>
        <v>0</v>
      </c>
      <c r="AA26" s="18" t="e">
        <f t="shared" si="25"/>
        <v>#REF!</v>
      </c>
      <c r="AB26" s="70" t="e">
        <f t="shared" si="6"/>
        <v>#DIV/0!</v>
      </c>
    </row>
    <row r="27" spans="1:28" ht="82.5">
      <c r="A27" s="19" t="s">
        <v>10</v>
      </c>
      <c r="B27" s="20" t="s">
        <v>414</v>
      </c>
      <c r="C27" s="21" t="s">
        <v>0</v>
      </c>
      <c r="D27" s="21" t="s">
        <v>5</v>
      </c>
      <c r="E27" s="271">
        <f>VLOOKUP($A27,publ_fin!$A:$I,8,FALSE)</f>
        <v>1001495</v>
      </c>
      <c r="F27" s="114">
        <v>1</v>
      </c>
      <c r="G27" s="115"/>
      <c r="H27" s="262">
        <v>0</v>
      </c>
      <c r="I27" s="115">
        <f>F27*H27</f>
        <v>0</v>
      </c>
      <c r="J27" s="117">
        <v>1001495</v>
      </c>
      <c r="K27" s="117">
        <v>0</v>
      </c>
      <c r="L27" s="117">
        <v>0</v>
      </c>
      <c r="M27" s="23">
        <f t="shared" si="20"/>
        <v>0</v>
      </c>
      <c r="N27" s="54">
        <f>E27-J27</f>
        <v>0</v>
      </c>
      <c r="O27" s="117">
        <f>H27+N27</f>
        <v>0</v>
      </c>
      <c r="P27" s="23">
        <v>1249</v>
      </c>
      <c r="Q27" s="23">
        <f>IFERROR(VLOOKUP(A27,lauzti_līg!A:H,8,FALSE),0)</f>
        <v>0</v>
      </c>
      <c r="R27" s="23">
        <f t="shared" si="17"/>
        <v>1249</v>
      </c>
      <c r="S27" s="23">
        <f>R27-M27</f>
        <v>1249</v>
      </c>
      <c r="T27" s="117">
        <v>1136.6600000000001</v>
      </c>
      <c r="U27" s="23">
        <f>IFERROR(VLOOKUP(A27,Nosl_līg!A:H,8,FALSE),0)</f>
        <v>1001495</v>
      </c>
      <c r="V27" s="23">
        <f>U27-J27</f>
        <v>0</v>
      </c>
      <c r="W27" s="23">
        <f>O27-S27-V27</f>
        <v>-1249</v>
      </c>
      <c r="X27" s="23">
        <f>IF(N27&gt;=S27+V27,N27-S27-V27,0)</f>
        <v>0</v>
      </c>
      <c r="Y27" s="23">
        <f t="shared" si="10"/>
        <v>1249</v>
      </c>
      <c r="Z27" s="23">
        <f>IF(H27=0,0, IF(U27-E27+R27-M27&lt;0, 0, U27-E27+R27-M27))</f>
        <v>0</v>
      </c>
      <c r="AA27" s="23" t="e">
        <f>VLOOKUP(A27,#REF!,63,FALSE)/F27+T27</f>
        <v>#REF!</v>
      </c>
      <c r="AB27" s="69" t="e">
        <f t="shared" si="6"/>
        <v>#DIV/0!</v>
      </c>
    </row>
    <row r="28" spans="1:28" ht="49.5">
      <c r="A28" s="19" t="s">
        <v>11</v>
      </c>
      <c r="B28" s="20" t="s">
        <v>415</v>
      </c>
      <c r="C28" s="21" t="s">
        <v>0</v>
      </c>
      <c r="D28" s="21" t="s">
        <v>5</v>
      </c>
      <c r="E28" s="271">
        <f>VLOOKUP($A28,publ_fin!$A:$I,8,FALSE)</f>
        <v>0</v>
      </c>
      <c r="F28" s="114">
        <v>0</v>
      </c>
      <c r="G28" s="115"/>
      <c r="H28" s="262">
        <v>0</v>
      </c>
      <c r="I28" s="115">
        <f>F28*H28</f>
        <v>0</v>
      </c>
      <c r="J28" s="117">
        <v>0</v>
      </c>
      <c r="K28" s="117">
        <v>0</v>
      </c>
      <c r="L28" s="117">
        <v>0</v>
      </c>
      <c r="M28" s="23">
        <f t="shared" si="20"/>
        <v>0</v>
      </c>
      <c r="N28" s="54">
        <f>E28-J28</f>
        <v>0</v>
      </c>
      <c r="O28" s="117">
        <f>H28+N28</f>
        <v>0</v>
      </c>
      <c r="P28" s="23">
        <v>0</v>
      </c>
      <c r="Q28" s="23">
        <f>IFERROR(VLOOKUP(A28,lauzti_līg!A:H,8,FALSE),0)</f>
        <v>0</v>
      </c>
      <c r="R28" s="23">
        <f t="shared" si="17"/>
        <v>0</v>
      </c>
      <c r="S28" s="23">
        <f>R28-M28</f>
        <v>0</v>
      </c>
      <c r="T28" s="117">
        <v>0</v>
      </c>
      <c r="U28" s="23">
        <f>IFERROR(VLOOKUP(A28,Nosl_līg!A:H,8,FALSE),0)</f>
        <v>0</v>
      </c>
      <c r="V28" s="23">
        <f>U28-J28</f>
        <v>0</v>
      </c>
      <c r="W28" s="23">
        <f>O28-S28-V28</f>
        <v>0</v>
      </c>
      <c r="X28" s="23">
        <f>IF(N28&gt;=S28+V28,N28-S28-V28,0)</f>
        <v>0</v>
      </c>
      <c r="Y28" s="23">
        <f t="shared" si="10"/>
        <v>0</v>
      </c>
      <c r="Z28" s="23">
        <f>IF(H28=0,0, IF(U28-E28+R28-M28&lt;0, 0, U28-E28+R28-M28))</f>
        <v>0</v>
      </c>
      <c r="AA28" s="23">
        <v>0</v>
      </c>
      <c r="AB28" s="69" t="e">
        <f t="shared" si="6"/>
        <v>#DIV/0!</v>
      </c>
    </row>
    <row r="29" spans="1:28" s="40" customFormat="1" ht="33">
      <c r="A29" s="14" t="s">
        <v>12</v>
      </c>
      <c r="B29" s="15" t="s">
        <v>416</v>
      </c>
      <c r="C29" s="16" t="s">
        <v>0</v>
      </c>
      <c r="D29" s="16" t="s">
        <v>1</v>
      </c>
      <c r="E29" s="270">
        <f t="shared" ref="E29:G29" si="26">E30+E40</f>
        <v>102840094.41</v>
      </c>
      <c r="F29" s="113"/>
      <c r="G29" s="113">
        <f t="shared" si="26"/>
        <v>0</v>
      </c>
      <c r="H29" s="261">
        <f>H30+H40</f>
        <v>8239369</v>
      </c>
      <c r="I29" s="113">
        <f t="shared" ref="I29:AA29" si="27">I30+I40</f>
        <v>7323322.4580326229</v>
      </c>
      <c r="J29" s="113">
        <f t="shared" si="27"/>
        <v>99484988.269999996</v>
      </c>
      <c r="K29" s="113">
        <f t="shared" si="27"/>
        <v>710409.02</v>
      </c>
      <c r="L29" s="113">
        <f t="shared" si="27"/>
        <v>489032</v>
      </c>
      <c r="M29" s="17">
        <f t="shared" si="27"/>
        <v>1199441.02</v>
      </c>
      <c r="N29" s="53">
        <f t="shared" si="27"/>
        <v>3355106.1399999978</v>
      </c>
      <c r="O29" s="113">
        <f t="shared" si="27"/>
        <v>11594475.139999997</v>
      </c>
      <c r="P29" s="17">
        <v>923540</v>
      </c>
      <c r="Q29" s="17">
        <f t="shared" si="27"/>
        <v>489032</v>
      </c>
      <c r="R29" s="17">
        <f t="shared" si="17"/>
        <v>1412572</v>
      </c>
      <c r="S29" s="17">
        <f t="shared" ref="S29:V29" si="28">S30+S40</f>
        <v>213130.98000000004</v>
      </c>
      <c r="T29" s="113">
        <v>214289.2300000001</v>
      </c>
      <c r="U29" s="17">
        <f t="shared" si="28"/>
        <v>110040297.89</v>
      </c>
      <c r="V29" s="17">
        <f t="shared" si="28"/>
        <v>10555309.619999997</v>
      </c>
      <c r="W29" s="17">
        <f t="shared" si="27"/>
        <v>826034.53999999887</v>
      </c>
      <c r="X29" s="17">
        <f t="shared" si="27"/>
        <v>330936.20000000036</v>
      </c>
      <c r="Y29" s="17">
        <f t="shared" si="10"/>
        <v>10768440.599999998</v>
      </c>
      <c r="Z29" s="17">
        <f t="shared" si="27"/>
        <v>8183043.5900000008</v>
      </c>
      <c r="AA29" s="17" t="e">
        <f t="shared" si="27"/>
        <v>#REF!</v>
      </c>
      <c r="AB29" s="68">
        <f t="shared" si="6"/>
        <v>0.99316386849526961</v>
      </c>
    </row>
    <row r="30" spans="1:28" s="41" customFormat="1" ht="49.5">
      <c r="A30" s="14" t="s">
        <v>13</v>
      </c>
      <c r="B30" s="15" t="s">
        <v>417</v>
      </c>
      <c r="C30" s="16" t="s">
        <v>0</v>
      </c>
      <c r="D30" s="16" t="s">
        <v>5</v>
      </c>
      <c r="E30" s="270">
        <f t="shared" ref="E30:AA30" si="29">E31+E36</f>
        <v>66547957.890000001</v>
      </c>
      <c r="F30" s="113"/>
      <c r="G30" s="113">
        <f t="shared" si="29"/>
        <v>0</v>
      </c>
      <c r="H30" s="261">
        <f t="shared" si="29"/>
        <v>6616476</v>
      </c>
      <c r="I30" s="113">
        <f t="shared" si="29"/>
        <v>5700429.4580326229</v>
      </c>
      <c r="J30" s="113">
        <f t="shared" si="29"/>
        <v>62997758</v>
      </c>
      <c r="K30" s="113">
        <f t="shared" si="29"/>
        <v>638951.98</v>
      </c>
      <c r="L30" s="113">
        <f t="shared" si="29"/>
        <v>306582</v>
      </c>
      <c r="M30" s="17">
        <f t="shared" si="29"/>
        <v>945533.98</v>
      </c>
      <c r="N30" s="53">
        <f t="shared" si="29"/>
        <v>3550199.8899999997</v>
      </c>
      <c r="O30" s="113">
        <f t="shared" si="29"/>
        <v>10166675.889999999</v>
      </c>
      <c r="P30" s="17">
        <v>780508</v>
      </c>
      <c r="Q30" s="17">
        <f t="shared" si="29"/>
        <v>306582</v>
      </c>
      <c r="R30" s="17">
        <f t="shared" si="17"/>
        <v>1087090</v>
      </c>
      <c r="S30" s="17">
        <f t="shared" ref="S30:V30" si="30">S31+S36</f>
        <v>141556.02000000002</v>
      </c>
      <c r="T30" s="113">
        <v>117951.57000000009</v>
      </c>
      <c r="U30" s="17">
        <f t="shared" si="30"/>
        <v>72214815.450000003</v>
      </c>
      <c r="V30" s="17">
        <f t="shared" si="30"/>
        <v>9217057.4499999993</v>
      </c>
      <c r="W30" s="17">
        <f t="shared" si="29"/>
        <v>808062.41999999958</v>
      </c>
      <c r="X30" s="17">
        <f t="shared" si="29"/>
        <v>302440.63000000047</v>
      </c>
      <c r="Y30" s="17">
        <f t="shared" si="10"/>
        <v>9358613.4699999988</v>
      </c>
      <c r="Z30" s="17">
        <f t="shared" si="29"/>
        <v>6616474.5200000014</v>
      </c>
      <c r="AA30" s="17" t="e">
        <f t="shared" si="29"/>
        <v>#REF!</v>
      </c>
      <c r="AB30" s="68">
        <f t="shared" si="6"/>
        <v>0.9999997763159727</v>
      </c>
    </row>
    <row r="31" spans="1:28" s="40" customFormat="1" ht="66">
      <c r="A31" s="19" t="s">
        <v>14</v>
      </c>
      <c r="B31" s="20" t="s">
        <v>418</v>
      </c>
      <c r="C31" s="21" t="s">
        <v>0</v>
      </c>
      <c r="D31" s="21" t="s">
        <v>5</v>
      </c>
      <c r="E31" s="269">
        <f t="shared" ref="E31:AA31" si="31">E32+E33+E34+E35</f>
        <v>46957947.890000001</v>
      </c>
      <c r="F31" s="116"/>
      <c r="G31" s="116">
        <f t="shared" si="31"/>
        <v>0</v>
      </c>
      <c r="H31" s="18">
        <f t="shared" si="31"/>
        <v>6616476</v>
      </c>
      <c r="I31" s="116">
        <f t="shared" si="31"/>
        <v>5700429.4580326229</v>
      </c>
      <c r="J31" s="116">
        <f t="shared" si="31"/>
        <v>43006493</v>
      </c>
      <c r="K31" s="116">
        <f t="shared" si="31"/>
        <v>415411.61</v>
      </c>
      <c r="L31" s="116">
        <f t="shared" si="31"/>
        <v>306582</v>
      </c>
      <c r="M31" s="18">
        <f t="shared" si="31"/>
        <v>721993.61</v>
      </c>
      <c r="N31" s="54">
        <f t="shared" si="31"/>
        <v>3951454.8899999992</v>
      </c>
      <c r="O31" s="116">
        <f t="shared" si="31"/>
        <v>10567930.889999999</v>
      </c>
      <c r="P31" s="18">
        <v>574569</v>
      </c>
      <c r="Q31" s="18">
        <f t="shared" si="31"/>
        <v>306582</v>
      </c>
      <c r="R31" s="18">
        <f t="shared" si="17"/>
        <v>881151</v>
      </c>
      <c r="S31" s="18">
        <f t="shared" ref="S31:V31" si="32">S32+S33+S34+S35</f>
        <v>159157.39000000001</v>
      </c>
      <c r="T31" s="116">
        <v>99987.420000000086</v>
      </c>
      <c r="U31" s="18">
        <f t="shared" si="32"/>
        <v>52738885.719999999</v>
      </c>
      <c r="V31" s="18">
        <f t="shared" si="32"/>
        <v>9732392.7199999988</v>
      </c>
      <c r="W31" s="18">
        <f t="shared" si="31"/>
        <v>676380.7799999991</v>
      </c>
      <c r="X31" s="18">
        <f t="shared" si="31"/>
        <v>170758.99</v>
      </c>
      <c r="Y31" s="18">
        <f t="shared" si="10"/>
        <v>9891550.1099999994</v>
      </c>
      <c r="Z31" s="18">
        <f t="shared" si="31"/>
        <v>6616474.5200000014</v>
      </c>
      <c r="AA31" s="18" t="e">
        <f t="shared" si="31"/>
        <v>#REF!</v>
      </c>
      <c r="AB31" s="70">
        <f t="shared" si="6"/>
        <v>0.9999997763159727</v>
      </c>
    </row>
    <row r="32" spans="1:28" ht="66">
      <c r="A32" s="19" t="s">
        <v>175</v>
      </c>
      <c r="B32" s="20" t="s">
        <v>419</v>
      </c>
      <c r="C32" s="21" t="s">
        <v>0</v>
      </c>
      <c r="D32" s="21" t="s">
        <v>5</v>
      </c>
      <c r="E32" s="271">
        <f>VLOOKUP($A32,publ_fin!$A:$I,8,FALSE)</f>
        <v>2393420.11</v>
      </c>
      <c r="F32" s="114">
        <v>1</v>
      </c>
      <c r="G32" s="115"/>
      <c r="H32" s="262">
        <v>0</v>
      </c>
      <c r="I32" s="115">
        <f>F32*H32</f>
        <v>0</v>
      </c>
      <c r="J32" s="117">
        <v>2393420</v>
      </c>
      <c r="K32" s="117">
        <v>0</v>
      </c>
      <c r="L32" s="117">
        <v>0</v>
      </c>
      <c r="M32" s="23">
        <f t="shared" si="20"/>
        <v>0</v>
      </c>
      <c r="N32" s="54">
        <f>E32-J32</f>
        <v>0.10999999986961484</v>
      </c>
      <c r="O32" s="117">
        <f>H32+N32</f>
        <v>0.10999999986961484</v>
      </c>
      <c r="P32" s="23">
        <v>0</v>
      </c>
      <c r="Q32" s="23">
        <f>IFERROR(VLOOKUP(A32,lauzti_līg!A:H,8,FALSE),0)</f>
        <v>0</v>
      </c>
      <c r="R32" s="23">
        <f t="shared" si="17"/>
        <v>0</v>
      </c>
      <c r="S32" s="23">
        <f>R32-M32</f>
        <v>0</v>
      </c>
      <c r="T32" s="117">
        <v>0</v>
      </c>
      <c r="U32" s="23">
        <f>IFERROR(VLOOKUP(A32,Nosl_līg!A:H,8,FALSE),0)</f>
        <v>2393420</v>
      </c>
      <c r="V32" s="23">
        <f>U32-J32</f>
        <v>0</v>
      </c>
      <c r="W32" s="23">
        <f>O32-S32-V32</f>
        <v>0.10999999986961484</v>
      </c>
      <c r="X32" s="23">
        <f>IF(N32&gt;=S32+V32,N32-S32-V32,0)</f>
        <v>0.10999999986961484</v>
      </c>
      <c r="Y32" s="23">
        <f t="shared" si="10"/>
        <v>0</v>
      </c>
      <c r="Z32" s="23">
        <f>IF(H32=0,0, IF(U32-E32+R32-M32&lt;0, 0, U32-E32+R32-M32))</f>
        <v>0</v>
      </c>
      <c r="AA32" s="23" t="e">
        <f>VLOOKUP(A32,#REF!,63,FALSE)/F32+T32</f>
        <v>#REF!</v>
      </c>
      <c r="AB32" s="69" t="e">
        <f t="shared" si="6"/>
        <v>#DIV/0!</v>
      </c>
    </row>
    <row r="33" spans="1:28" ht="49.5">
      <c r="A33" s="19" t="s">
        <v>188</v>
      </c>
      <c r="B33" s="20" t="s">
        <v>420</v>
      </c>
      <c r="C33" s="21" t="s">
        <v>0</v>
      </c>
      <c r="D33" s="21" t="s">
        <v>5</v>
      </c>
      <c r="E33" s="271">
        <f>VLOOKUP($A33,publ_fin!$A:$I,8,FALSE)</f>
        <v>5988421.4000000004</v>
      </c>
      <c r="F33" s="114">
        <v>0.84999925639241181</v>
      </c>
      <c r="G33" s="115"/>
      <c r="H33" s="262">
        <v>0</v>
      </c>
      <c r="I33" s="115">
        <f>F33*H33</f>
        <v>0</v>
      </c>
      <c r="J33" s="117">
        <v>6064098</v>
      </c>
      <c r="K33" s="117">
        <v>234905.21</v>
      </c>
      <c r="L33" s="117">
        <v>0</v>
      </c>
      <c r="M33" s="23">
        <f t="shared" si="20"/>
        <v>234905.21</v>
      </c>
      <c r="N33" s="54">
        <f>E33-J33</f>
        <v>-75676.599999999627</v>
      </c>
      <c r="O33" s="117">
        <f>H33+N33</f>
        <v>-75676.599999999627</v>
      </c>
      <c r="P33" s="23">
        <v>239803</v>
      </c>
      <c r="Q33" s="23">
        <f>IFERROR(VLOOKUP(A33,lauzti_līg!A:H,8,FALSE),0)</f>
        <v>0</v>
      </c>
      <c r="R33" s="23">
        <f t="shared" si="17"/>
        <v>239803</v>
      </c>
      <c r="S33" s="23">
        <f>R33-M33</f>
        <v>4897.7900000000081</v>
      </c>
      <c r="T33" s="117">
        <v>-6501.7099999999919</v>
      </c>
      <c r="U33" s="23">
        <f>IFERROR(VLOOKUP(A33,Nosl_līg!A:H,8,FALSE),0)</f>
        <v>5987403.2999999998</v>
      </c>
      <c r="V33" s="23">
        <f>U33-J33</f>
        <v>-76694.700000000186</v>
      </c>
      <c r="W33" s="23">
        <f>O33-S33-V33</f>
        <v>-3879.6899999994494</v>
      </c>
      <c r="X33" s="23">
        <f>IF(N33&gt;=S33+V33,N33-S33-V33,0)</f>
        <v>0</v>
      </c>
      <c r="Y33" s="23">
        <f t="shared" si="10"/>
        <v>-71796.910000000178</v>
      </c>
      <c r="Z33" s="23">
        <f>IF(H33=0,0, IF(U33-E33+R33-M33&lt;0, 0, U33-E33+R33-M33))</f>
        <v>0</v>
      </c>
      <c r="AA33" s="23" t="e">
        <f>VLOOKUP(A33,#REF!,63,FALSE)/F33+T33</f>
        <v>#REF!</v>
      </c>
      <c r="AB33" s="69" t="e">
        <f t="shared" si="6"/>
        <v>#DIV/0!</v>
      </c>
    </row>
    <row r="34" spans="1:28" ht="82.5">
      <c r="A34" s="19" t="s">
        <v>220</v>
      </c>
      <c r="B34" s="20" t="s">
        <v>421</v>
      </c>
      <c r="C34" s="21" t="s">
        <v>0</v>
      </c>
      <c r="D34" s="21" t="s">
        <v>5</v>
      </c>
      <c r="E34" s="271">
        <f>VLOOKUP($A34,publ_fin!$A:$I,8,FALSE)+1393546</f>
        <v>10243022.75</v>
      </c>
      <c r="F34" s="114">
        <v>1</v>
      </c>
      <c r="G34" s="115"/>
      <c r="H34" s="262">
        <v>509500</v>
      </c>
      <c r="I34" s="115">
        <f>F34*H34</f>
        <v>509500</v>
      </c>
      <c r="J34" s="117">
        <v>8717413</v>
      </c>
      <c r="K34" s="117">
        <v>161350.54999999999</v>
      </c>
      <c r="L34" s="117">
        <v>306582</v>
      </c>
      <c r="M34" s="23">
        <f t="shared" si="20"/>
        <v>467932.55</v>
      </c>
      <c r="N34" s="54">
        <f>E34-J34</f>
        <v>1525609.75</v>
      </c>
      <c r="O34" s="117">
        <f>H34+N34</f>
        <v>2035109.75</v>
      </c>
      <c r="P34" s="23">
        <v>304101</v>
      </c>
      <c r="Q34" s="23">
        <f>IFERROR(VLOOKUP(A34,lauzti_līg!A:H,8,FALSE),0)</f>
        <v>306582</v>
      </c>
      <c r="R34" s="23">
        <f t="shared" si="17"/>
        <v>610683</v>
      </c>
      <c r="S34" s="23">
        <f>R34-M34</f>
        <v>142750.45000000001</v>
      </c>
      <c r="T34" s="117">
        <v>102899.27000000008</v>
      </c>
      <c r="U34" s="23">
        <f>IFERROR(VLOOKUP(A34,Nosl_līg!A:H,8,FALSE),0)</f>
        <v>9929513.4199999999</v>
      </c>
      <c r="V34" s="23">
        <f>U34-J34</f>
        <v>1212100.42</v>
      </c>
      <c r="W34" s="23">
        <f>O34-S34-V34</f>
        <v>680258.88000000012</v>
      </c>
      <c r="X34" s="23">
        <f>IF(N34&gt;=S34+V34,N34-S34-V34,0)</f>
        <v>170758.88000000012</v>
      </c>
      <c r="Y34" s="23">
        <f t="shared" si="10"/>
        <v>1354850.8699999999</v>
      </c>
      <c r="Z34" s="23">
        <v>509500</v>
      </c>
      <c r="AA34" s="23" t="e">
        <f>VLOOKUP(A34,#REF!,63,FALSE)/F34+T34</f>
        <v>#REF!</v>
      </c>
      <c r="AB34" s="69">
        <f t="shared" si="6"/>
        <v>1</v>
      </c>
    </row>
    <row r="35" spans="1:28" ht="49.5">
      <c r="A35" s="19" t="s">
        <v>187</v>
      </c>
      <c r="B35" s="20" t="s">
        <v>422</v>
      </c>
      <c r="C35" s="21" t="s">
        <v>0</v>
      </c>
      <c r="D35" s="21" t="s">
        <v>5</v>
      </c>
      <c r="E35" s="271">
        <f>VLOOKUP($A35,publ_fin!$A:$I,8,FALSE)</f>
        <v>28333083.629999999</v>
      </c>
      <c r="F35" s="114">
        <v>0.84999997675324457</v>
      </c>
      <c r="G35" s="115"/>
      <c r="H35" s="262">
        <v>6106976</v>
      </c>
      <c r="I35" s="115">
        <f>F35*H35</f>
        <v>5190929.4580326229</v>
      </c>
      <c r="J35" s="117">
        <v>25831562</v>
      </c>
      <c r="K35" s="117">
        <v>19155.849999999999</v>
      </c>
      <c r="L35" s="117">
        <v>0</v>
      </c>
      <c r="M35" s="23">
        <f t="shared" si="20"/>
        <v>19155.849999999999</v>
      </c>
      <c r="N35" s="54">
        <f>E35-J35</f>
        <v>2501521.629999999</v>
      </c>
      <c r="O35" s="117">
        <f>H35+N35</f>
        <v>8608497.629999999</v>
      </c>
      <c r="P35" s="23">
        <v>30665</v>
      </c>
      <c r="Q35" s="23">
        <f>IFERROR(VLOOKUP(A35,lauzti_līg!A:H,8,FALSE),0)</f>
        <v>0</v>
      </c>
      <c r="R35" s="23">
        <f t="shared" si="17"/>
        <v>30665</v>
      </c>
      <c r="S35" s="23">
        <f>R35-M35</f>
        <v>11509.150000000001</v>
      </c>
      <c r="T35" s="117">
        <v>3589.8600000000006</v>
      </c>
      <c r="U35" s="23">
        <f>IFERROR(VLOOKUP(A35,Nosl_līg!A:H,8,FALSE),0)</f>
        <v>34428549</v>
      </c>
      <c r="V35" s="23">
        <f>U35-J35</f>
        <v>8596987</v>
      </c>
      <c r="W35" s="23">
        <f>O35-S35-V35</f>
        <v>1.4799999985843897</v>
      </c>
      <c r="X35" s="23">
        <f>IF(N35&gt;=S35+V35,N35-S35-V35,0)</f>
        <v>0</v>
      </c>
      <c r="Y35" s="23">
        <f t="shared" si="10"/>
        <v>8608496.1500000004</v>
      </c>
      <c r="Z35" s="23">
        <f>IF(H35=0,0, IF(U35-E35+R35-M35&lt;0, 0, U35-E35+R35-M35))</f>
        <v>6106974.5200000014</v>
      </c>
      <c r="AA35" s="23" t="e">
        <f>VLOOKUP(A35,#REF!,63,FALSE)/F35+T35</f>
        <v>#REF!</v>
      </c>
      <c r="AB35" s="69">
        <f t="shared" si="6"/>
        <v>0.99999975765419769</v>
      </c>
    </row>
    <row r="36" spans="1:28" s="38" customFormat="1" ht="33">
      <c r="A36" s="19" t="s">
        <v>15</v>
      </c>
      <c r="B36" s="20" t="s">
        <v>423</v>
      </c>
      <c r="C36" s="21" t="s">
        <v>0</v>
      </c>
      <c r="D36" s="21" t="s">
        <v>5</v>
      </c>
      <c r="E36" s="272">
        <f t="shared" ref="E36:AA36" si="33">E37+E38+E39</f>
        <v>19590010</v>
      </c>
      <c r="F36" s="117"/>
      <c r="G36" s="117">
        <f t="shared" si="33"/>
        <v>0</v>
      </c>
      <c r="H36" s="18">
        <f t="shared" si="33"/>
        <v>0</v>
      </c>
      <c r="I36" s="117">
        <f t="shared" si="33"/>
        <v>0</v>
      </c>
      <c r="J36" s="117">
        <f t="shared" si="33"/>
        <v>19991265</v>
      </c>
      <c r="K36" s="117">
        <f t="shared" si="33"/>
        <v>223540.37</v>
      </c>
      <c r="L36" s="117">
        <f t="shared" si="33"/>
        <v>0</v>
      </c>
      <c r="M36" s="23">
        <f t="shared" si="33"/>
        <v>223540.37</v>
      </c>
      <c r="N36" s="54">
        <f t="shared" si="33"/>
        <v>-401254.99999999953</v>
      </c>
      <c r="O36" s="117">
        <f t="shared" si="33"/>
        <v>-401254.99999999953</v>
      </c>
      <c r="P36" s="23">
        <v>205939</v>
      </c>
      <c r="Q36" s="23">
        <f t="shared" si="33"/>
        <v>0</v>
      </c>
      <c r="R36" s="23">
        <f t="shared" si="17"/>
        <v>205939</v>
      </c>
      <c r="S36" s="23">
        <f t="shared" si="33"/>
        <v>-17601.369999999995</v>
      </c>
      <c r="T36" s="117">
        <v>17964.150000000001</v>
      </c>
      <c r="U36" s="23">
        <f t="shared" si="33"/>
        <v>19475929.73</v>
      </c>
      <c r="V36" s="23">
        <f t="shared" si="33"/>
        <v>-515335.27</v>
      </c>
      <c r="W36" s="23">
        <f t="shared" si="33"/>
        <v>131681.64000000051</v>
      </c>
      <c r="X36" s="23">
        <f t="shared" si="33"/>
        <v>131681.64000000051</v>
      </c>
      <c r="Y36" s="23">
        <f t="shared" si="10"/>
        <v>-532936.64</v>
      </c>
      <c r="Z36" s="23">
        <f t="shared" si="33"/>
        <v>0</v>
      </c>
      <c r="AA36" s="23" t="e">
        <f t="shared" si="33"/>
        <v>#REF!</v>
      </c>
      <c r="AB36" s="69" t="e">
        <f t="shared" si="6"/>
        <v>#DIV/0!</v>
      </c>
    </row>
    <row r="37" spans="1:28" ht="82.5">
      <c r="A37" s="19" t="s">
        <v>186</v>
      </c>
      <c r="B37" s="20" t="s">
        <v>424</v>
      </c>
      <c r="C37" s="21" t="s">
        <v>0</v>
      </c>
      <c r="D37" s="21" t="s">
        <v>5</v>
      </c>
      <c r="E37" s="271">
        <f>VLOOKUP($A37,publ_fin!$A:$I,8,FALSE)</f>
        <v>4945607.1500000004</v>
      </c>
      <c r="F37" s="114">
        <v>0.84999968103006318</v>
      </c>
      <c r="G37" s="115"/>
      <c r="H37" s="262">
        <v>0</v>
      </c>
      <c r="I37" s="115">
        <f>F37*H37</f>
        <v>0</v>
      </c>
      <c r="J37" s="117">
        <v>4942515</v>
      </c>
      <c r="K37" s="117">
        <v>40012.199999999997</v>
      </c>
      <c r="L37" s="117">
        <v>0</v>
      </c>
      <c r="M37" s="23">
        <f t="shared" si="20"/>
        <v>40012.199999999997</v>
      </c>
      <c r="N37" s="54">
        <f>E37-J37</f>
        <v>3092.1500000003725</v>
      </c>
      <c r="O37" s="117">
        <f>H37+N37</f>
        <v>3092.1500000003725</v>
      </c>
      <c r="P37" s="23">
        <v>45820</v>
      </c>
      <c r="Q37" s="23">
        <f>IFERROR(VLOOKUP(A37,lauzti_līg!A:H,8,FALSE),0)</f>
        <v>0</v>
      </c>
      <c r="R37" s="23">
        <f t="shared" si="17"/>
        <v>45820</v>
      </c>
      <c r="S37" s="23">
        <f>R37-M37</f>
        <v>5807.8000000000029</v>
      </c>
      <c r="T37" s="117">
        <v>2694.0500000000029</v>
      </c>
      <c r="U37" s="23">
        <f>IFERROR(VLOOKUP(A37,Nosl_līg!A:H,8,FALSE),0)</f>
        <v>4878821.54</v>
      </c>
      <c r="V37" s="23">
        <f>U37-J37</f>
        <v>-63693.459999999963</v>
      </c>
      <c r="W37" s="23">
        <f>O37-S37-V37</f>
        <v>60977.810000000332</v>
      </c>
      <c r="X37" s="23">
        <f>IF(N37&gt;=S37+V37,N37-S37-V37,0)</f>
        <v>60977.810000000332</v>
      </c>
      <c r="Y37" s="23">
        <f t="shared" si="10"/>
        <v>-57885.65999999996</v>
      </c>
      <c r="Z37" s="23">
        <f>IF(H37=0,0, IF(U37-E37+R37-M37&lt;0, 0, U37-E37+R37-M37))</f>
        <v>0</v>
      </c>
      <c r="AA37" s="23" t="e">
        <f>VLOOKUP(A37,#REF!,63,FALSE)/F37+T37</f>
        <v>#REF!</v>
      </c>
      <c r="AB37" s="69" t="e">
        <f t="shared" si="6"/>
        <v>#DIV/0!</v>
      </c>
    </row>
    <row r="38" spans="1:28" ht="66">
      <c r="A38" s="19" t="s">
        <v>165</v>
      </c>
      <c r="B38" s="20" t="s">
        <v>425</v>
      </c>
      <c r="C38" s="21" t="s">
        <v>0</v>
      </c>
      <c r="D38" s="21" t="s">
        <v>5</v>
      </c>
      <c r="E38" s="271">
        <f>VLOOKUP($A38,publ_fin!$A:$I,8,FALSE)</f>
        <v>10720939.08</v>
      </c>
      <c r="F38" s="114">
        <v>0.85000008234605784</v>
      </c>
      <c r="G38" s="115"/>
      <c r="H38" s="262">
        <v>0</v>
      </c>
      <c r="I38" s="115">
        <f>F38*H38</f>
        <v>0</v>
      </c>
      <c r="J38" s="117">
        <v>11135931</v>
      </c>
      <c r="K38" s="117">
        <v>146160.53</v>
      </c>
      <c r="L38" s="117">
        <v>0</v>
      </c>
      <c r="M38" s="23">
        <f t="shared" si="20"/>
        <v>146160.53</v>
      </c>
      <c r="N38" s="54">
        <f>E38-J38</f>
        <v>-414991.91999999993</v>
      </c>
      <c r="O38" s="117">
        <f>H38+N38</f>
        <v>-414991.91999999993</v>
      </c>
      <c r="P38" s="23">
        <v>108056</v>
      </c>
      <c r="Q38" s="23">
        <f>IFERROR(VLOOKUP(A38,lauzti_līg!A:H,8,FALSE),0)</f>
        <v>0</v>
      </c>
      <c r="R38" s="23">
        <f t="shared" si="17"/>
        <v>108056</v>
      </c>
      <c r="S38" s="23">
        <f>R38-M38</f>
        <v>-38104.53</v>
      </c>
      <c r="T38" s="117">
        <v>0</v>
      </c>
      <c r="U38" s="23">
        <f>IFERROR(VLOOKUP(A38,Nosl_līg!A:H,8,FALSE),0)</f>
        <v>10720938.34</v>
      </c>
      <c r="V38" s="23">
        <f>U38-J38</f>
        <v>-414992.66000000015</v>
      </c>
      <c r="W38" s="23">
        <f>O38-S38-V38</f>
        <v>38105.270000000251</v>
      </c>
      <c r="X38" s="23">
        <f>IF(N38&gt;=S38+V38,N38-S38-V38,0)</f>
        <v>38105.270000000251</v>
      </c>
      <c r="Y38" s="23">
        <f t="shared" si="10"/>
        <v>-453097.19000000018</v>
      </c>
      <c r="Z38" s="23">
        <f>IF(H38=0,0, IF(U38-E38+R38-M38&lt;0, 0, U38-E38+R38-M38))</f>
        <v>0</v>
      </c>
      <c r="AA38" s="23" t="e">
        <f>VLOOKUP(A38,#REF!,63,FALSE)/F38+T38</f>
        <v>#REF!</v>
      </c>
      <c r="AB38" s="69" t="e">
        <f t="shared" si="6"/>
        <v>#DIV/0!</v>
      </c>
    </row>
    <row r="39" spans="1:28" ht="66">
      <c r="A39" s="19" t="s">
        <v>179</v>
      </c>
      <c r="B39" s="20" t="s">
        <v>426</v>
      </c>
      <c r="C39" s="21" t="s">
        <v>0</v>
      </c>
      <c r="D39" s="21" t="s">
        <v>5</v>
      </c>
      <c r="E39" s="271">
        <f>VLOOKUP($A39,publ_fin!$A:$I,8,FALSE)</f>
        <v>3923463.77</v>
      </c>
      <c r="F39" s="114">
        <v>0.84999962418411723</v>
      </c>
      <c r="G39" s="115"/>
      <c r="H39" s="262">
        <v>0</v>
      </c>
      <c r="I39" s="115">
        <f>F39*H39</f>
        <v>0</v>
      </c>
      <c r="J39" s="117">
        <v>3912819</v>
      </c>
      <c r="K39" s="117">
        <v>37367.64</v>
      </c>
      <c r="L39" s="117">
        <v>0</v>
      </c>
      <c r="M39" s="23">
        <f t="shared" si="20"/>
        <v>37367.64</v>
      </c>
      <c r="N39" s="54">
        <f>E39-J39</f>
        <v>10644.770000000019</v>
      </c>
      <c r="O39" s="117">
        <f>H39+N39</f>
        <v>10644.770000000019</v>
      </c>
      <c r="P39" s="23">
        <v>52063</v>
      </c>
      <c r="Q39" s="23">
        <f>IFERROR(VLOOKUP(A39,lauzti_līg!A:H,8,FALSE),0)</f>
        <v>0</v>
      </c>
      <c r="R39" s="23">
        <f t="shared" si="17"/>
        <v>52063</v>
      </c>
      <c r="S39" s="23">
        <f>R39-M39</f>
        <v>14695.36</v>
      </c>
      <c r="T39" s="117">
        <v>15270.099999999999</v>
      </c>
      <c r="U39" s="23">
        <f>IFERROR(VLOOKUP(A39,Nosl_līg!A:H,8,FALSE),0)</f>
        <v>3876169.85</v>
      </c>
      <c r="V39" s="23">
        <f>U39-J39</f>
        <v>-36649.149999999907</v>
      </c>
      <c r="W39" s="23">
        <f>O39-S39-V39</f>
        <v>32598.559999999925</v>
      </c>
      <c r="X39" s="23">
        <f>IF(N39&gt;=S39+V39,N39-S39-V39,0)</f>
        <v>32598.559999999925</v>
      </c>
      <c r="Y39" s="23">
        <f t="shared" si="10"/>
        <v>-21953.789999999906</v>
      </c>
      <c r="Z39" s="23">
        <f>IF(H39=0,0, IF(U39-E39+R39-M39&lt;0, 0, U39-E39+R39-M39))</f>
        <v>0</v>
      </c>
      <c r="AA39" s="23" t="e">
        <f>VLOOKUP(A39,#REF!,63,FALSE)/F39+T39</f>
        <v>#REF!</v>
      </c>
      <c r="AB39" s="69" t="e">
        <f t="shared" si="6"/>
        <v>#DIV/0!</v>
      </c>
    </row>
    <row r="40" spans="1:28" ht="82.5">
      <c r="A40" s="14" t="s">
        <v>16</v>
      </c>
      <c r="B40" s="15" t="s">
        <v>427</v>
      </c>
      <c r="C40" s="16" t="s">
        <v>0</v>
      </c>
      <c r="D40" s="16" t="s">
        <v>1</v>
      </c>
      <c r="E40" s="270">
        <f t="shared" ref="E40:AA40" si="34">E41+E46+E49+E52</f>
        <v>36292136.519999996</v>
      </c>
      <c r="F40" s="113"/>
      <c r="G40" s="113">
        <f t="shared" si="34"/>
        <v>0</v>
      </c>
      <c r="H40" s="261">
        <f t="shared" si="34"/>
        <v>1622893</v>
      </c>
      <c r="I40" s="113">
        <f t="shared" si="34"/>
        <v>1622893</v>
      </c>
      <c r="J40" s="113">
        <f t="shared" si="34"/>
        <v>36487230.269999996</v>
      </c>
      <c r="K40" s="113">
        <f t="shared" si="34"/>
        <v>71457.040000000008</v>
      </c>
      <c r="L40" s="113">
        <f t="shared" si="34"/>
        <v>182450</v>
      </c>
      <c r="M40" s="17">
        <f t="shared" si="34"/>
        <v>253907.03999999998</v>
      </c>
      <c r="N40" s="53">
        <f t="shared" si="34"/>
        <v>-195093.75000000175</v>
      </c>
      <c r="O40" s="113">
        <f t="shared" si="34"/>
        <v>1427799.2499999981</v>
      </c>
      <c r="P40" s="17">
        <v>143032</v>
      </c>
      <c r="Q40" s="17">
        <f t="shared" si="34"/>
        <v>182450</v>
      </c>
      <c r="R40" s="17">
        <f t="shared" si="17"/>
        <v>325482</v>
      </c>
      <c r="S40" s="17">
        <f t="shared" ref="S40:U40" si="35">S41+S46+S49+S52</f>
        <v>71574.960000000021</v>
      </c>
      <c r="T40" s="113">
        <v>96337.660000000018</v>
      </c>
      <c r="U40" s="17">
        <f t="shared" si="35"/>
        <v>37825482.439999998</v>
      </c>
      <c r="V40" s="17">
        <f t="shared" si="34"/>
        <v>1338252.169999999</v>
      </c>
      <c r="W40" s="17">
        <f t="shared" si="34"/>
        <v>17972.119999999297</v>
      </c>
      <c r="X40" s="17">
        <f t="shared" si="34"/>
        <v>28495.569999999916</v>
      </c>
      <c r="Y40" s="17">
        <f t="shared" si="10"/>
        <v>1409827.129999999</v>
      </c>
      <c r="Z40" s="17">
        <f t="shared" si="34"/>
        <v>1566569.0699999991</v>
      </c>
      <c r="AA40" s="17" t="e">
        <f t="shared" si="34"/>
        <v>#REF!</v>
      </c>
      <c r="AB40" s="68">
        <f t="shared" si="6"/>
        <v>0.96529411982182378</v>
      </c>
    </row>
    <row r="41" spans="1:28" ht="33">
      <c r="A41" s="19" t="s">
        <v>17</v>
      </c>
      <c r="B41" s="20" t="s">
        <v>428</v>
      </c>
      <c r="C41" s="21" t="s">
        <v>0</v>
      </c>
      <c r="D41" s="21" t="s">
        <v>1</v>
      </c>
      <c r="E41" s="269">
        <f t="shared" ref="E41:AA41" si="36">E42+E43+E44+E45</f>
        <v>25389715.879999999</v>
      </c>
      <c r="F41" s="116"/>
      <c r="G41" s="116">
        <f t="shared" si="36"/>
        <v>0</v>
      </c>
      <c r="H41" s="18">
        <f t="shared" si="36"/>
        <v>1622893</v>
      </c>
      <c r="I41" s="116">
        <f t="shared" si="36"/>
        <v>1622893</v>
      </c>
      <c r="J41" s="116">
        <f t="shared" si="36"/>
        <v>25389253.899999999</v>
      </c>
      <c r="K41" s="116">
        <f t="shared" si="36"/>
        <v>32768.020000000004</v>
      </c>
      <c r="L41" s="116">
        <f t="shared" si="36"/>
        <v>0</v>
      </c>
      <c r="M41" s="18">
        <f t="shared" si="36"/>
        <v>32768.020000000004</v>
      </c>
      <c r="N41" s="54">
        <f t="shared" si="36"/>
        <v>461.97999999858439</v>
      </c>
      <c r="O41" s="116">
        <f t="shared" si="36"/>
        <v>1623354.9799999986</v>
      </c>
      <c r="P41" s="18">
        <v>51157</v>
      </c>
      <c r="Q41" s="18">
        <f t="shared" si="36"/>
        <v>0</v>
      </c>
      <c r="R41" s="18">
        <f t="shared" si="17"/>
        <v>51157</v>
      </c>
      <c r="S41" s="18">
        <f t="shared" ref="S41:U41" si="37">S42+S43+S44+S45</f>
        <v>18388.98</v>
      </c>
      <c r="T41" s="116">
        <v>60290.1</v>
      </c>
      <c r="U41" s="18">
        <f t="shared" si="37"/>
        <v>27004743.350000001</v>
      </c>
      <c r="V41" s="18">
        <f t="shared" si="36"/>
        <v>1615489.4499999993</v>
      </c>
      <c r="W41" s="18">
        <f t="shared" si="36"/>
        <v>-10523.450000000623</v>
      </c>
      <c r="X41" s="18">
        <f t="shared" si="36"/>
        <v>0</v>
      </c>
      <c r="Y41" s="18">
        <f t="shared" si="10"/>
        <v>1633878.4299999992</v>
      </c>
      <c r="Z41" s="18">
        <f t="shared" si="36"/>
        <v>1566569.0699999991</v>
      </c>
      <c r="AA41" s="18" t="e">
        <f t="shared" si="36"/>
        <v>#REF!</v>
      </c>
      <c r="AB41" s="70">
        <f t="shared" si="6"/>
        <v>0.96529411982182378</v>
      </c>
    </row>
    <row r="42" spans="1:28" ht="82.5">
      <c r="A42" s="19" t="s">
        <v>18</v>
      </c>
      <c r="B42" s="20" t="s">
        <v>429</v>
      </c>
      <c r="C42" s="21" t="s">
        <v>0</v>
      </c>
      <c r="D42" s="21" t="s">
        <v>5</v>
      </c>
      <c r="E42" s="271">
        <f>VLOOKUP($A42,publ_fin!$A:$I,8,FALSE)</f>
        <v>0</v>
      </c>
      <c r="F42" s="114">
        <v>0</v>
      </c>
      <c r="G42" s="115"/>
      <c r="H42" s="262">
        <v>0</v>
      </c>
      <c r="I42" s="115">
        <f>F42*H42</f>
        <v>0</v>
      </c>
      <c r="J42" s="117">
        <v>0</v>
      </c>
      <c r="K42" s="117">
        <v>0</v>
      </c>
      <c r="L42" s="117">
        <v>0</v>
      </c>
      <c r="M42" s="23">
        <f t="shared" si="20"/>
        <v>0</v>
      </c>
      <c r="N42" s="54">
        <f>E42-J42</f>
        <v>0</v>
      </c>
      <c r="O42" s="117">
        <f>H42+N42</f>
        <v>0</v>
      </c>
      <c r="P42" s="23">
        <v>0</v>
      </c>
      <c r="Q42" s="23">
        <f>IFERROR(VLOOKUP(A42,lauzti_līg!A:H,8,FALSE),0)</f>
        <v>0</v>
      </c>
      <c r="R42" s="23">
        <f t="shared" si="17"/>
        <v>0</v>
      </c>
      <c r="S42" s="23">
        <f>R42-M42</f>
        <v>0</v>
      </c>
      <c r="T42" s="117">
        <v>0</v>
      </c>
      <c r="U42" s="23">
        <f>IFERROR(VLOOKUP(A42,Nosl_līg!A:H,8,FALSE),0)</f>
        <v>0</v>
      </c>
      <c r="V42" s="23">
        <f>U42-J42</f>
        <v>0</v>
      </c>
      <c r="W42" s="23">
        <f>O42-S42-V42</f>
        <v>0</v>
      </c>
      <c r="X42" s="23">
        <f>IF(N42&gt;=S42+V42,N42-S42-V42,0)</f>
        <v>0</v>
      </c>
      <c r="Y42" s="23">
        <f t="shared" si="10"/>
        <v>0</v>
      </c>
      <c r="Z42" s="23">
        <f>IF(H42=0,0, IF(U42-E42+R42-M42&lt;0, 0, U42-E42+R42-M42))</f>
        <v>0</v>
      </c>
      <c r="AA42" s="23">
        <v>0</v>
      </c>
      <c r="AB42" s="69" t="e">
        <f t="shared" si="6"/>
        <v>#DIV/0!</v>
      </c>
    </row>
    <row r="43" spans="1:28" ht="49.5">
      <c r="A43" s="19" t="s">
        <v>19</v>
      </c>
      <c r="B43" s="20" t="s">
        <v>430</v>
      </c>
      <c r="C43" s="21" t="s">
        <v>0</v>
      </c>
      <c r="D43" s="21" t="s">
        <v>138</v>
      </c>
      <c r="E43" s="271">
        <f>VLOOKUP($A43,publ_fin!$A:$I,8,FALSE)</f>
        <v>5441400.2300000004</v>
      </c>
      <c r="F43" s="114">
        <v>1</v>
      </c>
      <c r="G43" s="115"/>
      <c r="H43" s="262">
        <v>1622893</v>
      </c>
      <c r="I43" s="115">
        <f>F43*H43</f>
        <v>1622893</v>
      </c>
      <c r="J43" s="117">
        <v>5440938.9000000004</v>
      </c>
      <c r="K43" s="117">
        <v>7059.05</v>
      </c>
      <c r="L43" s="117">
        <v>0</v>
      </c>
      <c r="M43" s="23">
        <f t="shared" si="20"/>
        <v>7059.05</v>
      </c>
      <c r="N43" s="54">
        <f>E43-J43</f>
        <v>461.33000000007451</v>
      </c>
      <c r="O43" s="117">
        <f>H43+N43</f>
        <v>1623354.33</v>
      </c>
      <c r="P43" s="23">
        <v>7121</v>
      </c>
      <c r="Q43" s="23">
        <f>IFERROR(VLOOKUP(A43,lauzti_līg!A:H,8,FALSE),0)</f>
        <v>0</v>
      </c>
      <c r="R43" s="23">
        <f t="shared" si="17"/>
        <v>7121</v>
      </c>
      <c r="S43" s="23">
        <f>R43-M43</f>
        <v>61.949999999999818</v>
      </c>
      <c r="T43" s="117">
        <v>59499.82</v>
      </c>
      <c r="U43" s="23">
        <f>IFERROR(VLOOKUP(A43,Nosl_līg!A:H,8,FALSE),0)</f>
        <v>7056429.3499999996</v>
      </c>
      <c r="V43" s="23">
        <f>U43-J43</f>
        <v>1615490.4499999993</v>
      </c>
      <c r="W43" s="23">
        <f>O43-S43-V43</f>
        <v>7801.9300000008661</v>
      </c>
      <c r="X43" s="23">
        <f>IF(N43&gt;=S43+V43,N43-S43-V43,0)</f>
        <v>0</v>
      </c>
      <c r="Y43" s="23">
        <f t="shared" si="10"/>
        <v>1615552.3999999992</v>
      </c>
      <c r="Z43" s="23">
        <f>IF(H43=0,0, IF(U43-E43+R43-M43&lt;0, 0, U43-E43+R43-M43))-48522</f>
        <v>1566569.0699999991</v>
      </c>
      <c r="AA43" s="23" t="e">
        <f>VLOOKUP(A43,#REF!,63,FALSE)/F43+T43</f>
        <v>#REF!</v>
      </c>
      <c r="AB43" s="69">
        <f t="shared" si="6"/>
        <v>0.96529411982182378</v>
      </c>
    </row>
    <row r="44" spans="1:28" ht="49.5">
      <c r="A44" s="19" t="s">
        <v>20</v>
      </c>
      <c r="B44" s="20" t="s">
        <v>431</v>
      </c>
      <c r="C44" s="21" t="s">
        <v>0</v>
      </c>
      <c r="D44" s="21" t="s">
        <v>5</v>
      </c>
      <c r="E44" s="271">
        <f>VLOOKUP($A44,publ_fin!$A:$I,8,FALSE)</f>
        <v>0</v>
      </c>
      <c r="F44" s="114">
        <v>0</v>
      </c>
      <c r="G44" s="115"/>
      <c r="H44" s="262">
        <v>0</v>
      </c>
      <c r="I44" s="115">
        <f>F44*H44</f>
        <v>0</v>
      </c>
      <c r="J44" s="117">
        <v>0</v>
      </c>
      <c r="K44" s="117">
        <v>0</v>
      </c>
      <c r="L44" s="117">
        <v>0</v>
      </c>
      <c r="M44" s="23">
        <f t="shared" si="20"/>
        <v>0</v>
      </c>
      <c r="N44" s="54">
        <f>E44-J44</f>
        <v>0</v>
      </c>
      <c r="O44" s="117">
        <f>H44+N44</f>
        <v>0</v>
      </c>
      <c r="P44" s="23">
        <v>0</v>
      </c>
      <c r="Q44" s="23">
        <f>IFERROR(VLOOKUP(A44,lauzti_līg!A:H,8,FALSE),0)</f>
        <v>0</v>
      </c>
      <c r="R44" s="23">
        <f t="shared" si="17"/>
        <v>0</v>
      </c>
      <c r="S44" s="23">
        <f>R44-M44</f>
        <v>0</v>
      </c>
      <c r="T44" s="117">
        <v>0</v>
      </c>
      <c r="U44" s="23">
        <f>IFERROR(VLOOKUP(A44,Nosl_līg!A:H,8,FALSE),0)</f>
        <v>0</v>
      </c>
      <c r="V44" s="23">
        <f>U44-J44</f>
        <v>0</v>
      </c>
      <c r="W44" s="23">
        <f>O44-S44-V44</f>
        <v>0</v>
      </c>
      <c r="X44" s="23">
        <f>IF(N44&gt;=S44+V44,N44-S44-V44,0)</f>
        <v>0</v>
      </c>
      <c r="Y44" s="23">
        <f t="shared" si="10"/>
        <v>0</v>
      </c>
      <c r="Z44" s="23">
        <f>IF(H44=0,0, IF(U44-E44+R44-M44&lt;0, 0, U44-E44+R44-M44))</f>
        <v>0</v>
      </c>
      <c r="AA44" s="23">
        <v>0</v>
      </c>
      <c r="AB44" s="69" t="e">
        <f t="shared" si="6"/>
        <v>#DIV/0!</v>
      </c>
    </row>
    <row r="45" spans="1:28" ht="66">
      <c r="A45" s="19" t="s">
        <v>238</v>
      </c>
      <c r="B45" s="20" t="s">
        <v>432</v>
      </c>
      <c r="C45" s="21" t="s">
        <v>0</v>
      </c>
      <c r="D45" s="21" t="s">
        <v>5</v>
      </c>
      <c r="E45" s="271">
        <f>VLOOKUP($A45,publ_fin!$A:$I,8,FALSE)</f>
        <v>19948315.649999999</v>
      </c>
      <c r="F45" s="114">
        <v>0.84999997882026701</v>
      </c>
      <c r="G45" s="115"/>
      <c r="H45" s="262">
        <v>0</v>
      </c>
      <c r="I45" s="115">
        <f>F45*H45</f>
        <v>0</v>
      </c>
      <c r="J45" s="117">
        <v>19948315</v>
      </c>
      <c r="K45" s="117">
        <v>25708.97</v>
      </c>
      <c r="L45" s="117">
        <v>0</v>
      </c>
      <c r="M45" s="23">
        <f t="shared" si="20"/>
        <v>25708.97</v>
      </c>
      <c r="N45" s="54">
        <f>E45-J45</f>
        <v>0.64999999850988388</v>
      </c>
      <c r="O45" s="117">
        <f>H45+N45</f>
        <v>0.64999999850988388</v>
      </c>
      <c r="P45" s="23">
        <v>44036</v>
      </c>
      <c r="Q45" s="23">
        <f>IFERROR(VLOOKUP(A45,lauzti_līg!A:H,8,FALSE),0)</f>
        <v>0</v>
      </c>
      <c r="R45" s="23">
        <f t="shared" si="17"/>
        <v>44036</v>
      </c>
      <c r="S45" s="23">
        <f>R45-M45</f>
        <v>18327.03</v>
      </c>
      <c r="T45" s="117">
        <v>790.27999999999884</v>
      </c>
      <c r="U45" s="23">
        <f>IFERROR(VLOOKUP(A45,Nosl_līg!A:H,8,FALSE),0)</f>
        <v>19948314</v>
      </c>
      <c r="V45" s="23">
        <f>U45-J45</f>
        <v>-1</v>
      </c>
      <c r="W45" s="23">
        <f>O45-S45-V45</f>
        <v>-18325.380000001489</v>
      </c>
      <c r="X45" s="23">
        <f>IF(N45&gt;=S45+V45,N45-S45-V45,0)</f>
        <v>0</v>
      </c>
      <c r="Y45" s="23">
        <f t="shared" si="10"/>
        <v>18326.03</v>
      </c>
      <c r="Z45" s="23">
        <f>IF(H45=0,0, IF(U45-E45+R45-M45&lt;0, 0, U45-E45+R45-M45))</f>
        <v>0</v>
      </c>
      <c r="AA45" s="23" t="e">
        <f>VLOOKUP(A45,#REF!,63,FALSE)/F45+T45</f>
        <v>#REF!</v>
      </c>
      <c r="AB45" s="69" t="e">
        <f t="shared" si="6"/>
        <v>#DIV/0!</v>
      </c>
    </row>
    <row r="46" spans="1:28" s="40" customFormat="1" ht="66">
      <c r="A46" s="19" t="s">
        <v>21</v>
      </c>
      <c r="B46" s="20" t="s">
        <v>433</v>
      </c>
      <c r="C46" s="21" t="s">
        <v>0</v>
      </c>
      <c r="D46" s="21" t="s">
        <v>5</v>
      </c>
      <c r="E46" s="269">
        <f t="shared" ref="E46:AA46" si="38">E47+E48</f>
        <v>0</v>
      </c>
      <c r="F46" s="116"/>
      <c r="G46" s="116">
        <f t="shared" si="38"/>
        <v>0</v>
      </c>
      <c r="H46" s="18">
        <f>H47+H48</f>
        <v>0</v>
      </c>
      <c r="I46" s="116">
        <f t="shared" si="38"/>
        <v>0</v>
      </c>
      <c r="J46" s="116">
        <f t="shared" si="38"/>
        <v>0</v>
      </c>
      <c r="K46" s="116">
        <f t="shared" si="38"/>
        <v>0</v>
      </c>
      <c r="L46" s="116">
        <f t="shared" si="38"/>
        <v>0</v>
      </c>
      <c r="M46" s="18">
        <f t="shared" si="38"/>
        <v>0</v>
      </c>
      <c r="N46" s="54">
        <f t="shared" si="38"/>
        <v>0</v>
      </c>
      <c r="O46" s="116">
        <f t="shared" si="38"/>
        <v>0</v>
      </c>
      <c r="P46" s="18">
        <v>0</v>
      </c>
      <c r="Q46" s="18">
        <f t="shared" si="38"/>
        <v>0</v>
      </c>
      <c r="R46" s="18">
        <f t="shared" si="17"/>
        <v>0</v>
      </c>
      <c r="S46" s="18">
        <f t="shared" si="38"/>
        <v>0</v>
      </c>
      <c r="T46" s="116">
        <v>0</v>
      </c>
      <c r="U46" s="18">
        <f t="shared" si="38"/>
        <v>0</v>
      </c>
      <c r="V46" s="18">
        <f t="shared" si="38"/>
        <v>0</v>
      </c>
      <c r="W46" s="18">
        <f t="shared" si="38"/>
        <v>0</v>
      </c>
      <c r="X46" s="18">
        <f t="shared" si="38"/>
        <v>0</v>
      </c>
      <c r="Y46" s="18">
        <f t="shared" si="10"/>
        <v>0</v>
      </c>
      <c r="Z46" s="18">
        <f t="shared" si="38"/>
        <v>0</v>
      </c>
      <c r="AA46" s="18">
        <f t="shared" si="38"/>
        <v>0</v>
      </c>
      <c r="AB46" s="70" t="e">
        <f t="shared" si="6"/>
        <v>#DIV/0!</v>
      </c>
    </row>
    <row r="47" spans="1:28" ht="49.5">
      <c r="A47" s="19" t="s">
        <v>22</v>
      </c>
      <c r="B47" s="20" t="s">
        <v>434</v>
      </c>
      <c r="C47" s="21" t="s">
        <v>0</v>
      </c>
      <c r="D47" s="21" t="s">
        <v>5</v>
      </c>
      <c r="E47" s="271">
        <f>VLOOKUP($A47,publ_fin!$A:$I,8,FALSE)</f>
        <v>0</v>
      </c>
      <c r="F47" s="114">
        <v>0</v>
      </c>
      <c r="G47" s="115"/>
      <c r="H47" s="262">
        <v>0</v>
      </c>
      <c r="I47" s="115">
        <f>F47*H47</f>
        <v>0</v>
      </c>
      <c r="J47" s="117">
        <v>0</v>
      </c>
      <c r="K47" s="117">
        <v>0</v>
      </c>
      <c r="L47" s="117">
        <v>0</v>
      </c>
      <c r="M47" s="23">
        <f t="shared" si="20"/>
        <v>0</v>
      </c>
      <c r="N47" s="54">
        <f>E47-J47</f>
        <v>0</v>
      </c>
      <c r="O47" s="117">
        <f>H47+N47</f>
        <v>0</v>
      </c>
      <c r="P47" s="23">
        <v>0</v>
      </c>
      <c r="Q47" s="23">
        <f>IFERROR(VLOOKUP(A47,lauzti_līg!A:H,8,FALSE),0)</f>
        <v>0</v>
      </c>
      <c r="R47" s="23">
        <f t="shared" si="17"/>
        <v>0</v>
      </c>
      <c r="S47" s="23">
        <f>R47-M47</f>
        <v>0</v>
      </c>
      <c r="T47" s="117">
        <v>0</v>
      </c>
      <c r="U47" s="23">
        <f>IFERROR(VLOOKUP(A47,Nosl_līg!A:H,8,FALSE),0)</f>
        <v>0</v>
      </c>
      <c r="V47" s="23">
        <f>U47-J47</f>
        <v>0</v>
      </c>
      <c r="W47" s="23">
        <f>O47-S47-V47</f>
        <v>0</v>
      </c>
      <c r="X47" s="23">
        <f>IF(N47&gt;=S47+V47,N47-S47-V47,0)</f>
        <v>0</v>
      </c>
      <c r="Y47" s="23">
        <f t="shared" si="10"/>
        <v>0</v>
      </c>
      <c r="Z47" s="23">
        <f>IF(H47=0,0, IF(U47-E47+R47-M47&lt;0, 0, U47-E47+R47-M47))</f>
        <v>0</v>
      </c>
      <c r="AA47" s="23">
        <v>0</v>
      </c>
      <c r="AB47" s="69" t="e">
        <f t="shared" si="6"/>
        <v>#DIV/0!</v>
      </c>
    </row>
    <row r="48" spans="1:28" ht="82.5">
      <c r="A48" s="19" t="s">
        <v>23</v>
      </c>
      <c r="B48" s="20" t="s">
        <v>435</v>
      </c>
      <c r="C48" s="21" t="s">
        <v>0</v>
      </c>
      <c r="D48" s="21" t="s">
        <v>5</v>
      </c>
      <c r="E48" s="271">
        <f>VLOOKUP($A48,publ_fin!$A:$I,8,FALSE)</f>
        <v>0</v>
      </c>
      <c r="F48" s="114">
        <v>0</v>
      </c>
      <c r="G48" s="115"/>
      <c r="H48" s="262">
        <v>0</v>
      </c>
      <c r="I48" s="115">
        <f>F48*H48</f>
        <v>0</v>
      </c>
      <c r="J48" s="117">
        <v>0</v>
      </c>
      <c r="K48" s="117">
        <v>0</v>
      </c>
      <c r="L48" s="117">
        <v>0</v>
      </c>
      <c r="M48" s="23">
        <f t="shared" si="20"/>
        <v>0</v>
      </c>
      <c r="N48" s="54">
        <f>E48-J48</f>
        <v>0</v>
      </c>
      <c r="O48" s="117">
        <f>H48+N48</f>
        <v>0</v>
      </c>
      <c r="P48" s="23">
        <v>0</v>
      </c>
      <c r="Q48" s="23">
        <f>IFERROR(VLOOKUP(A48,lauzti_līg!A:H,8,FALSE),0)</f>
        <v>0</v>
      </c>
      <c r="R48" s="23">
        <f t="shared" si="17"/>
        <v>0</v>
      </c>
      <c r="S48" s="23">
        <f>R48-M48</f>
        <v>0</v>
      </c>
      <c r="T48" s="117">
        <v>0</v>
      </c>
      <c r="U48" s="23">
        <f>IFERROR(VLOOKUP(A48,Nosl_līg!A:H,8,FALSE),0)</f>
        <v>0</v>
      </c>
      <c r="V48" s="23">
        <f>U48-J48</f>
        <v>0</v>
      </c>
      <c r="W48" s="23">
        <f>O48-S48-V48</f>
        <v>0</v>
      </c>
      <c r="X48" s="23">
        <f>IF(N48&gt;=S48+V48,N48-S48-V48,0)</f>
        <v>0</v>
      </c>
      <c r="Y48" s="23">
        <f t="shared" si="10"/>
        <v>0</v>
      </c>
      <c r="Z48" s="23">
        <f>IF(H48=0,0, IF(U48-E48+R48-M48&lt;0, 0, U48-E48+R48-M48))</f>
        <v>0</v>
      </c>
      <c r="AA48" s="23">
        <v>0</v>
      </c>
      <c r="AB48" s="69" t="e">
        <f t="shared" si="6"/>
        <v>#DIV/0!</v>
      </c>
    </row>
    <row r="49" spans="1:28" ht="66">
      <c r="A49" s="19" t="s">
        <v>24</v>
      </c>
      <c r="B49" s="20" t="s">
        <v>436</v>
      </c>
      <c r="C49" s="21" t="s">
        <v>0</v>
      </c>
      <c r="D49" s="21" t="s">
        <v>5</v>
      </c>
      <c r="E49" s="269">
        <f t="shared" ref="E49:AA49" si="39">E50+E51</f>
        <v>973356.13</v>
      </c>
      <c r="F49" s="116"/>
      <c r="G49" s="116">
        <f t="shared" si="39"/>
        <v>0</v>
      </c>
      <c r="H49" s="18">
        <f t="shared" si="39"/>
        <v>0</v>
      </c>
      <c r="I49" s="116">
        <f t="shared" si="39"/>
        <v>0</v>
      </c>
      <c r="J49" s="116">
        <f t="shared" si="39"/>
        <v>973356</v>
      </c>
      <c r="K49" s="116">
        <f t="shared" si="39"/>
        <v>1230.76</v>
      </c>
      <c r="L49" s="116">
        <f t="shared" si="39"/>
        <v>0</v>
      </c>
      <c r="M49" s="18">
        <f t="shared" si="39"/>
        <v>1230.76</v>
      </c>
      <c r="N49" s="54">
        <f t="shared" si="39"/>
        <v>0.13000000000465661</v>
      </c>
      <c r="O49" s="116">
        <f t="shared" si="39"/>
        <v>0.13000000000465661</v>
      </c>
      <c r="P49" s="18">
        <v>1251</v>
      </c>
      <c r="Q49" s="18">
        <f t="shared" si="39"/>
        <v>0</v>
      </c>
      <c r="R49" s="18">
        <f t="shared" si="17"/>
        <v>1251</v>
      </c>
      <c r="S49" s="18">
        <f t="shared" si="39"/>
        <v>20.240000000000009</v>
      </c>
      <c r="T49" s="116">
        <v>0</v>
      </c>
      <c r="U49" s="18">
        <f t="shared" si="39"/>
        <v>972125</v>
      </c>
      <c r="V49" s="18">
        <f t="shared" si="39"/>
        <v>-1231</v>
      </c>
      <c r="W49" s="18">
        <f t="shared" si="39"/>
        <v>1210.8900000000046</v>
      </c>
      <c r="X49" s="18">
        <f t="shared" si="39"/>
        <v>1210.8900000000046</v>
      </c>
      <c r="Y49" s="18">
        <f t="shared" si="10"/>
        <v>-1210.76</v>
      </c>
      <c r="Z49" s="18">
        <f t="shared" si="39"/>
        <v>0</v>
      </c>
      <c r="AA49" s="18" t="e">
        <f t="shared" si="39"/>
        <v>#REF!</v>
      </c>
      <c r="AB49" s="70" t="e">
        <f t="shared" si="6"/>
        <v>#DIV/0!</v>
      </c>
    </row>
    <row r="50" spans="1:28" ht="66">
      <c r="A50" s="19" t="s">
        <v>25</v>
      </c>
      <c r="B50" s="20" t="s">
        <v>436</v>
      </c>
      <c r="C50" s="21" t="s">
        <v>0</v>
      </c>
      <c r="D50" s="21" t="s">
        <v>5</v>
      </c>
      <c r="E50" s="271">
        <f>VLOOKUP($A50,publ_fin!$A:$I,8,FALSE)</f>
        <v>0</v>
      </c>
      <c r="F50" s="114">
        <v>0</v>
      </c>
      <c r="G50" s="115"/>
      <c r="H50" s="262">
        <v>0</v>
      </c>
      <c r="I50" s="115">
        <f>F50*H50</f>
        <v>0</v>
      </c>
      <c r="J50" s="117">
        <v>0</v>
      </c>
      <c r="K50" s="117">
        <v>0</v>
      </c>
      <c r="L50" s="117">
        <v>0</v>
      </c>
      <c r="M50" s="23">
        <f t="shared" si="20"/>
        <v>0</v>
      </c>
      <c r="N50" s="54">
        <f>E50-J50</f>
        <v>0</v>
      </c>
      <c r="O50" s="117">
        <f>H50+N50</f>
        <v>0</v>
      </c>
      <c r="P50" s="23">
        <v>0</v>
      </c>
      <c r="Q50" s="23">
        <f>IFERROR(VLOOKUP(A50,lauzti_līg!A:H,8,FALSE),0)</f>
        <v>0</v>
      </c>
      <c r="R50" s="23">
        <f t="shared" si="17"/>
        <v>0</v>
      </c>
      <c r="S50" s="23">
        <f>R50-M50</f>
        <v>0</v>
      </c>
      <c r="T50" s="117">
        <v>0</v>
      </c>
      <c r="U50" s="23">
        <f>IFERROR(VLOOKUP(A50,Nosl_līg!A:H,8,FALSE),0)</f>
        <v>0</v>
      </c>
      <c r="V50" s="23">
        <f>U50-J50</f>
        <v>0</v>
      </c>
      <c r="W50" s="23">
        <f>O50-S50-V50</f>
        <v>0</v>
      </c>
      <c r="X50" s="23">
        <f>IF(N50&gt;=S50+V50,N50-S50-V50,0)</f>
        <v>0</v>
      </c>
      <c r="Y50" s="23">
        <f t="shared" si="10"/>
        <v>0</v>
      </c>
      <c r="Z50" s="23">
        <f>IF(H50=0,0, IF(U50-E50+R50-M50&lt;0, 0, U50-E50+R50-M50))</f>
        <v>0</v>
      </c>
      <c r="AA50" s="23">
        <v>0</v>
      </c>
      <c r="AB50" s="69" t="e">
        <f t="shared" si="6"/>
        <v>#DIV/0!</v>
      </c>
    </row>
    <row r="51" spans="1:28" ht="33">
      <c r="A51" s="19" t="s">
        <v>26</v>
      </c>
      <c r="B51" s="20" t="s">
        <v>437</v>
      </c>
      <c r="C51" s="21" t="s">
        <v>0</v>
      </c>
      <c r="D51" s="21" t="s">
        <v>5</v>
      </c>
      <c r="E51" s="271">
        <f>VLOOKUP($A51,publ_fin!$A:$I,8,FALSE)</f>
        <v>973356.13</v>
      </c>
      <c r="F51" s="114">
        <v>1</v>
      </c>
      <c r="G51" s="115"/>
      <c r="H51" s="262">
        <v>0</v>
      </c>
      <c r="I51" s="115">
        <f>F51*H51</f>
        <v>0</v>
      </c>
      <c r="J51" s="117">
        <v>973356</v>
      </c>
      <c r="K51" s="117">
        <v>1230.76</v>
      </c>
      <c r="L51" s="117">
        <v>0</v>
      </c>
      <c r="M51" s="23">
        <f t="shared" si="20"/>
        <v>1230.76</v>
      </c>
      <c r="N51" s="54">
        <f>E51-J51</f>
        <v>0.13000000000465661</v>
      </c>
      <c r="O51" s="117">
        <f>H51+N51</f>
        <v>0.13000000000465661</v>
      </c>
      <c r="P51" s="23">
        <v>1251</v>
      </c>
      <c r="Q51" s="23">
        <f>IFERROR(VLOOKUP(A51,lauzti_līg!A:H,8,FALSE),0)</f>
        <v>0</v>
      </c>
      <c r="R51" s="23">
        <f t="shared" si="17"/>
        <v>1251</v>
      </c>
      <c r="S51" s="23">
        <f>R51-M51</f>
        <v>20.240000000000009</v>
      </c>
      <c r="T51" s="117">
        <v>0</v>
      </c>
      <c r="U51" s="23">
        <f>IFERROR(VLOOKUP(A51,Nosl_līg!A:H,8,FALSE),0)</f>
        <v>972125</v>
      </c>
      <c r="V51" s="23">
        <f>U51-J51</f>
        <v>-1231</v>
      </c>
      <c r="W51" s="23">
        <f>O51-S51-V51</f>
        <v>1210.8900000000046</v>
      </c>
      <c r="X51" s="23">
        <f>IF(N51&gt;=S51+V51,N51-S51-V51,0)</f>
        <v>1210.8900000000046</v>
      </c>
      <c r="Y51" s="23">
        <f t="shared" si="10"/>
        <v>-1210.76</v>
      </c>
      <c r="Z51" s="23">
        <f>IF(H51=0,0, IF(U51-E51+R51-M51&lt;0, 0, U51-E51+R51-M51))</f>
        <v>0</v>
      </c>
      <c r="AA51" s="23" t="e">
        <f>VLOOKUP(A51,#REF!,63,FALSE)/F51+T51</f>
        <v>#REF!</v>
      </c>
      <c r="AB51" s="69" t="e">
        <f t="shared" si="6"/>
        <v>#DIV/0!</v>
      </c>
    </row>
    <row r="52" spans="1:28" ht="82.5">
      <c r="A52" s="19" t="s">
        <v>27</v>
      </c>
      <c r="B52" s="20" t="s">
        <v>438</v>
      </c>
      <c r="C52" s="21" t="s">
        <v>0</v>
      </c>
      <c r="D52" s="21" t="s">
        <v>5</v>
      </c>
      <c r="E52" s="269">
        <f t="shared" ref="E52:AA52" si="40">E53+E54</f>
        <v>9929064.5099999998</v>
      </c>
      <c r="F52" s="116"/>
      <c r="G52" s="116">
        <f t="shared" si="40"/>
        <v>0</v>
      </c>
      <c r="H52" s="18">
        <f t="shared" si="40"/>
        <v>0</v>
      </c>
      <c r="I52" s="116">
        <f t="shared" si="40"/>
        <v>0</v>
      </c>
      <c r="J52" s="116">
        <f t="shared" si="40"/>
        <v>10124620.370000001</v>
      </c>
      <c r="K52" s="116">
        <f t="shared" si="40"/>
        <v>37458.26</v>
      </c>
      <c r="L52" s="116">
        <f t="shared" si="40"/>
        <v>182450</v>
      </c>
      <c r="M52" s="18">
        <f t="shared" si="40"/>
        <v>219908.25999999998</v>
      </c>
      <c r="N52" s="54">
        <f t="shared" si="40"/>
        <v>-195555.86000000034</v>
      </c>
      <c r="O52" s="116">
        <f t="shared" si="40"/>
        <v>-195555.86000000034</v>
      </c>
      <c r="P52" s="18">
        <v>90624</v>
      </c>
      <c r="Q52" s="18">
        <f t="shared" si="40"/>
        <v>182450</v>
      </c>
      <c r="R52" s="18">
        <f t="shared" si="17"/>
        <v>273074</v>
      </c>
      <c r="S52" s="18">
        <f t="shared" si="40"/>
        <v>53165.740000000013</v>
      </c>
      <c r="T52" s="116">
        <v>36047.560000000019</v>
      </c>
      <c r="U52" s="18">
        <f t="shared" si="40"/>
        <v>9848614.0899999999</v>
      </c>
      <c r="V52" s="18">
        <f t="shared" si="40"/>
        <v>-276006.28000000026</v>
      </c>
      <c r="W52" s="18">
        <f t="shared" si="40"/>
        <v>27284.679999999913</v>
      </c>
      <c r="X52" s="18">
        <f t="shared" si="40"/>
        <v>27284.679999999913</v>
      </c>
      <c r="Y52" s="18">
        <f t="shared" si="10"/>
        <v>-222840.54000000024</v>
      </c>
      <c r="Z52" s="18">
        <f t="shared" si="40"/>
        <v>0</v>
      </c>
      <c r="AA52" s="18" t="e">
        <f t="shared" si="40"/>
        <v>#REF!</v>
      </c>
      <c r="AB52" s="70" t="e">
        <f t="shared" si="6"/>
        <v>#DIV/0!</v>
      </c>
    </row>
    <row r="53" spans="1:28" ht="115.5">
      <c r="A53" s="19" t="s">
        <v>28</v>
      </c>
      <c r="B53" s="20" t="s">
        <v>439</v>
      </c>
      <c r="C53" s="21" t="s">
        <v>0</v>
      </c>
      <c r="D53" s="21" t="s">
        <v>5</v>
      </c>
      <c r="E53" s="271">
        <f>VLOOKUP($A53,publ_fin!$A:$I,8,FALSE)</f>
        <v>4216824</v>
      </c>
      <c r="F53" s="114">
        <v>0.85</v>
      </c>
      <c r="G53" s="115"/>
      <c r="H53" s="262">
        <v>0</v>
      </c>
      <c r="I53" s="115">
        <f>F53*H53</f>
        <v>0</v>
      </c>
      <c r="J53" s="117">
        <v>4216823</v>
      </c>
      <c r="K53" s="117">
        <v>6948.74</v>
      </c>
      <c r="L53" s="117">
        <v>0</v>
      </c>
      <c r="M53" s="23">
        <f t="shared" si="20"/>
        <v>6948.74</v>
      </c>
      <c r="N53" s="54">
        <f>E53-J53</f>
        <v>1</v>
      </c>
      <c r="O53" s="117">
        <f>H53+N53</f>
        <v>1</v>
      </c>
      <c r="P53" s="23">
        <v>9658</v>
      </c>
      <c r="Q53" s="23">
        <f>IFERROR(VLOOKUP(A53,lauzti_līg!A:H,8,FALSE),0)</f>
        <v>0</v>
      </c>
      <c r="R53" s="23">
        <f t="shared" si="17"/>
        <v>9658</v>
      </c>
      <c r="S53" s="23">
        <f>R53-M53</f>
        <v>2709.26</v>
      </c>
      <c r="T53" s="117">
        <v>5007.82</v>
      </c>
      <c r="U53" s="23">
        <f>IFERROR(VLOOKUP(A53,Nosl_līg!A:H,8,FALSE),0)</f>
        <v>4207314</v>
      </c>
      <c r="V53" s="23">
        <f>U53-J53</f>
        <v>-9509</v>
      </c>
      <c r="W53" s="23">
        <f>O53-S53-V53</f>
        <v>6800.74</v>
      </c>
      <c r="X53" s="23">
        <f>IF(N53&gt;=S53+V53,N53-S53-V53,0)</f>
        <v>6800.74</v>
      </c>
      <c r="Y53" s="23">
        <f t="shared" si="10"/>
        <v>-6799.74</v>
      </c>
      <c r="Z53" s="23">
        <f>IF(H53=0,0, IF(U53-E53+R53-M53&lt;0, 0, U53-E53+R53-M53))</f>
        <v>0</v>
      </c>
      <c r="AA53" s="23" t="e">
        <f>VLOOKUP(A53,#REF!,63,FALSE)/F53+T53</f>
        <v>#REF!</v>
      </c>
      <c r="AB53" s="69" t="e">
        <f t="shared" si="6"/>
        <v>#DIV/0!</v>
      </c>
    </row>
    <row r="54" spans="1:28" ht="99">
      <c r="A54" s="19" t="s">
        <v>204</v>
      </c>
      <c r="B54" s="20" t="s">
        <v>440</v>
      </c>
      <c r="C54" s="21" t="s">
        <v>0</v>
      </c>
      <c r="D54" s="21" t="s">
        <v>5</v>
      </c>
      <c r="E54" s="271">
        <f>VLOOKUP($A54,publ_fin!$A:$I,8,FALSE)</f>
        <v>5712240.5099999998</v>
      </c>
      <c r="F54" s="114">
        <v>1</v>
      </c>
      <c r="G54" s="115"/>
      <c r="H54" s="262">
        <v>0</v>
      </c>
      <c r="I54" s="115">
        <f>F54*H54</f>
        <v>0</v>
      </c>
      <c r="J54" s="117">
        <v>5907797.3700000001</v>
      </c>
      <c r="K54" s="117">
        <v>30509.52</v>
      </c>
      <c r="L54" s="117">
        <v>182450</v>
      </c>
      <c r="M54" s="23">
        <f t="shared" si="20"/>
        <v>212959.52</v>
      </c>
      <c r="N54" s="54">
        <f>E54-J54</f>
        <v>-195556.86000000034</v>
      </c>
      <c r="O54" s="117">
        <f>H54+N54</f>
        <v>-195556.86000000034</v>
      </c>
      <c r="P54" s="23">
        <v>80966</v>
      </c>
      <c r="Q54" s="23">
        <f>IFERROR(VLOOKUP(A54,lauzti_līg!A:H,8,FALSE),0)</f>
        <v>182450</v>
      </c>
      <c r="R54" s="23">
        <f t="shared" si="17"/>
        <v>263416</v>
      </c>
      <c r="S54" s="23">
        <f>R54-M54</f>
        <v>50456.48000000001</v>
      </c>
      <c r="T54" s="117">
        <v>31039.74000000002</v>
      </c>
      <c r="U54" s="23">
        <f>IFERROR(VLOOKUP(A54,Nosl_līg!A:H,8,FALSE),0)</f>
        <v>5641300.0899999999</v>
      </c>
      <c r="V54" s="23">
        <f>U54-J54</f>
        <v>-266497.28000000026</v>
      </c>
      <c r="W54" s="23">
        <f>O54-S54-V54</f>
        <v>20483.939999999915</v>
      </c>
      <c r="X54" s="23">
        <f>IF(N54&gt;=S54+V54,N54-S54-V54,0)</f>
        <v>20483.939999999915</v>
      </c>
      <c r="Y54" s="23">
        <f t="shared" si="10"/>
        <v>-216040.80000000025</v>
      </c>
      <c r="Z54" s="23">
        <f>IF(H54=0,0, IF(U54-E54+R54-M54&lt;0, 0, U54-E54+R54-M54))</f>
        <v>0</v>
      </c>
      <c r="AA54" s="23" t="e">
        <f>VLOOKUP(A54,#REF!,63,FALSE)/F54+T54</f>
        <v>#REF!</v>
      </c>
      <c r="AB54" s="69" t="e">
        <f t="shared" si="6"/>
        <v>#DIV/0!</v>
      </c>
    </row>
    <row r="55" spans="1:28" ht="33">
      <c r="A55" s="14" t="s">
        <v>383</v>
      </c>
      <c r="B55" s="15" t="s">
        <v>441</v>
      </c>
      <c r="C55" s="16" t="s">
        <v>0</v>
      </c>
      <c r="D55" s="16"/>
      <c r="E55" s="270">
        <f t="shared" ref="E55:AA55" si="41">E56+E73</f>
        <v>198980165.94</v>
      </c>
      <c r="F55" s="113"/>
      <c r="G55" s="113">
        <f t="shared" si="41"/>
        <v>7163639</v>
      </c>
      <c r="H55" s="261">
        <f t="shared" si="41"/>
        <v>30353437</v>
      </c>
      <c r="I55" s="113">
        <f t="shared" si="41"/>
        <v>23923713.663084935</v>
      </c>
      <c r="J55" s="113">
        <f t="shared" si="41"/>
        <v>202850682.66000003</v>
      </c>
      <c r="K55" s="113">
        <f t="shared" si="41"/>
        <v>427626.31</v>
      </c>
      <c r="L55" s="113">
        <f t="shared" si="41"/>
        <v>823449.42</v>
      </c>
      <c r="M55" s="17">
        <f t="shared" si="41"/>
        <v>1251075.7300000002</v>
      </c>
      <c r="N55" s="53">
        <f t="shared" si="41"/>
        <v>3293122.2799999849</v>
      </c>
      <c r="O55" s="113">
        <f t="shared" si="41"/>
        <v>33646559.279999986</v>
      </c>
      <c r="P55" s="17">
        <v>4286516</v>
      </c>
      <c r="Q55" s="17">
        <f t="shared" si="41"/>
        <v>824385.34</v>
      </c>
      <c r="R55" s="17">
        <f t="shared" si="17"/>
        <v>5110901.34</v>
      </c>
      <c r="S55" s="17">
        <f t="shared" ref="S55:U55" si="42">S56+S73</f>
        <v>3859825.6100000003</v>
      </c>
      <c r="T55" s="113">
        <v>111671.72999999992</v>
      </c>
      <c r="U55" s="17">
        <f t="shared" si="42"/>
        <v>222210216.63</v>
      </c>
      <c r="V55" s="17">
        <f t="shared" si="41"/>
        <v>19359533.969999984</v>
      </c>
      <c r="W55" s="17">
        <f t="shared" si="41"/>
        <v>10427199.700000003</v>
      </c>
      <c r="X55" s="17">
        <f t="shared" si="41"/>
        <v>2005046.8400000017</v>
      </c>
      <c r="Y55" s="17">
        <f t="shared" si="10"/>
        <v>23219359.579999983</v>
      </c>
      <c r="Z55" s="17">
        <f t="shared" si="41"/>
        <v>25863173.439999998</v>
      </c>
      <c r="AA55" s="17" t="e">
        <f t="shared" si="41"/>
        <v>#REF!</v>
      </c>
      <c r="AB55" s="68">
        <f t="shared" si="6"/>
        <v>0.85206737675209554</v>
      </c>
    </row>
    <row r="56" spans="1:28" ht="16.5">
      <c r="A56" s="14" t="s">
        <v>29</v>
      </c>
      <c r="B56" s="15" t="s">
        <v>442</v>
      </c>
      <c r="C56" s="16" t="s">
        <v>0</v>
      </c>
      <c r="D56" s="16"/>
      <c r="E56" s="270">
        <f t="shared" ref="E56:AA56" si="43">E57+E63+E64+E67+E68+E69+E70+E71+E72</f>
        <v>188881910.5</v>
      </c>
      <c r="F56" s="113"/>
      <c r="G56" s="113">
        <f t="shared" si="43"/>
        <v>7163639</v>
      </c>
      <c r="H56" s="261">
        <f t="shared" si="43"/>
        <v>29153437</v>
      </c>
      <c r="I56" s="113">
        <f t="shared" si="43"/>
        <v>22887454</v>
      </c>
      <c r="J56" s="113">
        <f t="shared" si="43"/>
        <v>192752428.66000003</v>
      </c>
      <c r="K56" s="113">
        <f t="shared" si="43"/>
        <v>422294.57</v>
      </c>
      <c r="L56" s="113">
        <f t="shared" si="43"/>
        <v>823449.42</v>
      </c>
      <c r="M56" s="17">
        <f t="shared" si="43"/>
        <v>1245743.9900000002</v>
      </c>
      <c r="N56" s="53">
        <f t="shared" si="43"/>
        <v>3293120.8399999854</v>
      </c>
      <c r="O56" s="113">
        <f t="shared" si="43"/>
        <v>32446557.839999989</v>
      </c>
      <c r="P56" s="17">
        <v>4104189</v>
      </c>
      <c r="Q56" s="17">
        <f t="shared" si="43"/>
        <v>824385.34</v>
      </c>
      <c r="R56" s="17">
        <f t="shared" si="17"/>
        <v>4928574.34</v>
      </c>
      <c r="S56" s="17">
        <f t="shared" ref="S56:U56" si="44">S57+S63+S64+S67+S68+S69+S70+S71+S72</f>
        <v>3682830.35</v>
      </c>
      <c r="T56" s="113">
        <v>63510.809999999925</v>
      </c>
      <c r="U56" s="17">
        <f t="shared" si="44"/>
        <v>210966905.02000001</v>
      </c>
      <c r="V56" s="17">
        <f t="shared" si="43"/>
        <v>18214476.359999985</v>
      </c>
      <c r="W56" s="17">
        <f t="shared" si="43"/>
        <v>10549251.130000003</v>
      </c>
      <c r="X56" s="17">
        <f t="shared" si="43"/>
        <v>2005046.8400000017</v>
      </c>
      <c r="Y56" s="17">
        <f t="shared" si="10"/>
        <v>21897306.709999986</v>
      </c>
      <c r="Z56" s="17">
        <f t="shared" si="43"/>
        <v>24663173.439999998</v>
      </c>
      <c r="AA56" s="17" t="e">
        <f t="shared" si="43"/>
        <v>#REF!</v>
      </c>
      <c r="AB56" s="68">
        <f t="shared" si="6"/>
        <v>0.8459782440060154</v>
      </c>
    </row>
    <row r="57" spans="1:28" ht="82.5">
      <c r="A57" s="19" t="s">
        <v>30</v>
      </c>
      <c r="B57" s="20" t="s">
        <v>443</v>
      </c>
      <c r="C57" s="21" t="s">
        <v>0</v>
      </c>
      <c r="D57" s="21"/>
      <c r="E57" s="269">
        <f t="shared" ref="E57:AA57" si="45">E58+E59+E60+E61+E62</f>
        <v>107055467.57000001</v>
      </c>
      <c r="F57" s="116"/>
      <c r="G57" s="116">
        <f t="shared" si="45"/>
        <v>0</v>
      </c>
      <c r="H57" s="18">
        <f t="shared" si="45"/>
        <v>10264083</v>
      </c>
      <c r="I57" s="116">
        <f t="shared" si="45"/>
        <v>9002105</v>
      </c>
      <c r="J57" s="116">
        <f t="shared" si="45"/>
        <v>100109471.77000001</v>
      </c>
      <c r="K57" s="116">
        <f t="shared" si="45"/>
        <v>296947.89</v>
      </c>
      <c r="L57" s="116">
        <f t="shared" si="45"/>
        <v>764333.95000000007</v>
      </c>
      <c r="M57" s="18">
        <f t="shared" si="45"/>
        <v>1061281.8400000001</v>
      </c>
      <c r="N57" s="54">
        <f t="shared" si="45"/>
        <v>6945995.7999999933</v>
      </c>
      <c r="O57" s="116">
        <f t="shared" si="45"/>
        <v>17210078.799999993</v>
      </c>
      <c r="P57" s="18">
        <v>209654</v>
      </c>
      <c r="Q57" s="18">
        <f t="shared" si="45"/>
        <v>765269.87</v>
      </c>
      <c r="R57" s="18">
        <f t="shared" si="17"/>
        <v>974923.87</v>
      </c>
      <c r="S57" s="18">
        <f t="shared" ref="S57:U57" si="46">S58+S59+S60+S61+S62</f>
        <v>-86357.970000000118</v>
      </c>
      <c r="T57" s="116">
        <v>31063.339999999924</v>
      </c>
      <c r="U57" s="18">
        <f t="shared" si="46"/>
        <v>114574067.31999999</v>
      </c>
      <c r="V57" s="18">
        <f t="shared" si="45"/>
        <v>14464595.54999999</v>
      </c>
      <c r="W57" s="18">
        <f t="shared" si="45"/>
        <v>2831841.2200000035</v>
      </c>
      <c r="X57" s="18">
        <f t="shared" si="45"/>
        <v>1682848.7900000017</v>
      </c>
      <c r="Y57" s="18">
        <f t="shared" si="10"/>
        <v>14378237.579999991</v>
      </c>
      <c r="Z57" s="18">
        <f t="shared" si="45"/>
        <v>9111753.5699999984</v>
      </c>
      <c r="AA57" s="18" t="e">
        <f t="shared" si="45"/>
        <v>#REF!</v>
      </c>
      <c r="AB57" s="70">
        <f t="shared" si="6"/>
        <v>0.88773186752289501</v>
      </c>
    </row>
    <row r="58" spans="1:28" ht="82.5">
      <c r="A58" s="19" t="s">
        <v>243</v>
      </c>
      <c r="B58" s="20" t="s">
        <v>444</v>
      </c>
      <c r="C58" s="21" t="s">
        <v>0</v>
      </c>
      <c r="D58" s="21" t="s">
        <v>137</v>
      </c>
      <c r="E58" s="271">
        <f>VLOOKUP($A58,publ_fin!$A:$I,8,FALSE)</f>
        <v>22271562.170000002</v>
      </c>
      <c r="F58" s="114">
        <v>1</v>
      </c>
      <c r="G58" s="115"/>
      <c r="H58" s="262">
        <v>481950</v>
      </c>
      <c r="I58" s="115">
        <f>F58*H58</f>
        <v>481950</v>
      </c>
      <c r="J58" s="117">
        <v>18120524.52</v>
      </c>
      <c r="K58" s="117">
        <v>18244.919999999998</v>
      </c>
      <c r="L58" s="117">
        <v>44369.66</v>
      </c>
      <c r="M58" s="23">
        <f t="shared" si="20"/>
        <v>62614.58</v>
      </c>
      <c r="N58" s="54">
        <f t="shared" ref="N58:N63" si="47">E58-J58</f>
        <v>4151037.6500000022</v>
      </c>
      <c r="O58" s="117">
        <f t="shared" ref="O58:O63" si="48">H58+N58</f>
        <v>4632987.6500000022</v>
      </c>
      <c r="P58" s="23">
        <v>110369</v>
      </c>
      <c r="Q58" s="23">
        <f>IFERROR(VLOOKUP(A58,lauzti_līg!A:H,8,FALSE),0)</f>
        <v>44369.66</v>
      </c>
      <c r="R58" s="23">
        <f t="shared" si="17"/>
        <v>154738.66</v>
      </c>
      <c r="S58" s="23">
        <f t="shared" ref="S58:S63" si="49">R58-M58</f>
        <v>92124.08</v>
      </c>
      <c r="T58" s="117">
        <v>30127.42</v>
      </c>
      <c r="U58" s="23">
        <f>IFERROR(VLOOKUP(A58,Nosl_līg!A:H,8,FALSE),0)</f>
        <v>20678857.66</v>
      </c>
      <c r="V58" s="23">
        <f t="shared" ref="V58:V63" si="50">U58-J58</f>
        <v>2558333.1400000006</v>
      </c>
      <c r="W58" s="23">
        <f t="shared" ref="W58:W63" si="51">O58-S58-V58</f>
        <v>1982530.4300000016</v>
      </c>
      <c r="X58" s="23">
        <f t="shared" ref="X58:X63" si="52">IF(N58&gt;=S58+V58,N58-S58-V58,0)</f>
        <v>1500580.4300000016</v>
      </c>
      <c r="Y58" s="23">
        <f t="shared" si="10"/>
        <v>2650457.2200000007</v>
      </c>
      <c r="Z58" s="23">
        <f>IF(H58=0,0, IF(U58-E58+R58-M58&lt;0, 0, U58-E58+R58-M58))</f>
        <v>0</v>
      </c>
      <c r="AA58" s="23" t="e">
        <f>VLOOKUP(A58,#REF!,63,FALSE)/F58+T58</f>
        <v>#REF!</v>
      </c>
      <c r="AB58" s="69">
        <f t="shared" si="6"/>
        <v>0</v>
      </c>
    </row>
    <row r="59" spans="1:28" ht="33">
      <c r="A59" s="19" t="s">
        <v>171</v>
      </c>
      <c r="B59" s="20" t="s">
        <v>445</v>
      </c>
      <c r="C59" s="21" t="s">
        <v>0</v>
      </c>
      <c r="D59" s="21" t="s">
        <v>138</v>
      </c>
      <c r="E59" s="271">
        <f>VLOOKUP($A59,publ_fin!$A:$I,8,FALSE)</f>
        <v>75810888.359999999</v>
      </c>
      <c r="F59" s="114">
        <v>0.92179130955642063</v>
      </c>
      <c r="G59" s="115"/>
      <c r="H59" s="262">
        <v>8238007</v>
      </c>
      <c r="I59" s="115">
        <v>6976029</v>
      </c>
      <c r="J59" s="117">
        <v>75692508.850000009</v>
      </c>
      <c r="K59" s="117">
        <v>19639.22</v>
      </c>
      <c r="L59" s="117">
        <v>0</v>
      </c>
      <c r="M59" s="23">
        <f t="shared" si="20"/>
        <v>19639.22</v>
      </c>
      <c r="N59" s="54">
        <f t="shared" si="47"/>
        <v>118379.50999999046</v>
      </c>
      <c r="O59" s="117">
        <f t="shared" si="48"/>
        <v>8356386.5099999905</v>
      </c>
      <c r="P59" s="23">
        <v>23101</v>
      </c>
      <c r="Q59" s="23">
        <f>IFERROR(VLOOKUP(A59,lauzti_līg!A:H,8,FALSE),0)</f>
        <v>0</v>
      </c>
      <c r="R59" s="23">
        <f t="shared" si="17"/>
        <v>23101</v>
      </c>
      <c r="S59" s="23">
        <f t="shared" si="49"/>
        <v>3461.7799999999988</v>
      </c>
      <c r="T59" s="117">
        <v>0</v>
      </c>
      <c r="U59" s="23">
        <f>IFERROR(VLOOKUP(A59,Nosl_līg!A:H,8,FALSE),0)</f>
        <v>83378391.689999998</v>
      </c>
      <c r="V59" s="23">
        <f t="shared" si="50"/>
        <v>7685882.8399999887</v>
      </c>
      <c r="W59" s="23">
        <f t="shared" si="51"/>
        <v>667041.89000000153</v>
      </c>
      <c r="X59" s="23">
        <f t="shared" si="52"/>
        <v>0</v>
      </c>
      <c r="Y59" s="23">
        <f t="shared" si="10"/>
        <v>7689344.6199999889</v>
      </c>
      <c r="Z59" s="23">
        <f>IF(H59=0,0, IF(U59-E59+R59-M59&lt;0, 0, U59-E59+R59-M59))-3337</f>
        <v>7567628.1099999985</v>
      </c>
      <c r="AA59" s="23" t="e">
        <f>VLOOKUP(A59,#REF!,63,FALSE)/F59+T59</f>
        <v>#REF!</v>
      </c>
      <c r="AB59" s="69">
        <f t="shared" si="6"/>
        <v>0.91862365618286057</v>
      </c>
    </row>
    <row r="60" spans="1:28" ht="99">
      <c r="A60" s="19" t="s">
        <v>246</v>
      </c>
      <c r="B60" s="20" t="s">
        <v>446</v>
      </c>
      <c r="C60" s="21" t="s">
        <v>0</v>
      </c>
      <c r="D60" s="21" t="s">
        <v>137</v>
      </c>
      <c r="E60" s="271">
        <f>VLOOKUP($A60,publ_fin!$A:$I,8,FALSE)</f>
        <v>1965253.64</v>
      </c>
      <c r="F60" s="114">
        <v>1</v>
      </c>
      <c r="G60" s="115"/>
      <c r="H60" s="262">
        <v>0</v>
      </c>
      <c r="I60" s="115">
        <f>F60*H60</f>
        <v>0</v>
      </c>
      <c r="J60" s="117">
        <v>2288999.2299999995</v>
      </c>
      <c r="K60" s="117">
        <v>255542.3</v>
      </c>
      <c r="L60" s="117">
        <v>719964.29</v>
      </c>
      <c r="M60" s="23">
        <f t="shared" si="20"/>
        <v>975506.59000000008</v>
      </c>
      <c r="N60" s="54">
        <f t="shared" si="47"/>
        <v>-323745.58999999962</v>
      </c>
      <c r="O60" s="117">
        <f t="shared" si="48"/>
        <v>-323745.58999999962</v>
      </c>
      <c r="P60" s="23">
        <v>72663</v>
      </c>
      <c r="Q60" s="23">
        <f>IFERROR(VLOOKUP(A60,lauzti_līg!A:H,8,FALSE),0)</f>
        <v>720900.21</v>
      </c>
      <c r="R60" s="23">
        <f t="shared" si="17"/>
        <v>793563.21</v>
      </c>
      <c r="S60" s="23">
        <f t="shared" si="49"/>
        <v>-181943.38000000012</v>
      </c>
      <c r="T60" s="117">
        <v>935.91999999992549</v>
      </c>
      <c r="U60" s="23">
        <f>IFERROR(VLOOKUP(A60,Nosl_līg!A:H,8,FALSE),0)</f>
        <v>1965252.94</v>
      </c>
      <c r="V60" s="23">
        <f t="shared" si="50"/>
        <v>-323746.28999999957</v>
      </c>
      <c r="W60" s="23">
        <f t="shared" si="51"/>
        <v>181944.08000000007</v>
      </c>
      <c r="X60" s="23">
        <f t="shared" si="52"/>
        <v>181944.08000000007</v>
      </c>
      <c r="Y60" s="23">
        <f t="shared" si="10"/>
        <v>-505689.66999999969</v>
      </c>
      <c r="Z60" s="23">
        <f>IF(H60=0,0, IF(U60-E60+R60-M60&lt;0, 0, U60-E60+R60-M60))</f>
        <v>0</v>
      </c>
      <c r="AA60" s="23" t="e">
        <f>VLOOKUP(A60,#REF!,63,FALSE)/F60+T60</f>
        <v>#REF!</v>
      </c>
      <c r="AB60" s="69" t="e">
        <f t="shared" si="6"/>
        <v>#DIV/0!</v>
      </c>
    </row>
    <row r="61" spans="1:28" ht="49.5">
      <c r="A61" s="19" t="s">
        <v>248</v>
      </c>
      <c r="B61" s="20" t="s">
        <v>447</v>
      </c>
      <c r="C61" s="21" t="s">
        <v>0</v>
      </c>
      <c r="D61" s="21" t="s">
        <v>138</v>
      </c>
      <c r="E61" s="271">
        <f>VLOOKUP($A61,publ_fin!$A:$I,8,FALSE)</f>
        <v>4007763</v>
      </c>
      <c r="F61" s="114">
        <v>0.76619986261662676</v>
      </c>
      <c r="G61" s="115"/>
      <c r="H61" s="262">
        <v>0</v>
      </c>
      <c r="I61" s="115">
        <f>F61*H61</f>
        <v>0</v>
      </c>
      <c r="J61" s="117">
        <v>4007439.17</v>
      </c>
      <c r="K61" s="117">
        <v>3521.45</v>
      </c>
      <c r="L61" s="117">
        <v>0</v>
      </c>
      <c r="M61" s="23">
        <f t="shared" si="20"/>
        <v>3521.45</v>
      </c>
      <c r="N61" s="54">
        <f t="shared" si="47"/>
        <v>323.83000000007451</v>
      </c>
      <c r="O61" s="117">
        <f t="shared" si="48"/>
        <v>323.83000000007451</v>
      </c>
      <c r="P61" s="23">
        <v>3521</v>
      </c>
      <c r="Q61" s="23">
        <f>IFERROR(VLOOKUP(A61,lauzti_līg!A:H,8,FALSE),0)</f>
        <v>0</v>
      </c>
      <c r="R61" s="23">
        <f t="shared" si="17"/>
        <v>3521</v>
      </c>
      <c r="S61" s="23">
        <f t="shared" si="49"/>
        <v>-0.4499999999998181</v>
      </c>
      <c r="T61" s="117">
        <v>0</v>
      </c>
      <c r="U61" s="23">
        <f>IFERROR(VLOOKUP(A61,Nosl_līg!A:H,8,FALSE),0)</f>
        <v>4007439.17</v>
      </c>
      <c r="V61" s="23">
        <f t="shared" si="50"/>
        <v>0</v>
      </c>
      <c r="W61" s="23">
        <f t="shared" si="51"/>
        <v>324.28000000007432</v>
      </c>
      <c r="X61" s="23">
        <f t="shared" si="52"/>
        <v>324.28000000007432</v>
      </c>
      <c r="Y61" s="23">
        <f t="shared" si="10"/>
        <v>-0.4499999999998181</v>
      </c>
      <c r="Z61" s="23">
        <f>IF(H61=0,0, IF(U61-E61+R61-M61&lt;0, 0, U61-E61+R61-M61))</f>
        <v>0</v>
      </c>
      <c r="AA61" s="23" t="e">
        <f>VLOOKUP(A61,#REF!,63,FALSE)/F61+T61</f>
        <v>#REF!</v>
      </c>
      <c r="AB61" s="69" t="e">
        <f t="shared" si="6"/>
        <v>#DIV/0!</v>
      </c>
    </row>
    <row r="62" spans="1:28" ht="33">
      <c r="A62" s="19" t="s">
        <v>384</v>
      </c>
      <c r="B62" s="20" t="s">
        <v>448</v>
      </c>
      <c r="C62" s="21" t="s">
        <v>0</v>
      </c>
      <c r="D62" s="21" t="s">
        <v>137</v>
      </c>
      <c r="E62" s="271">
        <f>VLOOKUP($A62,publ_fin!$A:$I,8,FALSE)</f>
        <v>3000000.4</v>
      </c>
      <c r="F62" s="114">
        <v>1</v>
      </c>
      <c r="G62" s="115"/>
      <c r="H62" s="262">
        <v>1544126</v>
      </c>
      <c r="I62" s="115">
        <f>F62*H62</f>
        <v>1544126</v>
      </c>
      <c r="J62" s="117">
        <v>0</v>
      </c>
      <c r="K62" s="117">
        <v>0</v>
      </c>
      <c r="L62" s="117">
        <v>0</v>
      </c>
      <c r="M62" s="23">
        <f t="shared" si="20"/>
        <v>0</v>
      </c>
      <c r="N62" s="54">
        <f t="shared" si="47"/>
        <v>3000000.4</v>
      </c>
      <c r="O62" s="117">
        <f t="shared" si="48"/>
        <v>4544126.4000000004</v>
      </c>
      <c r="P62" s="23">
        <v>0</v>
      </c>
      <c r="Q62" s="23">
        <f>IFERROR(VLOOKUP(A62,lauzti_līg!A:H,8,FALSE),0)</f>
        <v>0</v>
      </c>
      <c r="R62" s="23">
        <f t="shared" si="17"/>
        <v>0</v>
      </c>
      <c r="S62" s="23">
        <f t="shared" si="49"/>
        <v>0</v>
      </c>
      <c r="T62" s="117">
        <v>0</v>
      </c>
      <c r="U62" s="23">
        <f>IFERROR(VLOOKUP(A62,Nosl_līg!A:H,8,FALSE),0)</f>
        <v>4544125.8600000003</v>
      </c>
      <c r="V62" s="23">
        <f t="shared" si="50"/>
        <v>4544125.8600000003</v>
      </c>
      <c r="W62" s="23">
        <f t="shared" si="51"/>
        <v>0.5400000000372529</v>
      </c>
      <c r="X62" s="23">
        <f t="shared" si="52"/>
        <v>0</v>
      </c>
      <c r="Y62" s="23">
        <f t="shared" si="10"/>
        <v>4544125.8600000003</v>
      </c>
      <c r="Z62" s="23">
        <f>IF(H62=0,0, IF(U62-E62+R62-M62&lt;0, 0, U62-E62+R62-M62))</f>
        <v>1544125.4600000004</v>
      </c>
      <c r="AA62" s="23" t="e">
        <f>VLOOKUP(A62,#REF!,63,FALSE)/F62+T62</f>
        <v>#REF!</v>
      </c>
      <c r="AB62" s="69">
        <f t="shared" si="6"/>
        <v>0.99999965028760629</v>
      </c>
    </row>
    <row r="63" spans="1:28" ht="49.5">
      <c r="A63" s="19" t="s">
        <v>31</v>
      </c>
      <c r="B63" s="20" t="s">
        <v>449</v>
      </c>
      <c r="C63" s="21" t="s">
        <v>0</v>
      </c>
      <c r="D63" s="21" t="s">
        <v>137</v>
      </c>
      <c r="E63" s="271">
        <f>VLOOKUP($A63,publ_fin!$A:$I,8,FALSE)</f>
        <v>10597911.83</v>
      </c>
      <c r="F63" s="114">
        <v>0.85000002483367554</v>
      </c>
      <c r="G63" s="115"/>
      <c r="H63" s="262">
        <v>0</v>
      </c>
      <c r="I63" s="115">
        <f>F63*H63</f>
        <v>0</v>
      </c>
      <c r="J63" s="117">
        <v>14315238</v>
      </c>
      <c r="K63" s="117">
        <v>0</v>
      </c>
      <c r="L63" s="117">
        <v>0</v>
      </c>
      <c r="M63" s="23">
        <f t="shared" si="20"/>
        <v>0</v>
      </c>
      <c r="N63" s="54">
        <f t="shared" si="47"/>
        <v>-3717326.17</v>
      </c>
      <c r="O63" s="117">
        <f t="shared" si="48"/>
        <v>-3717326.17</v>
      </c>
      <c r="P63" s="23">
        <v>3741875</v>
      </c>
      <c r="Q63" s="23">
        <f>IFERROR(VLOOKUP(A63,lauzti_līg!A:H,8,FALSE),0)</f>
        <v>0</v>
      </c>
      <c r="R63" s="23">
        <f t="shared" si="17"/>
        <v>3741875</v>
      </c>
      <c r="S63" s="23">
        <f t="shared" si="49"/>
        <v>3741875</v>
      </c>
      <c r="T63" s="117">
        <v>24549.37</v>
      </c>
      <c r="U63" s="23">
        <f>IFERROR(VLOOKUP(A63,Nosl_līg!A:H,8,FALSE),0)</f>
        <v>9955223</v>
      </c>
      <c r="V63" s="23">
        <f t="shared" si="50"/>
        <v>-4360015</v>
      </c>
      <c r="W63" s="23">
        <f t="shared" si="51"/>
        <v>-3099186.17</v>
      </c>
      <c r="X63" s="23">
        <f t="shared" si="52"/>
        <v>0</v>
      </c>
      <c r="Y63" s="23">
        <f t="shared" si="10"/>
        <v>-618140</v>
      </c>
      <c r="Z63" s="23">
        <f>IF(H63=0,0, IF(U63-E63+R63-M63&lt;0, 0, U63-E63+R63-M63))</f>
        <v>0</v>
      </c>
      <c r="AA63" s="23" t="e">
        <f>VLOOKUP(A63,#REF!,63,FALSE)/F63+T63</f>
        <v>#REF!</v>
      </c>
      <c r="AB63" s="69" t="e">
        <f t="shared" si="6"/>
        <v>#DIV/0!</v>
      </c>
    </row>
    <row r="64" spans="1:28" ht="66">
      <c r="A64" s="19" t="s">
        <v>32</v>
      </c>
      <c r="B64" s="20" t="s">
        <v>450</v>
      </c>
      <c r="C64" s="21" t="s">
        <v>0</v>
      </c>
      <c r="D64" s="21" t="s">
        <v>138</v>
      </c>
      <c r="E64" s="269">
        <f t="shared" ref="E64:AA64" si="53">E65+E66</f>
        <v>7300105.9799999995</v>
      </c>
      <c r="F64" s="116"/>
      <c r="G64" s="116">
        <f t="shared" si="53"/>
        <v>0</v>
      </c>
      <c r="H64" s="18">
        <f t="shared" si="53"/>
        <v>0</v>
      </c>
      <c r="I64" s="116">
        <f t="shared" si="53"/>
        <v>0</v>
      </c>
      <c r="J64" s="116">
        <f t="shared" si="53"/>
        <v>7400101.870000001</v>
      </c>
      <c r="K64" s="116">
        <f t="shared" si="53"/>
        <v>88836.549999999988</v>
      </c>
      <c r="L64" s="116">
        <f t="shared" si="53"/>
        <v>0</v>
      </c>
      <c r="M64" s="18">
        <f t="shared" si="53"/>
        <v>88836.549999999988</v>
      </c>
      <c r="N64" s="54">
        <f t="shared" si="53"/>
        <v>-99995.890000000829</v>
      </c>
      <c r="O64" s="116">
        <f t="shared" si="53"/>
        <v>-99995.890000000829</v>
      </c>
      <c r="P64" s="18">
        <v>88869</v>
      </c>
      <c r="Q64" s="18">
        <f t="shared" si="53"/>
        <v>0</v>
      </c>
      <c r="R64" s="18">
        <f t="shared" si="17"/>
        <v>88869</v>
      </c>
      <c r="S64" s="18">
        <f t="shared" si="53"/>
        <v>32.450000000006185</v>
      </c>
      <c r="T64" s="116">
        <v>32.469999999999345</v>
      </c>
      <c r="U64" s="18">
        <f t="shared" si="53"/>
        <v>7093673.5299999993</v>
      </c>
      <c r="V64" s="18">
        <f t="shared" si="53"/>
        <v>-306428.34000000078</v>
      </c>
      <c r="W64" s="18">
        <f t="shared" si="53"/>
        <v>206399.99999999994</v>
      </c>
      <c r="X64" s="18">
        <f t="shared" si="53"/>
        <v>206399.99999999994</v>
      </c>
      <c r="Y64" s="18">
        <f t="shared" si="10"/>
        <v>-306395.89000000077</v>
      </c>
      <c r="Z64" s="18">
        <f t="shared" si="53"/>
        <v>0</v>
      </c>
      <c r="AA64" s="18" t="e">
        <f t="shared" si="53"/>
        <v>#REF!</v>
      </c>
      <c r="AB64" s="70" t="e">
        <f t="shared" si="6"/>
        <v>#DIV/0!</v>
      </c>
    </row>
    <row r="65" spans="1:28" ht="49.5">
      <c r="A65" s="19" t="s">
        <v>251</v>
      </c>
      <c r="B65" s="20" t="s">
        <v>451</v>
      </c>
      <c r="C65" s="21" t="s">
        <v>0</v>
      </c>
      <c r="D65" s="21" t="s">
        <v>138</v>
      </c>
      <c r="E65" s="271">
        <f>VLOOKUP($A65,publ_fin!$A:$I,8,FALSE)</f>
        <v>611457.76</v>
      </c>
      <c r="F65" s="114">
        <v>0.84999873090170608</v>
      </c>
      <c r="G65" s="115"/>
      <c r="H65" s="262">
        <v>0</v>
      </c>
      <c r="I65" s="115">
        <f>F65*H65</f>
        <v>0</v>
      </c>
      <c r="J65" s="117">
        <v>611456.23</v>
      </c>
      <c r="K65" s="117">
        <v>73419.039999999994</v>
      </c>
      <c r="L65" s="117">
        <v>0</v>
      </c>
      <c r="M65" s="23">
        <f t="shared" si="20"/>
        <v>73419.039999999994</v>
      </c>
      <c r="N65" s="54">
        <f>E65-J65</f>
        <v>1.5300000000279397</v>
      </c>
      <c r="O65" s="117">
        <f t="shared" ref="O65:O72" si="54">H65+N65</f>
        <v>1.5300000000279397</v>
      </c>
      <c r="P65" s="23">
        <v>73419</v>
      </c>
      <c r="Q65" s="23">
        <f>IFERROR(VLOOKUP(A65,lauzti_līg!A:H,8,FALSE),0)</f>
        <v>0</v>
      </c>
      <c r="R65" s="23">
        <f t="shared" si="17"/>
        <v>73419</v>
      </c>
      <c r="S65" s="23">
        <f t="shared" ref="S65:S72" si="55">R65-M65</f>
        <v>-3.9999999993597157E-2</v>
      </c>
      <c r="T65" s="117">
        <v>0</v>
      </c>
      <c r="U65" s="23">
        <f>IFERROR(VLOOKUP(A65,Nosl_līg!A:H,8,FALSE),0)</f>
        <v>611456.23</v>
      </c>
      <c r="V65" s="23">
        <f t="shared" ref="V65:V72" si="56">U65-J65</f>
        <v>0</v>
      </c>
      <c r="W65" s="23">
        <f t="shared" ref="W65:W72" si="57">O65-S65-V65</f>
        <v>1.5700000000215368</v>
      </c>
      <c r="X65" s="23">
        <f t="shared" ref="X65:X72" si="58">IF(N65&gt;=S65+V65,N65-S65-V65,0)</f>
        <v>1.5700000000215368</v>
      </c>
      <c r="Y65" s="23">
        <f t="shared" si="10"/>
        <v>-3.9999999993597157E-2</v>
      </c>
      <c r="Z65" s="23">
        <f>IF(H65=0,0, IF(U65-E65+R65-M65&lt;0, 0, U65-E65+R65-M65))</f>
        <v>0</v>
      </c>
      <c r="AA65" s="23" t="e">
        <f>VLOOKUP(A65,#REF!,63,FALSE)/F65+T65</f>
        <v>#REF!</v>
      </c>
      <c r="AB65" s="69" t="e">
        <f t="shared" si="6"/>
        <v>#DIV/0!</v>
      </c>
    </row>
    <row r="66" spans="1:28" ht="66">
      <c r="A66" s="19" t="s">
        <v>253</v>
      </c>
      <c r="B66" s="20" t="s">
        <v>452</v>
      </c>
      <c r="C66" s="21" t="s">
        <v>0</v>
      </c>
      <c r="D66" s="21" t="s">
        <v>138</v>
      </c>
      <c r="E66" s="271">
        <f>VLOOKUP($A66,publ_fin!$A:$I,8,FALSE)</f>
        <v>6688648.2199999997</v>
      </c>
      <c r="F66" s="114">
        <v>0.84999993167528243</v>
      </c>
      <c r="G66" s="115"/>
      <c r="H66" s="262">
        <v>0</v>
      </c>
      <c r="I66" s="115">
        <f>F66*H66</f>
        <v>0</v>
      </c>
      <c r="J66" s="117">
        <v>6788645.6400000006</v>
      </c>
      <c r="K66" s="117">
        <v>15417.51</v>
      </c>
      <c r="L66" s="117">
        <v>0</v>
      </c>
      <c r="M66" s="23">
        <f t="shared" si="20"/>
        <v>15417.51</v>
      </c>
      <c r="N66" s="54">
        <f>E66-J66</f>
        <v>-99997.420000000857</v>
      </c>
      <c r="O66" s="117">
        <f t="shared" si="54"/>
        <v>-99997.420000000857</v>
      </c>
      <c r="P66" s="23">
        <v>15450</v>
      </c>
      <c r="Q66" s="23">
        <f>IFERROR(VLOOKUP(A66,lauzti_līg!A:H,8,FALSE),0)</f>
        <v>0</v>
      </c>
      <c r="R66" s="23">
        <f t="shared" si="17"/>
        <v>15450</v>
      </c>
      <c r="S66" s="23">
        <f t="shared" si="55"/>
        <v>32.489999999999782</v>
      </c>
      <c r="T66" s="117">
        <v>32.469999999999345</v>
      </c>
      <c r="U66" s="23">
        <f>IFERROR(VLOOKUP(A66,Nosl_līg!A:H,8,FALSE),0)</f>
        <v>6482217.2999999998</v>
      </c>
      <c r="V66" s="23">
        <f t="shared" si="56"/>
        <v>-306428.34000000078</v>
      </c>
      <c r="W66" s="23">
        <f t="shared" si="57"/>
        <v>206398.42999999993</v>
      </c>
      <c r="X66" s="23">
        <f t="shared" si="58"/>
        <v>206398.42999999993</v>
      </c>
      <c r="Y66" s="23">
        <f t="shared" si="10"/>
        <v>-306395.85000000079</v>
      </c>
      <c r="Z66" s="23">
        <f>IF(H66=0,0, IF(U66-E66+R66-M66&lt;0, 0, U66-E66+R66-M66))</f>
        <v>0</v>
      </c>
      <c r="AA66" s="23" t="e">
        <f>VLOOKUP(A66,#REF!,63,FALSE)/F66+T66</f>
        <v>#REF!</v>
      </c>
      <c r="AB66" s="69" t="e">
        <f t="shared" si="6"/>
        <v>#DIV/0!</v>
      </c>
    </row>
    <row r="67" spans="1:28" ht="49.5">
      <c r="A67" s="19" t="s">
        <v>185</v>
      </c>
      <c r="B67" s="20" t="s">
        <v>453</v>
      </c>
      <c r="C67" s="21" t="s">
        <v>0</v>
      </c>
      <c r="D67" s="21" t="s">
        <v>138</v>
      </c>
      <c r="E67" s="271">
        <f>VLOOKUP($A67,publ_fin!$A:$I,8,FALSE)</f>
        <v>2318345.88</v>
      </c>
      <c r="F67" s="114">
        <v>0.84999980244535389</v>
      </c>
      <c r="G67" s="115"/>
      <c r="H67" s="262">
        <v>0</v>
      </c>
      <c r="I67" s="115">
        <f>F67*H67</f>
        <v>0</v>
      </c>
      <c r="J67" s="117">
        <v>2313067.84</v>
      </c>
      <c r="K67" s="117">
        <v>514.86</v>
      </c>
      <c r="L67" s="117">
        <v>0</v>
      </c>
      <c r="M67" s="23">
        <f t="shared" si="20"/>
        <v>514.86</v>
      </c>
      <c r="N67" s="54">
        <f>E67-J67</f>
        <v>5278.0400000000373</v>
      </c>
      <c r="O67" s="117">
        <f t="shared" si="54"/>
        <v>5278.0400000000373</v>
      </c>
      <c r="P67" s="23">
        <v>10437</v>
      </c>
      <c r="Q67" s="23">
        <f>IFERROR(VLOOKUP(A67,lauzti_līg!A:H,8,FALSE),0)</f>
        <v>0</v>
      </c>
      <c r="R67" s="23">
        <f t="shared" si="17"/>
        <v>10437</v>
      </c>
      <c r="S67" s="23">
        <f t="shared" si="55"/>
        <v>9922.14</v>
      </c>
      <c r="T67" s="117">
        <v>0</v>
      </c>
      <c r="U67" s="23">
        <f>IFERROR(VLOOKUP(A67,Nosl_līg!A:H,8,FALSE),0)</f>
        <v>2313067.84</v>
      </c>
      <c r="V67" s="23">
        <f t="shared" si="56"/>
        <v>0</v>
      </c>
      <c r="W67" s="23">
        <f t="shared" si="57"/>
        <v>-4644.0999999999622</v>
      </c>
      <c r="X67" s="23">
        <f t="shared" si="58"/>
        <v>0</v>
      </c>
      <c r="Y67" s="23">
        <f t="shared" si="10"/>
        <v>9922.14</v>
      </c>
      <c r="Z67" s="23">
        <f>IF(H67=0,0, IF(U67-E67+R67-M67&lt;0, 0, U67-E67+R67-M67))</f>
        <v>0</v>
      </c>
      <c r="AA67" s="23" t="e">
        <f>VLOOKUP(A67,#REF!,63,FALSE)/F67+T67</f>
        <v>#REF!</v>
      </c>
      <c r="AB67" s="69" t="e">
        <f t="shared" si="6"/>
        <v>#DIV/0!</v>
      </c>
    </row>
    <row r="68" spans="1:28" ht="66">
      <c r="A68" s="19" t="s">
        <v>256</v>
      </c>
      <c r="B68" s="20" t="s">
        <v>454</v>
      </c>
      <c r="C68" s="21" t="s">
        <v>0</v>
      </c>
      <c r="D68" s="21" t="s">
        <v>138</v>
      </c>
      <c r="E68" s="271">
        <f>VLOOKUP($A68,publ_fin!$A:$I,8,FALSE)</f>
        <v>60503786.329999998</v>
      </c>
      <c r="F68" s="114">
        <v>0.80487120019881897</v>
      </c>
      <c r="G68" s="115">
        <v>7163639</v>
      </c>
      <c r="H68" s="262">
        <v>18889354</v>
      </c>
      <c r="I68" s="115">
        <v>13885349</v>
      </c>
      <c r="J68" s="117">
        <v>67513597.010000005</v>
      </c>
      <c r="K68" s="117">
        <v>35995.269999999997</v>
      </c>
      <c r="L68" s="117">
        <v>0</v>
      </c>
      <c r="M68" s="23">
        <f t="shared" si="20"/>
        <v>35995.269999999997</v>
      </c>
      <c r="N68" s="54">
        <f>E68+G68-J68</f>
        <v>153828.31999999285</v>
      </c>
      <c r="O68" s="117">
        <f t="shared" si="54"/>
        <v>19043182.319999993</v>
      </c>
      <c r="P68" s="23">
        <v>53354</v>
      </c>
      <c r="Q68" s="23">
        <f>IFERROR(VLOOKUP(A68,lauzti_līg!A:H,8,FALSE),0)</f>
        <v>0</v>
      </c>
      <c r="R68" s="23">
        <f t="shared" si="17"/>
        <v>53354</v>
      </c>
      <c r="S68" s="23">
        <f t="shared" si="55"/>
        <v>17358.730000000003</v>
      </c>
      <c r="T68" s="117">
        <v>7865.6300000000047</v>
      </c>
      <c r="U68" s="23">
        <f>IFERROR(VLOOKUP(A68,Nosl_līg!A:H,8,FALSE),0)</f>
        <v>76040378.469999999</v>
      </c>
      <c r="V68" s="23">
        <f t="shared" si="56"/>
        <v>8526781.4599999934</v>
      </c>
      <c r="W68" s="23">
        <f t="shared" si="57"/>
        <v>10499042.129999999</v>
      </c>
      <c r="X68" s="23">
        <f t="shared" si="58"/>
        <v>0</v>
      </c>
      <c r="Y68" s="23">
        <f t="shared" si="10"/>
        <v>8544140.1899999939</v>
      </c>
      <c r="Z68" s="23">
        <f>IF(H68=0,0, IF(U68-E68+R68-M68&lt;0, 0, U68-E68+R68-M68))-2531</f>
        <v>15551419.870000001</v>
      </c>
      <c r="AA68" s="23" t="e">
        <f>VLOOKUP(A68,#REF!,63,FALSE)/F68+T68</f>
        <v>#REF!</v>
      </c>
      <c r="AB68" s="69">
        <f t="shared" si="6"/>
        <v>0.82329019139564019</v>
      </c>
    </row>
    <row r="69" spans="1:28" ht="49.5">
      <c r="A69" s="19" t="s">
        <v>33</v>
      </c>
      <c r="B69" s="20" t="s">
        <v>455</v>
      </c>
      <c r="C69" s="21" t="s">
        <v>0</v>
      </c>
      <c r="D69" s="21" t="s">
        <v>138</v>
      </c>
      <c r="E69" s="271">
        <f>VLOOKUP($A69,publ_fin!$A:$I,8,FALSE)</f>
        <v>0</v>
      </c>
      <c r="F69" s="114">
        <v>0</v>
      </c>
      <c r="G69" s="115"/>
      <c r="H69" s="262">
        <v>0</v>
      </c>
      <c r="I69" s="115">
        <f>F69*H69</f>
        <v>0</v>
      </c>
      <c r="J69" s="117">
        <v>0</v>
      </c>
      <c r="K69" s="117">
        <v>0</v>
      </c>
      <c r="L69" s="117">
        <v>0</v>
      </c>
      <c r="M69" s="23">
        <f t="shared" si="20"/>
        <v>0</v>
      </c>
      <c r="N69" s="54">
        <f>E69-J69</f>
        <v>0</v>
      </c>
      <c r="O69" s="117">
        <f t="shared" si="54"/>
        <v>0</v>
      </c>
      <c r="P69" s="23">
        <v>0</v>
      </c>
      <c r="Q69" s="23">
        <f>IFERROR(VLOOKUP(A69,lauzti_līg!A:H,8,FALSE),0)</f>
        <v>0</v>
      </c>
      <c r="R69" s="23">
        <f t="shared" si="17"/>
        <v>0</v>
      </c>
      <c r="S69" s="23">
        <f t="shared" si="55"/>
        <v>0</v>
      </c>
      <c r="T69" s="117">
        <v>0</v>
      </c>
      <c r="U69" s="23">
        <f>IFERROR(VLOOKUP(A69,Nosl_līg!A:H,8,FALSE),0)</f>
        <v>0</v>
      </c>
      <c r="V69" s="23">
        <f t="shared" si="56"/>
        <v>0</v>
      </c>
      <c r="W69" s="23">
        <f t="shared" si="57"/>
        <v>0</v>
      </c>
      <c r="X69" s="23">
        <f t="shared" si="58"/>
        <v>0</v>
      </c>
      <c r="Y69" s="23">
        <f t="shared" si="10"/>
        <v>0</v>
      </c>
      <c r="Z69" s="23">
        <f>IF(H69=0,0, IF(U69-E69+R69-M69&lt;0, 0, U69-E69+R69-M69))</f>
        <v>0</v>
      </c>
      <c r="AA69" s="23">
        <v>0</v>
      </c>
      <c r="AB69" s="69" t="e">
        <f t="shared" si="6"/>
        <v>#DIV/0!</v>
      </c>
    </row>
    <row r="70" spans="1:28" ht="66">
      <c r="A70" s="19" t="s">
        <v>34</v>
      </c>
      <c r="B70" s="20" t="s">
        <v>456</v>
      </c>
      <c r="C70" s="21" t="s">
        <v>0</v>
      </c>
      <c r="D70" s="21" t="s">
        <v>138</v>
      </c>
      <c r="E70" s="271">
        <f>VLOOKUP($A70,publ_fin!$A:$I,8,FALSE)</f>
        <v>1000000.13</v>
      </c>
      <c r="F70" s="114">
        <v>0.84999985950001822</v>
      </c>
      <c r="G70" s="115"/>
      <c r="H70" s="262">
        <v>0</v>
      </c>
      <c r="I70" s="115">
        <f>F70*H70</f>
        <v>0</v>
      </c>
      <c r="J70" s="117">
        <v>999999.96</v>
      </c>
      <c r="K70" s="117">
        <v>0</v>
      </c>
      <c r="L70" s="117">
        <v>0</v>
      </c>
      <c r="M70" s="23">
        <f t="shared" si="20"/>
        <v>0</v>
      </c>
      <c r="N70" s="54">
        <f>E70-J70</f>
        <v>0.17000000004190952</v>
      </c>
      <c r="O70" s="117">
        <f t="shared" si="54"/>
        <v>0.17000000004190952</v>
      </c>
      <c r="P70" s="23">
        <v>0</v>
      </c>
      <c r="Q70" s="23">
        <f>IFERROR(VLOOKUP(A70,lauzti_līg!A:H,8,FALSE),0)</f>
        <v>0</v>
      </c>
      <c r="R70" s="23">
        <f t="shared" si="17"/>
        <v>0</v>
      </c>
      <c r="S70" s="23">
        <f t="shared" si="55"/>
        <v>0</v>
      </c>
      <c r="T70" s="117">
        <v>0</v>
      </c>
      <c r="U70" s="23">
        <f>IFERROR(VLOOKUP(A70,Nosl_līg!A:H,8,FALSE),0)</f>
        <v>889542.65</v>
      </c>
      <c r="V70" s="23">
        <f t="shared" si="56"/>
        <v>-110457.30999999994</v>
      </c>
      <c r="W70" s="23">
        <f t="shared" si="57"/>
        <v>110457.47999999998</v>
      </c>
      <c r="X70" s="23">
        <f t="shared" si="58"/>
        <v>110457.47999999998</v>
      </c>
      <c r="Y70" s="23">
        <f t="shared" si="10"/>
        <v>-110457.30999999994</v>
      </c>
      <c r="Z70" s="23">
        <f>IF(H70=0,0, IF(U70-E70+R70-M70&lt;0, 0, U70-E70+R70-M70))</f>
        <v>0</v>
      </c>
      <c r="AA70" s="23" t="e">
        <f>VLOOKUP(A70,#REF!,63,FALSE)/F70+T70</f>
        <v>#REF!</v>
      </c>
      <c r="AB70" s="69" t="e">
        <f t="shared" si="6"/>
        <v>#DIV/0!</v>
      </c>
    </row>
    <row r="71" spans="1:28" ht="99">
      <c r="A71" s="19" t="s">
        <v>35</v>
      </c>
      <c r="B71" s="20" t="s">
        <v>457</v>
      </c>
      <c r="C71" s="21" t="s">
        <v>0</v>
      </c>
      <c r="D71" s="21" t="s">
        <v>138</v>
      </c>
      <c r="E71" s="271">
        <f>VLOOKUP($A71,publ_fin!$A:$I,8,FALSE)</f>
        <v>0</v>
      </c>
      <c r="F71" s="114">
        <v>0</v>
      </c>
      <c r="G71" s="115"/>
      <c r="H71" s="262">
        <v>0</v>
      </c>
      <c r="I71" s="115">
        <f>F71*H71</f>
        <v>0</v>
      </c>
      <c r="J71" s="117">
        <v>0</v>
      </c>
      <c r="K71" s="117">
        <v>0</v>
      </c>
      <c r="L71" s="117">
        <v>0</v>
      </c>
      <c r="M71" s="23">
        <f t="shared" si="20"/>
        <v>0</v>
      </c>
      <c r="N71" s="54">
        <f>E71-J71</f>
        <v>0</v>
      </c>
      <c r="O71" s="117">
        <f t="shared" si="54"/>
        <v>0</v>
      </c>
      <c r="P71" s="23">
        <v>0</v>
      </c>
      <c r="Q71" s="23">
        <f>IFERROR(VLOOKUP(A71,lauzti_līg!A:H,8,FALSE),0)</f>
        <v>0</v>
      </c>
      <c r="R71" s="23">
        <f t="shared" si="17"/>
        <v>0</v>
      </c>
      <c r="S71" s="23">
        <f t="shared" si="55"/>
        <v>0</v>
      </c>
      <c r="T71" s="117">
        <v>0</v>
      </c>
      <c r="U71" s="23">
        <f>IFERROR(VLOOKUP(A71,Nosl_līg!A:H,8,FALSE),0)</f>
        <v>0</v>
      </c>
      <c r="V71" s="23">
        <f t="shared" si="56"/>
        <v>0</v>
      </c>
      <c r="W71" s="23">
        <f t="shared" si="57"/>
        <v>0</v>
      </c>
      <c r="X71" s="23">
        <f t="shared" si="58"/>
        <v>0</v>
      </c>
      <c r="Y71" s="23">
        <f t="shared" si="10"/>
        <v>0</v>
      </c>
      <c r="Z71" s="23">
        <f>IF(H71=0,0, IF(U71-E71+R71-M71&lt;0, 0, U71-E71+R71-M71))</f>
        <v>0</v>
      </c>
      <c r="AA71" s="23">
        <v>0</v>
      </c>
      <c r="AB71" s="69" t="e">
        <f t="shared" si="6"/>
        <v>#DIV/0!</v>
      </c>
    </row>
    <row r="72" spans="1:28" ht="33">
      <c r="A72" s="19" t="s">
        <v>178</v>
      </c>
      <c r="B72" s="20" t="s">
        <v>458</v>
      </c>
      <c r="C72" s="21" t="s">
        <v>0</v>
      </c>
      <c r="D72" s="21" t="s">
        <v>137</v>
      </c>
      <c r="E72" s="271">
        <f>VLOOKUP($A72,publ_fin!$A:$I,8,FALSE)</f>
        <v>106292.78</v>
      </c>
      <c r="F72" s="114">
        <v>1</v>
      </c>
      <c r="G72" s="115"/>
      <c r="H72" s="262">
        <v>0</v>
      </c>
      <c r="I72" s="115">
        <f>F72*H72</f>
        <v>0</v>
      </c>
      <c r="J72" s="117">
        <v>100952.20999999999</v>
      </c>
      <c r="K72" s="117">
        <v>0</v>
      </c>
      <c r="L72" s="117">
        <v>59115.47</v>
      </c>
      <c r="M72" s="23">
        <f t="shared" si="20"/>
        <v>59115.47</v>
      </c>
      <c r="N72" s="54">
        <f>E72-J72</f>
        <v>5340.570000000007</v>
      </c>
      <c r="O72" s="117">
        <f t="shared" si="54"/>
        <v>5340.570000000007</v>
      </c>
      <c r="P72" s="23">
        <v>0</v>
      </c>
      <c r="Q72" s="23">
        <f>IFERROR(VLOOKUP(A72,lauzti_līg!A:H,8,FALSE),0)</f>
        <v>59115.47</v>
      </c>
      <c r="R72" s="23">
        <f t="shared" si="17"/>
        <v>59115.47</v>
      </c>
      <c r="S72" s="23">
        <f t="shared" si="55"/>
        <v>0</v>
      </c>
      <c r="T72" s="117">
        <v>0</v>
      </c>
      <c r="U72" s="23">
        <f>IFERROR(VLOOKUP(A72,Nosl_līg!A:H,8,FALSE),0)</f>
        <v>100952.21</v>
      </c>
      <c r="V72" s="23">
        <f t="shared" si="56"/>
        <v>0</v>
      </c>
      <c r="W72" s="23">
        <f t="shared" si="57"/>
        <v>5340.570000000007</v>
      </c>
      <c r="X72" s="23">
        <f t="shared" si="58"/>
        <v>5340.570000000007</v>
      </c>
      <c r="Y72" s="23">
        <f t="shared" si="10"/>
        <v>0</v>
      </c>
      <c r="Z72" s="23">
        <f>IF(H72=0,0, IF(U72-E72+R72-M72&lt;0, 0, U72-E72+R72-M72))</f>
        <v>0</v>
      </c>
      <c r="AA72" s="23" t="e">
        <f>VLOOKUP(A72,#REF!,63,FALSE)/F72+T72</f>
        <v>#REF!</v>
      </c>
      <c r="AB72" s="69" t="e">
        <f t="shared" si="6"/>
        <v>#DIV/0!</v>
      </c>
    </row>
    <row r="73" spans="1:28" ht="16.5">
      <c r="A73" s="14" t="s">
        <v>36</v>
      </c>
      <c r="B73" s="15" t="s">
        <v>459</v>
      </c>
      <c r="C73" s="16" t="s">
        <v>0</v>
      </c>
      <c r="D73" s="16" t="s">
        <v>626</v>
      </c>
      <c r="E73" s="270">
        <f t="shared" ref="E73:AA73" si="59">E74+E75+E76</f>
        <v>10098255.439999999</v>
      </c>
      <c r="F73" s="113"/>
      <c r="G73" s="113">
        <f t="shared" si="59"/>
        <v>0</v>
      </c>
      <c r="H73" s="261">
        <f t="shared" si="59"/>
        <v>1200000</v>
      </c>
      <c r="I73" s="113">
        <f t="shared" si="59"/>
        <v>1036259.6630849337</v>
      </c>
      <c r="J73" s="113">
        <f t="shared" si="59"/>
        <v>10098254</v>
      </c>
      <c r="K73" s="113">
        <f t="shared" si="59"/>
        <v>5331.74</v>
      </c>
      <c r="L73" s="113">
        <f t="shared" si="59"/>
        <v>0</v>
      </c>
      <c r="M73" s="17">
        <f t="shared" si="59"/>
        <v>5331.74</v>
      </c>
      <c r="N73" s="53">
        <f t="shared" si="59"/>
        <v>1.4399999994784594</v>
      </c>
      <c r="O73" s="113">
        <f t="shared" si="59"/>
        <v>1200001.4399999995</v>
      </c>
      <c r="P73" s="17">
        <v>182327</v>
      </c>
      <c r="Q73" s="17">
        <f t="shared" si="59"/>
        <v>0</v>
      </c>
      <c r="R73" s="17">
        <f t="shared" si="17"/>
        <v>182327</v>
      </c>
      <c r="S73" s="17">
        <f t="shared" si="59"/>
        <v>176995.26</v>
      </c>
      <c r="T73" s="113">
        <v>48160.920000000006</v>
      </c>
      <c r="U73" s="17">
        <f t="shared" si="59"/>
        <v>11243311.609999999</v>
      </c>
      <c r="V73" s="17">
        <f t="shared" si="59"/>
        <v>1145057.6099999994</v>
      </c>
      <c r="W73" s="17">
        <f t="shared" si="59"/>
        <v>-122051.42999999993</v>
      </c>
      <c r="X73" s="17">
        <f t="shared" si="59"/>
        <v>0</v>
      </c>
      <c r="Y73" s="17">
        <f t="shared" si="10"/>
        <v>1322052.8699999994</v>
      </c>
      <c r="Z73" s="17">
        <f t="shared" si="59"/>
        <v>1200000</v>
      </c>
      <c r="AA73" s="17" t="e">
        <f t="shared" si="59"/>
        <v>#REF!</v>
      </c>
      <c r="AB73" s="68">
        <f t="shared" si="6"/>
        <v>1</v>
      </c>
    </row>
    <row r="74" spans="1:28" ht="49.5">
      <c r="A74" s="19" t="s">
        <v>37</v>
      </c>
      <c r="B74" s="20" t="s">
        <v>460</v>
      </c>
      <c r="C74" s="21" t="s">
        <v>0</v>
      </c>
      <c r="D74" s="21" t="s">
        <v>626</v>
      </c>
      <c r="E74" s="271">
        <f>VLOOKUP($A74,publ_fin!$A:$I,8,FALSE)</f>
        <v>0</v>
      </c>
      <c r="F74" s="114">
        <v>0</v>
      </c>
      <c r="G74" s="115"/>
      <c r="H74" s="262">
        <v>0</v>
      </c>
      <c r="I74" s="115">
        <f>F74*H74</f>
        <v>0</v>
      </c>
      <c r="J74" s="117">
        <v>0</v>
      </c>
      <c r="K74" s="117">
        <v>0</v>
      </c>
      <c r="L74" s="117">
        <v>0</v>
      </c>
      <c r="M74" s="23">
        <f t="shared" si="20"/>
        <v>0</v>
      </c>
      <c r="N74" s="54">
        <f>E74-J74</f>
        <v>0</v>
      </c>
      <c r="O74" s="117">
        <f>H74+N74</f>
        <v>0</v>
      </c>
      <c r="P74" s="23">
        <v>0</v>
      </c>
      <c r="Q74" s="23">
        <f>IFERROR(VLOOKUP(A74,lauzti_līg!A:H,8,FALSE),0)</f>
        <v>0</v>
      </c>
      <c r="R74" s="23">
        <f t="shared" si="17"/>
        <v>0</v>
      </c>
      <c r="S74" s="23">
        <f>R74-M74</f>
        <v>0</v>
      </c>
      <c r="T74" s="117">
        <v>0</v>
      </c>
      <c r="U74" s="23">
        <f>IFERROR(VLOOKUP(A74,Nosl_līg!A:H,8,FALSE),0)</f>
        <v>0</v>
      </c>
      <c r="V74" s="23">
        <f>U74-J74</f>
        <v>0</v>
      </c>
      <c r="W74" s="23">
        <f>O74-S74-V74</f>
        <v>0</v>
      </c>
      <c r="X74" s="23">
        <f>IF(N74&gt;=S74+V74,N74-S74-V74,0)</f>
        <v>0</v>
      </c>
      <c r="Y74" s="23">
        <f t="shared" si="10"/>
        <v>0</v>
      </c>
      <c r="Z74" s="23">
        <f>IF(H74=0,0, IF(U74-E74+R74-M74&lt;0, 0, U74-E74+R74-M74))</f>
        <v>0</v>
      </c>
      <c r="AA74" s="23">
        <v>0</v>
      </c>
      <c r="AB74" s="69" t="e">
        <f t="shared" si="6"/>
        <v>#DIV/0!</v>
      </c>
    </row>
    <row r="75" spans="1:28" ht="33">
      <c r="A75" s="19" t="s">
        <v>38</v>
      </c>
      <c r="B75" s="20" t="s">
        <v>461</v>
      </c>
      <c r="C75" s="21" t="s">
        <v>0</v>
      </c>
      <c r="D75" s="21" t="s">
        <v>626</v>
      </c>
      <c r="E75" s="271">
        <f>VLOOKUP($A75,publ_fin!$A:$I,8,FALSE)</f>
        <v>0</v>
      </c>
      <c r="F75" s="114">
        <v>0</v>
      </c>
      <c r="G75" s="115"/>
      <c r="H75" s="262">
        <v>0</v>
      </c>
      <c r="I75" s="115">
        <f>F75*H75</f>
        <v>0</v>
      </c>
      <c r="J75" s="117">
        <v>0</v>
      </c>
      <c r="K75" s="117">
        <v>0</v>
      </c>
      <c r="L75" s="117">
        <v>0</v>
      </c>
      <c r="M75" s="23">
        <f t="shared" si="20"/>
        <v>0</v>
      </c>
      <c r="N75" s="54">
        <f>E75-J75</f>
        <v>0</v>
      </c>
      <c r="O75" s="117">
        <f>H75+N75</f>
        <v>0</v>
      </c>
      <c r="P75" s="23">
        <v>0</v>
      </c>
      <c r="Q75" s="23">
        <f>IFERROR(VLOOKUP(A75,lauzti_līg!A:H,8,FALSE),0)</f>
        <v>0</v>
      </c>
      <c r="R75" s="23">
        <f t="shared" si="17"/>
        <v>0</v>
      </c>
      <c r="S75" s="23">
        <f>R75-M75</f>
        <v>0</v>
      </c>
      <c r="T75" s="117">
        <v>0</v>
      </c>
      <c r="U75" s="23">
        <f>IFERROR(VLOOKUP(A75,Nosl_līg!A:H,8,FALSE),0)</f>
        <v>0</v>
      </c>
      <c r="V75" s="23">
        <f>U75-J75</f>
        <v>0</v>
      </c>
      <c r="W75" s="23">
        <f>O75-S75-V75</f>
        <v>0</v>
      </c>
      <c r="X75" s="23">
        <f>IF(N75&gt;=S75+V75,N75-S75-V75,0)</f>
        <v>0</v>
      </c>
      <c r="Y75" s="23">
        <f t="shared" si="10"/>
        <v>0</v>
      </c>
      <c r="Z75" s="23">
        <f>IF(H75=0,0, IF(U75-E75+R75-M75&lt;0, 0, U75-E75+R75-M75))</f>
        <v>0</v>
      </c>
      <c r="AA75" s="23">
        <v>0</v>
      </c>
      <c r="AB75" s="69" t="e">
        <f t="shared" si="6"/>
        <v>#DIV/0!</v>
      </c>
    </row>
    <row r="76" spans="1:28" ht="82.5">
      <c r="A76" s="19" t="s">
        <v>39</v>
      </c>
      <c r="B76" s="20" t="s">
        <v>462</v>
      </c>
      <c r="C76" s="21" t="s">
        <v>0</v>
      </c>
      <c r="D76" s="21" t="s">
        <v>626</v>
      </c>
      <c r="E76" s="271">
        <f>VLOOKUP($A76,publ_fin!$A:$I,8,FALSE)</f>
        <v>10098255.439999999</v>
      </c>
      <c r="F76" s="118">
        <v>0.86354971923744472</v>
      </c>
      <c r="G76" s="115"/>
      <c r="H76" s="262">
        <v>1200000</v>
      </c>
      <c r="I76" s="115">
        <f>F76*H76</f>
        <v>1036259.6630849337</v>
      </c>
      <c r="J76" s="117">
        <v>10098254</v>
      </c>
      <c r="K76" s="117">
        <v>5331.74</v>
      </c>
      <c r="L76" s="117">
        <v>0</v>
      </c>
      <c r="M76" s="23">
        <f t="shared" si="20"/>
        <v>5331.74</v>
      </c>
      <c r="N76" s="54">
        <f>E76-J76</f>
        <v>1.4399999994784594</v>
      </c>
      <c r="O76" s="117">
        <f>H76+N76</f>
        <v>1200001.4399999995</v>
      </c>
      <c r="P76" s="23">
        <v>182327</v>
      </c>
      <c r="Q76" s="23">
        <f>IFERROR(VLOOKUP(A76,lauzti_līg!A:H,8,FALSE),0)</f>
        <v>0</v>
      </c>
      <c r="R76" s="23">
        <f t="shared" si="17"/>
        <v>182327</v>
      </c>
      <c r="S76" s="23">
        <f>R76-M76</f>
        <v>176995.26</v>
      </c>
      <c r="T76" s="117">
        <v>48160.920000000006</v>
      </c>
      <c r="U76" s="23">
        <f>IFERROR(VLOOKUP(A76,Nosl_līg!A:H,8,FALSE),0)</f>
        <v>11243311.609999999</v>
      </c>
      <c r="V76" s="23">
        <f>U76-J76</f>
        <v>1145057.6099999994</v>
      </c>
      <c r="W76" s="23">
        <f>O76-S76-V76</f>
        <v>-122051.42999999993</v>
      </c>
      <c r="X76" s="23">
        <f>IF(N76&gt;=S76+V76,N76-S76-V76,0)</f>
        <v>0</v>
      </c>
      <c r="Y76" s="23">
        <f t="shared" si="10"/>
        <v>1322052.8699999994</v>
      </c>
      <c r="Z76" s="23">
        <v>1200000</v>
      </c>
      <c r="AA76" s="23" t="e">
        <f>VLOOKUP(A76,#REF!,63,FALSE)/F76+T76</f>
        <v>#REF!</v>
      </c>
      <c r="AB76" s="69">
        <f t="shared" si="6"/>
        <v>1</v>
      </c>
    </row>
    <row r="77" spans="1:28" ht="33">
      <c r="A77" s="14" t="s">
        <v>40</v>
      </c>
      <c r="B77" s="15" t="s">
        <v>463</v>
      </c>
      <c r="C77" s="16" t="s">
        <v>0</v>
      </c>
      <c r="D77" s="16"/>
      <c r="E77" s="270">
        <f t="shared" ref="E77:AA77" si="60">E78</f>
        <v>36258630.349999994</v>
      </c>
      <c r="F77" s="113"/>
      <c r="G77" s="113">
        <f t="shared" si="60"/>
        <v>0</v>
      </c>
      <c r="H77" s="261">
        <f t="shared" si="60"/>
        <v>3325660</v>
      </c>
      <c r="I77" s="113">
        <f t="shared" si="60"/>
        <v>3076909.6340352362</v>
      </c>
      <c r="J77" s="113">
        <f t="shared" si="60"/>
        <v>35250270.540000007</v>
      </c>
      <c r="K77" s="113">
        <f t="shared" si="60"/>
        <v>29164.84</v>
      </c>
      <c r="L77" s="113">
        <f t="shared" si="60"/>
        <v>50730</v>
      </c>
      <c r="M77" s="17">
        <f t="shared" si="60"/>
        <v>79894.84</v>
      </c>
      <c r="N77" s="53">
        <f t="shared" si="60"/>
        <v>1008359.8099999998</v>
      </c>
      <c r="O77" s="113">
        <f t="shared" si="60"/>
        <v>4334019.8099999996</v>
      </c>
      <c r="P77" s="17">
        <v>100497</v>
      </c>
      <c r="Q77" s="17">
        <f t="shared" si="60"/>
        <v>199954.65</v>
      </c>
      <c r="R77" s="17">
        <f t="shared" si="17"/>
        <v>300451.65000000002</v>
      </c>
      <c r="S77" s="17">
        <f t="shared" si="60"/>
        <v>220556.81</v>
      </c>
      <c r="T77" s="113">
        <v>6041.4300000000076</v>
      </c>
      <c r="U77" s="17">
        <f t="shared" si="60"/>
        <v>37710946.490000002</v>
      </c>
      <c r="V77" s="17">
        <f t="shared" si="60"/>
        <v>2460675.9500000016</v>
      </c>
      <c r="W77" s="17">
        <f t="shared" si="60"/>
        <v>1652787.0499999982</v>
      </c>
      <c r="X77" s="17">
        <f t="shared" si="60"/>
        <v>784465.64000000013</v>
      </c>
      <c r="Y77" s="17">
        <f t="shared" si="10"/>
        <v>2681232.7600000016</v>
      </c>
      <c r="Z77" s="17">
        <f t="shared" si="60"/>
        <v>2467408.700000002</v>
      </c>
      <c r="AA77" s="17" t="e">
        <f t="shared" si="60"/>
        <v>#REF!</v>
      </c>
      <c r="AB77" s="68">
        <f t="shared" ref="AB77:AB140" si="61">Z77/H77</f>
        <v>0.74193053408947462</v>
      </c>
    </row>
    <row r="78" spans="1:28" ht="33">
      <c r="A78" s="14" t="s">
        <v>41</v>
      </c>
      <c r="B78" s="15" t="s">
        <v>464</v>
      </c>
      <c r="C78" s="16" t="s">
        <v>0</v>
      </c>
      <c r="D78" s="16"/>
      <c r="E78" s="270">
        <f t="shared" ref="E78:AA78" si="62">E79+E82</f>
        <v>36258630.349999994</v>
      </c>
      <c r="F78" s="113"/>
      <c r="G78" s="113">
        <f t="shared" si="62"/>
        <v>0</v>
      </c>
      <c r="H78" s="261">
        <f t="shared" si="62"/>
        <v>3325660</v>
      </c>
      <c r="I78" s="113">
        <f t="shared" si="62"/>
        <v>3076909.6340352362</v>
      </c>
      <c r="J78" s="113">
        <f t="shared" si="62"/>
        <v>35250270.540000007</v>
      </c>
      <c r="K78" s="113">
        <f t="shared" si="62"/>
        <v>29164.84</v>
      </c>
      <c r="L78" s="113">
        <f t="shared" si="62"/>
        <v>50730</v>
      </c>
      <c r="M78" s="17">
        <f t="shared" si="62"/>
        <v>79894.84</v>
      </c>
      <c r="N78" s="53">
        <f t="shared" si="62"/>
        <v>1008359.8099999998</v>
      </c>
      <c r="O78" s="113">
        <f t="shared" si="62"/>
        <v>4334019.8099999996</v>
      </c>
      <c r="P78" s="17">
        <v>100497</v>
      </c>
      <c r="Q78" s="17">
        <f t="shared" si="62"/>
        <v>199954.65</v>
      </c>
      <c r="R78" s="17">
        <f t="shared" si="17"/>
        <v>300451.65000000002</v>
      </c>
      <c r="S78" s="17">
        <f t="shared" ref="S78:U78" si="63">S79+S82</f>
        <v>220556.81</v>
      </c>
      <c r="T78" s="113">
        <v>6041.4300000000076</v>
      </c>
      <c r="U78" s="17">
        <f t="shared" si="63"/>
        <v>37710946.490000002</v>
      </c>
      <c r="V78" s="17">
        <f t="shared" si="62"/>
        <v>2460675.9500000016</v>
      </c>
      <c r="W78" s="17">
        <f t="shared" si="62"/>
        <v>1652787.0499999982</v>
      </c>
      <c r="X78" s="17">
        <f t="shared" si="62"/>
        <v>784465.64000000013</v>
      </c>
      <c r="Y78" s="17">
        <f t="shared" si="10"/>
        <v>2681232.7600000016</v>
      </c>
      <c r="Z78" s="17">
        <f t="shared" si="62"/>
        <v>2467408.700000002</v>
      </c>
      <c r="AA78" s="17" t="e">
        <f t="shared" si="62"/>
        <v>#REF!</v>
      </c>
      <c r="AB78" s="68">
        <f t="shared" si="61"/>
        <v>0.74193053408947462</v>
      </c>
    </row>
    <row r="79" spans="1:28" ht="49.5">
      <c r="A79" s="19" t="s">
        <v>42</v>
      </c>
      <c r="B79" s="20" t="s">
        <v>465</v>
      </c>
      <c r="C79" s="21" t="s">
        <v>0</v>
      </c>
      <c r="D79" s="21" t="s">
        <v>138</v>
      </c>
      <c r="E79" s="269">
        <f t="shared" ref="E79:AA79" si="64">E80+E81</f>
        <v>21274461.119999997</v>
      </c>
      <c r="F79" s="116"/>
      <c r="G79" s="116">
        <f t="shared" si="64"/>
        <v>0</v>
      </c>
      <c r="H79" s="18">
        <f t="shared" si="64"/>
        <v>3325660</v>
      </c>
      <c r="I79" s="116">
        <f t="shared" si="64"/>
        <v>3076909.6340352362</v>
      </c>
      <c r="J79" s="116">
        <f t="shared" si="64"/>
        <v>20855162.880000003</v>
      </c>
      <c r="K79" s="116">
        <f t="shared" si="64"/>
        <v>10006.41</v>
      </c>
      <c r="L79" s="116">
        <f t="shared" si="64"/>
        <v>0</v>
      </c>
      <c r="M79" s="18">
        <f t="shared" si="64"/>
        <v>10006.41</v>
      </c>
      <c r="N79" s="54">
        <f t="shared" si="64"/>
        <v>419298.23999999836</v>
      </c>
      <c r="O79" s="116">
        <f t="shared" si="64"/>
        <v>3744958.2399999984</v>
      </c>
      <c r="P79" s="18">
        <v>29630</v>
      </c>
      <c r="Q79" s="18">
        <f t="shared" si="64"/>
        <v>0</v>
      </c>
      <c r="R79" s="18">
        <f t="shared" si="17"/>
        <v>29630</v>
      </c>
      <c r="S79" s="18">
        <f t="shared" ref="S79:U79" si="65">S80+S81</f>
        <v>19623.59</v>
      </c>
      <c r="T79" s="116">
        <v>2386.1899999999996</v>
      </c>
      <c r="U79" s="18">
        <f t="shared" si="65"/>
        <v>23712176.120000001</v>
      </c>
      <c r="V79" s="18">
        <f t="shared" si="64"/>
        <v>2857013.24</v>
      </c>
      <c r="W79" s="18">
        <f t="shared" si="64"/>
        <v>868321.40999999805</v>
      </c>
      <c r="X79" s="18">
        <f t="shared" si="64"/>
        <v>0</v>
      </c>
      <c r="Y79" s="18">
        <f t="shared" si="10"/>
        <v>2876636.83</v>
      </c>
      <c r="Z79" s="18">
        <f t="shared" si="64"/>
        <v>2467408.700000002</v>
      </c>
      <c r="AA79" s="18" t="e">
        <f t="shared" si="64"/>
        <v>#REF!</v>
      </c>
      <c r="AB79" s="70">
        <f t="shared" si="61"/>
        <v>0.74193053408947462</v>
      </c>
    </row>
    <row r="80" spans="1:28" ht="49.5">
      <c r="A80" s="19" t="s">
        <v>177</v>
      </c>
      <c r="B80" s="20" t="s">
        <v>466</v>
      </c>
      <c r="C80" s="21" t="s">
        <v>0</v>
      </c>
      <c r="D80" s="21" t="s">
        <v>138</v>
      </c>
      <c r="E80" s="271">
        <f>VLOOKUP($A80,publ_fin!$A:$I,8,FALSE)</f>
        <v>11944613.619999999</v>
      </c>
      <c r="F80" s="114">
        <v>0.91589997031649484</v>
      </c>
      <c r="G80" s="115"/>
      <c r="H80" s="262">
        <v>1519461</v>
      </c>
      <c r="I80" s="115">
        <f>F80*H80</f>
        <v>1391674.2847970715</v>
      </c>
      <c r="J80" s="117">
        <v>11534821.08</v>
      </c>
      <c r="K80" s="117">
        <v>610.96</v>
      </c>
      <c r="L80" s="117">
        <v>0</v>
      </c>
      <c r="M80" s="23">
        <f t="shared" ref="M80:M137" si="66">K80+L80</f>
        <v>610.96</v>
      </c>
      <c r="N80" s="54">
        <f>E80-J80</f>
        <v>409792.53999999911</v>
      </c>
      <c r="O80" s="117">
        <f>H80+N80</f>
        <v>1929253.5399999991</v>
      </c>
      <c r="P80" s="23">
        <v>2540</v>
      </c>
      <c r="Q80" s="23">
        <f>IFERROR(VLOOKUP(A80,lauzti_līg!A:H,8,FALSE),0)</f>
        <v>0</v>
      </c>
      <c r="R80" s="23">
        <f t="shared" si="17"/>
        <v>2540</v>
      </c>
      <c r="S80" s="23">
        <f>R80-M80</f>
        <v>1929.04</v>
      </c>
      <c r="T80" s="117">
        <v>112.03999999999996</v>
      </c>
      <c r="U80" s="23">
        <f>IFERROR(VLOOKUP(A80,Nosl_līg!A:H,8,FALSE),0)</f>
        <v>13463398.470000001</v>
      </c>
      <c r="V80" s="23">
        <f>U80-J80</f>
        <v>1928577.3900000006</v>
      </c>
      <c r="W80" s="23">
        <f>O80-S80-V80</f>
        <v>-1252.8900000015274</v>
      </c>
      <c r="X80" s="23">
        <f>IF(N80&gt;=S80+V80,N80-S80-V80,0)</f>
        <v>0</v>
      </c>
      <c r="Y80" s="23">
        <f t="shared" ref="Y80:Y143" si="67">O80-W80</f>
        <v>1930506.4300000006</v>
      </c>
      <c r="Z80" s="23">
        <f>IF(H80=0,0, IF(U80-E80+R80-M80&lt;0, 0, U80-E80+R80-M80))+564.11</f>
        <v>1521278.0000000016</v>
      </c>
      <c r="AA80" s="23" t="e">
        <f>VLOOKUP(A80,#REF!,63,FALSE)/F80+T80</f>
        <v>#REF!</v>
      </c>
      <c r="AB80" s="69">
        <f t="shared" si="61"/>
        <v>1.0011958187804766</v>
      </c>
    </row>
    <row r="81" spans="1:28" ht="49.5">
      <c r="A81" s="19" t="s">
        <v>203</v>
      </c>
      <c r="B81" s="20" t="s">
        <v>467</v>
      </c>
      <c r="C81" s="21" t="s">
        <v>0</v>
      </c>
      <c r="D81" s="21" t="s">
        <v>138</v>
      </c>
      <c r="E81" s="271">
        <f>VLOOKUP($A81,publ_fin!$A:$I,8,FALSE)</f>
        <v>9329847.5</v>
      </c>
      <c r="F81" s="114">
        <v>0.93302861381174773</v>
      </c>
      <c r="G81" s="115"/>
      <c r="H81" s="262">
        <v>1806199</v>
      </c>
      <c r="I81" s="115">
        <f>F81*H81</f>
        <v>1685235.349238165</v>
      </c>
      <c r="J81" s="117">
        <v>9320341.8000000007</v>
      </c>
      <c r="K81" s="117">
        <v>9395.4500000000007</v>
      </c>
      <c r="L81" s="117">
        <v>0</v>
      </c>
      <c r="M81" s="23">
        <f t="shared" si="66"/>
        <v>9395.4500000000007</v>
      </c>
      <c r="N81" s="54">
        <f>E81-J81</f>
        <v>9505.6999999992549</v>
      </c>
      <c r="O81" s="117">
        <f>H81+N81</f>
        <v>1815704.6999999993</v>
      </c>
      <c r="P81" s="23">
        <v>27090</v>
      </c>
      <c r="Q81" s="23">
        <f>IFERROR(VLOOKUP(A81,lauzti_līg!A:H,8,FALSE),0)</f>
        <v>0</v>
      </c>
      <c r="R81" s="23">
        <f t="shared" si="17"/>
        <v>27090</v>
      </c>
      <c r="S81" s="23">
        <f>R81-M81</f>
        <v>17694.55</v>
      </c>
      <c r="T81" s="117">
        <v>2274.1499999999996</v>
      </c>
      <c r="U81" s="23">
        <f>IFERROR(VLOOKUP(A81,Nosl_līg!A:H,8,FALSE),0)</f>
        <v>10248777.65</v>
      </c>
      <c r="V81" s="23">
        <f>U81-J81</f>
        <v>928435.84999999963</v>
      </c>
      <c r="W81" s="23">
        <f>O81-S81-V81</f>
        <v>869574.29999999958</v>
      </c>
      <c r="X81" s="23">
        <f>IF(N81&gt;=S81+V81,N81-S81-V81,0)</f>
        <v>0</v>
      </c>
      <c r="Y81" s="23">
        <f t="shared" si="67"/>
        <v>946130.39999999967</v>
      </c>
      <c r="Z81" s="23">
        <f>IF(H81=0,0, IF(U81-E81+R81-M81&lt;0, 0, U81-E81+R81-M81))+9506</f>
        <v>946130.70000000042</v>
      </c>
      <c r="AA81" s="23" t="e">
        <f>VLOOKUP(A81,#REF!,63,FALSE)/F81+T81</f>
        <v>#REF!</v>
      </c>
      <c r="AB81" s="69">
        <f t="shared" si="61"/>
        <v>0.5238241744126757</v>
      </c>
    </row>
    <row r="82" spans="1:28" ht="66">
      <c r="A82" s="19" t="s">
        <v>43</v>
      </c>
      <c r="B82" s="20" t="s">
        <v>468</v>
      </c>
      <c r="C82" s="21" t="s">
        <v>0</v>
      </c>
      <c r="D82" s="21" t="s">
        <v>138</v>
      </c>
      <c r="E82" s="269">
        <f t="shared" ref="E82:AA82" si="68">E83+E84+E85</f>
        <v>14984169.23</v>
      </c>
      <c r="F82" s="116"/>
      <c r="G82" s="116">
        <f t="shared" si="68"/>
        <v>0</v>
      </c>
      <c r="H82" s="18">
        <f t="shared" si="68"/>
        <v>0</v>
      </c>
      <c r="I82" s="116">
        <f t="shared" si="68"/>
        <v>0</v>
      </c>
      <c r="J82" s="116">
        <f t="shared" si="68"/>
        <v>14395107.66</v>
      </c>
      <c r="K82" s="116">
        <f t="shared" si="68"/>
        <v>19158.43</v>
      </c>
      <c r="L82" s="116">
        <f t="shared" si="68"/>
        <v>50730</v>
      </c>
      <c r="M82" s="18">
        <f t="shared" si="68"/>
        <v>69888.429999999993</v>
      </c>
      <c r="N82" s="54">
        <f t="shared" si="68"/>
        <v>589061.57000000146</v>
      </c>
      <c r="O82" s="116">
        <f t="shared" si="68"/>
        <v>589061.57000000146</v>
      </c>
      <c r="P82" s="18">
        <v>70867</v>
      </c>
      <c r="Q82" s="18">
        <f t="shared" si="68"/>
        <v>199954.65</v>
      </c>
      <c r="R82" s="18">
        <f t="shared" ref="R82:R145" si="69">P82+Q82</f>
        <v>270821.65000000002</v>
      </c>
      <c r="S82" s="18">
        <f t="shared" si="68"/>
        <v>200933.22</v>
      </c>
      <c r="T82" s="116">
        <v>3655.240000000008</v>
      </c>
      <c r="U82" s="18">
        <f t="shared" si="68"/>
        <v>13998770.370000001</v>
      </c>
      <c r="V82" s="18">
        <f t="shared" si="68"/>
        <v>-396337.28999999864</v>
      </c>
      <c r="W82" s="18">
        <f t="shared" si="68"/>
        <v>784465.64000000013</v>
      </c>
      <c r="X82" s="18">
        <f t="shared" si="68"/>
        <v>784465.64000000013</v>
      </c>
      <c r="Y82" s="18">
        <f t="shared" si="67"/>
        <v>-195404.06999999867</v>
      </c>
      <c r="Z82" s="18">
        <f t="shared" si="68"/>
        <v>0</v>
      </c>
      <c r="AA82" s="18" t="e">
        <f t="shared" si="68"/>
        <v>#REF!</v>
      </c>
      <c r="AB82" s="70" t="e">
        <f t="shared" si="61"/>
        <v>#DIV/0!</v>
      </c>
    </row>
    <row r="83" spans="1:28" ht="49.5">
      <c r="A83" s="19" t="s">
        <v>263</v>
      </c>
      <c r="B83" s="20" t="s">
        <v>469</v>
      </c>
      <c r="C83" s="21" t="s">
        <v>0</v>
      </c>
      <c r="D83" s="21" t="s">
        <v>138</v>
      </c>
      <c r="E83" s="271">
        <f>VLOOKUP($A83,publ_fin!$A:$I,8,FALSE)</f>
        <v>1484807.69</v>
      </c>
      <c r="F83" s="114">
        <v>0.84999983398523482</v>
      </c>
      <c r="G83" s="115"/>
      <c r="H83" s="262">
        <v>0</v>
      </c>
      <c r="I83" s="115">
        <f>F83*H83</f>
        <v>0</v>
      </c>
      <c r="J83" s="117">
        <v>1484806.0599999998</v>
      </c>
      <c r="K83" s="117">
        <v>17568.259999999998</v>
      </c>
      <c r="L83" s="117">
        <v>0</v>
      </c>
      <c r="M83" s="23">
        <f t="shared" si="66"/>
        <v>17568.259999999998</v>
      </c>
      <c r="N83" s="54">
        <f>E83-J83</f>
        <v>1.6300000001210719</v>
      </c>
      <c r="O83" s="117">
        <f>H83+N83</f>
        <v>1.6300000001210719</v>
      </c>
      <c r="P83" s="23">
        <v>17798</v>
      </c>
      <c r="Q83" s="23">
        <f>IFERROR(VLOOKUP(A83,lauzti_līg!A:H,8,FALSE),0)</f>
        <v>0</v>
      </c>
      <c r="R83" s="23">
        <f t="shared" si="69"/>
        <v>17798</v>
      </c>
      <c r="S83" s="23">
        <f>R83-M83</f>
        <v>229.7400000000016</v>
      </c>
      <c r="T83" s="117">
        <v>229.95000000000073</v>
      </c>
      <c r="U83" s="23">
        <f>IFERROR(VLOOKUP(A83,Nosl_līg!A:H,8,FALSE),0)</f>
        <v>1484576.11</v>
      </c>
      <c r="V83" s="23">
        <f>U83-J83</f>
        <v>-229.9499999997206</v>
      </c>
      <c r="W83" s="23">
        <f>O83-S83-V83</f>
        <v>1.8399999998400745</v>
      </c>
      <c r="X83" s="23">
        <f>IF(N83&gt;=S83+V83,N83-S83-V83,0)</f>
        <v>1.8399999998400745</v>
      </c>
      <c r="Y83" s="23">
        <f t="shared" si="67"/>
        <v>-0.20999999971900252</v>
      </c>
      <c r="Z83" s="23">
        <f>IF(H83=0,0, IF(U83-E83+R83-M83&lt;0, 0, U83-E83+R83-M83))</f>
        <v>0</v>
      </c>
      <c r="AA83" s="23" t="e">
        <f>VLOOKUP(A83,#REF!,63,FALSE)/F83+T83</f>
        <v>#REF!</v>
      </c>
      <c r="AB83" s="69" t="e">
        <f t="shared" si="61"/>
        <v>#DIV/0!</v>
      </c>
    </row>
    <row r="84" spans="1:28" ht="66">
      <c r="A84" s="19" t="s">
        <v>44</v>
      </c>
      <c r="B84" s="20" t="s">
        <v>470</v>
      </c>
      <c r="C84" s="21" t="s">
        <v>0</v>
      </c>
      <c r="D84" s="21" t="s">
        <v>138</v>
      </c>
      <c r="E84" s="271">
        <f>VLOOKUP($A84,publ_fin!$A:$I,8,FALSE)</f>
        <v>3782517.83</v>
      </c>
      <c r="F84" s="114">
        <v>0.85000013073302549</v>
      </c>
      <c r="G84" s="115"/>
      <c r="H84" s="262">
        <v>0</v>
      </c>
      <c r="I84" s="115">
        <f>F84*H84</f>
        <v>0</v>
      </c>
      <c r="J84" s="117">
        <v>3782513.33</v>
      </c>
      <c r="K84" s="117">
        <v>2.4</v>
      </c>
      <c r="L84" s="117">
        <v>0</v>
      </c>
      <c r="M84" s="23">
        <f t="shared" si="66"/>
        <v>2.4</v>
      </c>
      <c r="N84" s="54">
        <f>E84-J84</f>
        <v>4.5</v>
      </c>
      <c r="O84" s="117">
        <f>H84+N84</f>
        <v>4.5</v>
      </c>
      <c r="P84" s="23">
        <v>868</v>
      </c>
      <c r="Q84" s="23">
        <f>IFERROR(VLOOKUP(A84,lauzti_līg!A:H,8,FALSE),0)</f>
        <v>0</v>
      </c>
      <c r="R84" s="23">
        <f t="shared" si="69"/>
        <v>868</v>
      </c>
      <c r="S84" s="23">
        <f>R84-M84</f>
        <v>865.6</v>
      </c>
      <c r="T84" s="117">
        <v>865.29000000000008</v>
      </c>
      <c r="U84" s="23">
        <f>IFERROR(VLOOKUP(A84,Nosl_līg!A:H,8,FALSE),0)</f>
        <v>3781648.04</v>
      </c>
      <c r="V84" s="23">
        <f>U84-J84</f>
        <v>-865.29000000003725</v>
      </c>
      <c r="W84" s="23">
        <f>O84-S84-V84</f>
        <v>4.1900000000372302</v>
      </c>
      <c r="X84" s="23">
        <f>IF(N84&gt;=S84+V84,N84-S84-V84,0)</f>
        <v>4.1900000000372302</v>
      </c>
      <c r="Y84" s="23">
        <f t="shared" si="67"/>
        <v>0.30999999996276983</v>
      </c>
      <c r="Z84" s="23">
        <f>IF(H84=0,0, IF(U84-E84+R84-M84&lt;0, 0, U84-E84+R84-M84))</f>
        <v>0</v>
      </c>
      <c r="AA84" s="23" t="e">
        <f>VLOOKUP(A84,#REF!,63,FALSE)/F84+T84</f>
        <v>#REF!</v>
      </c>
      <c r="AB84" s="69" t="e">
        <f t="shared" si="61"/>
        <v>#DIV/0!</v>
      </c>
    </row>
    <row r="85" spans="1:28" ht="66">
      <c r="A85" s="19" t="s">
        <v>266</v>
      </c>
      <c r="B85" s="20" t="s">
        <v>657</v>
      </c>
      <c r="C85" s="21" t="s">
        <v>0</v>
      </c>
      <c r="D85" s="21" t="s">
        <v>138</v>
      </c>
      <c r="E85" s="271">
        <f>VLOOKUP($A85,publ_fin!$A:$I,8,FALSE)</f>
        <v>9716843.7100000009</v>
      </c>
      <c r="F85" s="114">
        <v>0.99031095664293634</v>
      </c>
      <c r="G85" s="115"/>
      <c r="H85" s="262">
        <v>0</v>
      </c>
      <c r="I85" s="115">
        <f>F85*H85</f>
        <v>0</v>
      </c>
      <c r="J85" s="117">
        <v>9127788.2699999996</v>
      </c>
      <c r="K85" s="117">
        <v>1587.77</v>
      </c>
      <c r="L85" s="117">
        <v>50730</v>
      </c>
      <c r="M85" s="23">
        <f t="shared" si="66"/>
        <v>52317.77</v>
      </c>
      <c r="N85" s="54">
        <f>E85-J85</f>
        <v>589055.44000000134</v>
      </c>
      <c r="O85" s="117">
        <f>H85+N85</f>
        <v>589055.44000000134</v>
      </c>
      <c r="P85" s="23">
        <v>52201</v>
      </c>
      <c r="Q85" s="23">
        <f>IFERROR(VLOOKUP(A85,lauzti_līg!A:H,8,FALSE),0)</f>
        <v>199954.65</v>
      </c>
      <c r="R85" s="23">
        <f t="shared" si="69"/>
        <v>252155.65</v>
      </c>
      <c r="S85" s="23">
        <f>R85-M85</f>
        <v>199837.88</v>
      </c>
      <c r="T85" s="117">
        <v>2560.0000000000073</v>
      </c>
      <c r="U85" s="23">
        <f>IFERROR(VLOOKUP(A85,Nosl_līg!A:H,8,FALSE),0)</f>
        <v>8732546.2200000007</v>
      </c>
      <c r="V85" s="23">
        <f>U85-J85</f>
        <v>-395242.04999999888</v>
      </c>
      <c r="W85" s="23">
        <f>O85-S85-V85</f>
        <v>784459.61000000022</v>
      </c>
      <c r="X85" s="23">
        <f>IF(N85&gt;=S85+V85,N85-S85-V85,0)</f>
        <v>784459.61000000022</v>
      </c>
      <c r="Y85" s="23">
        <f t="shared" si="67"/>
        <v>-195404.16999999888</v>
      </c>
      <c r="Z85" s="23">
        <f>IF(H85=0,0, IF(U85-E85+R85-M85&lt;0, 0, U85-E85+R85-M85))</f>
        <v>0</v>
      </c>
      <c r="AA85" s="23" t="e">
        <f>VLOOKUP(A85,#REF!,63,FALSE)/F85+T85</f>
        <v>#REF!</v>
      </c>
      <c r="AB85" s="69" t="e">
        <f t="shared" si="61"/>
        <v>#DIV/0!</v>
      </c>
    </row>
    <row r="86" spans="1:28" ht="33">
      <c r="A86" s="14" t="s">
        <v>45</v>
      </c>
      <c r="B86" s="15" t="s">
        <v>471</v>
      </c>
      <c r="C86" s="16" t="s">
        <v>0</v>
      </c>
      <c r="D86" s="16" t="s">
        <v>1</v>
      </c>
      <c r="E86" s="270">
        <f t="shared" ref="E86:AA86" si="70">E87+E95+E101</f>
        <v>16877607.539999999</v>
      </c>
      <c r="F86" s="113"/>
      <c r="G86" s="113">
        <f t="shared" si="70"/>
        <v>0</v>
      </c>
      <c r="H86" s="261">
        <f t="shared" si="70"/>
        <v>0</v>
      </c>
      <c r="I86" s="113">
        <f t="shared" si="70"/>
        <v>0</v>
      </c>
      <c r="J86" s="113">
        <f t="shared" si="70"/>
        <v>15801863.040000001</v>
      </c>
      <c r="K86" s="113">
        <f t="shared" si="70"/>
        <v>62278.15</v>
      </c>
      <c r="L86" s="113">
        <f t="shared" si="70"/>
        <v>2525528.4000000004</v>
      </c>
      <c r="M86" s="17">
        <f t="shared" si="70"/>
        <v>2587806.5499999998</v>
      </c>
      <c r="N86" s="53">
        <f t="shared" si="70"/>
        <v>1075744.4999999995</v>
      </c>
      <c r="O86" s="113">
        <f t="shared" si="70"/>
        <v>1075744.4999999995</v>
      </c>
      <c r="P86" s="17">
        <v>286181</v>
      </c>
      <c r="Q86" s="17">
        <f t="shared" si="70"/>
        <v>2675544.6700000004</v>
      </c>
      <c r="R86" s="17">
        <f t="shared" si="69"/>
        <v>2961725.6700000004</v>
      </c>
      <c r="S86" s="17">
        <f t="shared" ref="S86:U86" si="71">S87+S95+S101</f>
        <v>373919.12000000005</v>
      </c>
      <c r="T86" s="113">
        <v>156218.24000000002</v>
      </c>
      <c r="U86" s="17">
        <f t="shared" si="71"/>
        <v>16201751.690000001</v>
      </c>
      <c r="V86" s="17">
        <f t="shared" si="70"/>
        <v>399888.65000000026</v>
      </c>
      <c r="W86" s="17">
        <f t="shared" si="70"/>
        <v>301936.72999999934</v>
      </c>
      <c r="X86" s="17">
        <f t="shared" si="70"/>
        <v>311239.27999999974</v>
      </c>
      <c r="Y86" s="17">
        <f t="shared" si="67"/>
        <v>773807.77000000025</v>
      </c>
      <c r="Z86" s="17">
        <f t="shared" si="70"/>
        <v>0</v>
      </c>
      <c r="AA86" s="17" t="e">
        <f t="shared" si="70"/>
        <v>#REF!</v>
      </c>
      <c r="AB86" s="68" t="e">
        <f t="shared" si="61"/>
        <v>#DIV/0!</v>
      </c>
    </row>
    <row r="87" spans="1:28" ht="33">
      <c r="A87" s="14" t="s">
        <v>46</v>
      </c>
      <c r="B87" s="15" t="s">
        <v>472</v>
      </c>
      <c r="C87" s="16" t="s">
        <v>0</v>
      </c>
      <c r="D87" s="16" t="s">
        <v>1</v>
      </c>
      <c r="E87" s="270">
        <f t="shared" ref="E87:AA87" si="72">E88+E91+E92</f>
        <v>5743831.5500000007</v>
      </c>
      <c r="F87" s="113"/>
      <c r="G87" s="113">
        <f t="shared" si="72"/>
        <v>0</v>
      </c>
      <c r="H87" s="261">
        <f t="shared" si="72"/>
        <v>0</v>
      </c>
      <c r="I87" s="113">
        <f t="shared" si="72"/>
        <v>0</v>
      </c>
      <c r="J87" s="113">
        <f t="shared" si="72"/>
        <v>5688333.8300000001</v>
      </c>
      <c r="K87" s="113">
        <f t="shared" si="72"/>
        <v>2356.3999999999996</v>
      </c>
      <c r="L87" s="113">
        <f t="shared" si="72"/>
        <v>206785.97</v>
      </c>
      <c r="M87" s="17">
        <f t="shared" si="72"/>
        <v>209142.37</v>
      </c>
      <c r="N87" s="53">
        <f t="shared" si="72"/>
        <v>55497.719999999972</v>
      </c>
      <c r="O87" s="113">
        <f t="shared" si="72"/>
        <v>55497.719999999972</v>
      </c>
      <c r="P87" s="17">
        <v>2578</v>
      </c>
      <c r="Q87" s="17">
        <f t="shared" si="72"/>
        <v>206785.97</v>
      </c>
      <c r="R87" s="17">
        <f t="shared" si="69"/>
        <v>209363.97</v>
      </c>
      <c r="S87" s="17">
        <f t="shared" ref="S87:U87" si="73">S88+S91+S92</f>
        <v>221.60000000000719</v>
      </c>
      <c r="T87" s="113">
        <v>179.93000000000029</v>
      </c>
      <c r="U87" s="17">
        <f t="shared" si="73"/>
        <v>5707402.1999999993</v>
      </c>
      <c r="V87" s="17">
        <f t="shared" si="72"/>
        <v>19068.369999999995</v>
      </c>
      <c r="W87" s="17">
        <f t="shared" si="72"/>
        <v>36207.749999999971</v>
      </c>
      <c r="X87" s="17">
        <f t="shared" si="72"/>
        <v>36207.749999999971</v>
      </c>
      <c r="Y87" s="17">
        <f t="shared" si="67"/>
        <v>19289.97</v>
      </c>
      <c r="Z87" s="17">
        <f t="shared" si="72"/>
        <v>0</v>
      </c>
      <c r="AA87" s="17" t="e">
        <f t="shared" si="72"/>
        <v>#REF!</v>
      </c>
      <c r="AB87" s="68" t="e">
        <f t="shared" si="61"/>
        <v>#DIV/0!</v>
      </c>
    </row>
    <row r="88" spans="1:28" ht="49.5">
      <c r="A88" s="19" t="s">
        <v>47</v>
      </c>
      <c r="B88" s="20" t="s">
        <v>473</v>
      </c>
      <c r="C88" s="21" t="s">
        <v>0</v>
      </c>
      <c r="D88" s="21" t="s">
        <v>1</v>
      </c>
      <c r="E88" s="269">
        <f t="shared" ref="E88:AA88" si="74">E89+E90</f>
        <v>2781474.04</v>
      </c>
      <c r="F88" s="116"/>
      <c r="G88" s="116">
        <f t="shared" si="74"/>
        <v>0</v>
      </c>
      <c r="H88" s="18">
        <f t="shared" si="74"/>
        <v>0</v>
      </c>
      <c r="I88" s="116">
        <f t="shared" si="74"/>
        <v>0</v>
      </c>
      <c r="J88" s="116">
        <f t="shared" si="74"/>
        <v>2781474</v>
      </c>
      <c r="K88" s="116">
        <f t="shared" si="74"/>
        <v>0</v>
      </c>
      <c r="L88" s="116">
        <f t="shared" si="74"/>
        <v>0</v>
      </c>
      <c r="M88" s="18">
        <f t="shared" si="74"/>
        <v>0</v>
      </c>
      <c r="N88" s="54">
        <f t="shared" si="74"/>
        <v>4.0000000037252903E-2</v>
      </c>
      <c r="O88" s="116">
        <f t="shared" si="74"/>
        <v>4.0000000037252903E-2</v>
      </c>
      <c r="P88" s="18">
        <v>0</v>
      </c>
      <c r="Q88" s="18">
        <f t="shared" si="74"/>
        <v>0</v>
      </c>
      <c r="R88" s="18">
        <f t="shared" si="69"/>
        <v>0</v>
      </c>
      <c r="S88" s="18">
        <f t="shared" ref="S88:U88" si="75">S89+S90</f>
        <v>0</v>
      </c>
      <c r="T88" s="116">
        <v>0</v>
      </c>
      <c r="U88" s="18">
        <f t="shared" si="75"/>
        <v>2781474</v>
      </c>
      <c r="V88" s="18">
        <f t="shared" si="74"/>
        <v>0</v>
      </c>
      <c r="W88" s="18">
        <f t="shared" si="74"/>
        <v>4.0000000037252903E-2</v>
      </c>
      <c r="X88" s="18">
        <f t="shared" si="74"/>
        <v>4.0000000037252903E-2</v>
      </c>
      <c r="Y88" s="18">
        <f t="shared" si="67"/>
        <v>0</v>
      </c>
      <c r="Z88" s="18">
        <f t="shared" si="74"/>
        <v>0</v>
      </c>
      <c r="AA88" s="18" t="e">
        <f t="shared" si="74"/>
        <v>#REF!</v>
      </c>
      <c r="AB88" s="70" t="e">
        <f t="shared" si="61"/>
        <v>#DIV/0!</v>
      </c>
    </row>
    <row r="89" spans="1:28" ht="66">
      <c r="A89" s="19" t="s">
        <v>48</v>
      </c>
      <c r="B89" s="20" t="s">
        <v>474</v>
      </c>
      <c r="C89" s="21" t="s">
        <v>0</v>
      </c>
      <c r="D89" s="21" t="s">
        <v>139</v>
      </c>
      <c r="E89" s="271">
        <f>VLOOKUP($A89,publ_fin!$A:$I,8,FALSE)</f>
        <v>2781474.04</v>
      </c>
      <c r="F89" s="114">
        <v>1</v>
      </c>
      <c r="G89" s="115"/>
      <c r="H89" s="262">
        <v>0</v>
      </c>
      <c r="I89" s="115">
        <f>F89*H89</f>
        <v>0</v>
      </c>
      <c r="J89" s="117">
        <v>2781474</v>
      </c>
      <c r="K89" s="117">
        <v>0</v>
      </c>
      <c r="L89" s="117">
        <v>0</v>
      </c>
      <c r="M89" s="23">
        <f t="shared" si="66"/>
        <v>0</v>
      </c>
      <c r="N89" s="54">
        <f>E89-J89</f>
        <v>4.0000000037252903E-2</v>
      </c>
      <c r="O89" s="117">
        <f>H89+N89</f>
        <v>4.0000000037252903E-2</v>
      </c>
      <c r="P89" s="23">
        <v>0</v>
      </c>
      <c r="Q89" s="23">
        <f>IFERROR(VLOOKUP(A89,lauzti_līg!A:H,8,FALSE),0)</f>
        <v>0</v>
      </c>
      <c r="R89" s="23">
        <f t="shared" si="69"/>
        <v>0</v>
      </c>
      <c r="S89" s="23">
        <f>R89-M89</f>
        <v>0</v>
      </c>
      <c r="T89" s="117">
        <v>0</v>
      </c>
      <c r="U89" s="23">
        <f>IFERROR(VLOOKUP(A89,Nosl_līg!A:H,8,FALSE),0)</f>
        <v>2781474</v>
      </c>
      <c r="V89" s="23">
        <f>U89-J89</f>
        <v>0</v>
      </c>
      <c r="W89" s="23">
        <f>O89-S89-V89</f>
        <v>4.0000000037252903E-2</v>
      </c>
      <c r="X89" s="23">
        <f>IF(N89&gt;=S89+V89,N89-S89-V89,0)</f>
        <v>4.0000000037252903E-2</v>
      </c>
      <c r="Y89" s="23">
        <f t="shared" si="67"/>
        <v>0</v>
      </c>
      <c r="Z89" s="23">
        <f>IF(H89=0,0, IF(U89-E89+R89-M89&lt;0, 0, U89-E89+R89-M89))</f>
        <v>0</v>
      </c>
      <c r="AA89" s="23" t="e">
        <f>VLOOKUP(A89,#REF!,63,FALSE)/F89+T89</f>
        <v>#REF!</v>
      </c>
      <c r="AB89" s="69" t="e">
        <f t="shared" si="61"/>
        <v>#DIV/0!</v>
      </c>
    </row>
    <row r="90" spans="1:28" ht="33">
      <c r="A90" s="19" t="s">
        <v>49</v>
      </c>
      <c r="B90" s="20" t="s">
        <v>475</v>
      </c>
      <c r="C90" s="21" t="s">
        <v>0</v>
      </c>
      <c r="D90" s="21" t="s">
        <v>627</v>
      </c>
      <c r="E90" s="271">
        <f>VLOOKUP($A90,publ_fin!$A:$I,8,FALSE)</f>
        <v>0</v>
      </c>
      <c r="F90" s="114">
        <v>0</v>
      </c>
      <c r="G90" s="115"/>
      <c r="H90" s="262">
        <v>0</v>
      </c>
      <c r="I90" s="115">
        <f>F90*H90</f>
        <v>0</v>
      </c>
      <c r="J90" s="117">
        <v>0</v>
      </c>
      <c r="K90" s="117">
        <v>0</v>
      </c>
      <c r="L90" s="117">
        <v>0</v>
      </c>
      <c r="M90" s="23">
        <f t="shared" si="66"/>
        <v>0</v>
      </c>
      <c r="N90" s="54">
        <f>E90-J90</f>
        <v>0</v>
      </c>
      <c r="O90" s="117">
        <f>H90+N90</f>
        <v>0</v>
      </c>
      <c r="P90" s="23">
        <v>0</v>
      </c>
      <c r="Q90" s="23">
        <f>IFERROR(VLOOKUP(A90,lauzti_līg!A:H,8,FALSE),0)</f>
        <v>0</v>
      </c>
      <c r="R90" s="23">
        <f t="shared" si="69"/>
        <v>0</v>
      </c>
      <c r="S90" s="23">
        <f>R90-M90</f>
        <v>0</v>
      </c>
      <c r="T90" s="117">
        <v>0</v>
      </c>
      <c r="U90" s="23">
        <f>IFERROR(VLOOKUP(A90,Nosl_līg!A:H,8,FALSE),0)</f>
        <v>0</v>
      </c>
      <c r="V90" s="23">
        <f>U90-J90</f>
        <v>0</v>
      </c>
      <c r="W90" s="23">
        <f>O90-S90-V90</f>
        <v>0</v>
      </c>
      <c r="X90" s="23">
        <f>IF(N90&gt;=S90+V90,N90-S90-V90,0)</f>
        <v>0</v>
      </c>
      <c r="Y90" s="23">
        <f t="shared" si="67"/>
        <v>0</v>
      </c>
      <c r="Z90" s="23">
        <f>IF(H90=0,0, IF(U90-E90+R90-M90&lt;0, 0, U90-E90+R90-M90))</f>
        <v>0</v>
      </c>
      <c r="AA90" s="23">
        <v>0</v>
      </c>
      <c r="AB90" s="69" t="e">
        <f t="shared" si="61"/>
        <v>#DIV/0!</v>
      </c>
    </row>
    <row r="91" spans="1:28" ht="66">
      <c r="A91" s="19" t="s">
        <v>50</v>
      </c>
      <c r="B91" s="20" t="s">
        <v>476</v>
      </c>
      <c r="C91" s="21" t="s">
        <v>0</v>
      </c>
      <c r="D91" s="21" t="s">
        <v>627</v>
      </c>
      <c r="E91" s="271">
        <f>VLOOKUP($A91,publ_fin!$A:$I,8,FALSE)</f>
        <v>2027522.77</v>
      </c>
      <c r="F91" s="114">
        <v>0.85000025918327904</v>
      </c>
      <c r="G91" s="115"/>
      <c r="H91" s="262">
        <v>0</v>
      </c>
      <c r="I91" s="115">
        <f>F91*H91</f>
        <v>0</v>
      </c>
      <c r="J91" s="117">
        <v>2066020</v>
      </c>
      <c r="K91" s="117">
        <v>0</v>
      </c>
      <c r="L91" s="117">
        <v>0</v>
      </c>
      <c r="M91" s="23">
        <f t="shared" si="66"/>
        <v>0</v>
      </c>
      <c r="N91" s="54">
        <f>E91-J91</f>
        <v>-38497.229999999981</v>
      </c>
      <c r="O91" s="117">
        <f>H91+N91</f>
        <v>-38497.229999999981</v>
      </c>
      <c r="P91" s="23">
        <v>0</v>
      </c>
      <c r="Q91" s="23">
        <f>IFERROR(VLOOKUP(A91,lauzti_līg!A:H,8,FALSE),0)</f>
        <v>0</v>
      </c>
      <c r="R91" s="23">
        <f t="shared" si="69"/>
        <v>0</v>
      </c>
      <c r="S91" s="23">
        <f>R91-M91</f>
        <v>0</v>
      </c>
      <c r="T91" s="117">
        <v>0</v>
      </c>
      <c r="U91" s="23">
        <f>IFERROR(VLOOKUP(A91,Nosl_līg!A:H,8,FALSE),0)</f>
        <v>2027513.35</v>
      </c>
      <c r="V91" s="23">
        <f>U91-J91</f>
        <v>-38506.649999999907</v>
      </c>
      <c r="W91" s="23">
        <f>O91-S91-V91</f>
        <v>9.4199999999254942</v>
      </c>
      <c r="X91" s="23">
        <f>IF(N91&gt;=S91+V91,N91-S91-V91,0)</f>
        <v>9.4199999999254942</v>
      </c>
      <c r="Y91" s="23">
        <f t="shared" si="67"/>
        <v>-38506.649999999907</v>
      </c>
      <c r="Z91" s="23">
        <f>IF(H91=0,0, IF(U91-E91+R91-M91&lt;0, 0, U91-E91+R91-M91))</f>
        <v>0</v>
      </c>
      <c r="AA91" s="23" t="e">
        <f>VLOOKUP(A91,#REF!,63,FALSE)/F91+T91</f>
        <v>#REF!</v>
      </c>
      <c r="AB91" s="69" t="e">
        <f t="shared" si="61"/>
        <v>#DIV/0!</v>
      </c>
    </row>
    <row r="92" spans="1:28" ht="66">
      <c r="A92" s="19" t="s">
        <v>51</v>
      </c>
      <c r="B92" s="20" t="s">
        <v>477</v>
      </c>
      <c r="C92" s="21" t="s">
        <v>0</v>
      </c>
      <c r="D92" s="21" t="s">
        <v>627</v>
      </c>
      <c r="E92" s="269">
        <f t="shared" ref="E92:AA92" si="76">E93+E94</f>
        <v>934834.74</v>
      </c>
      <c r="F92" s="116"/>
      <c r="G92" s="116">
        <f t="shared" si="76"/>
        <v>0</v>
      </c>
      <c r="H92" s="18">
        <f t="shared" si="76"/>
        <v>0</v>
      </c>
      <c r="I92" s="116">
        <f t="shared" si="76"/>
        <v>0</v>
      </c>
      <c r="J92" s="116">
        <f t="shared" si="76"/>
        <v>840839.83000000007</v>
      </c>
      <c r="K92" s="116">
        <f t="shared" si="76"/>
        <v>2356.3999999999996</v>
      </c>
      <c r="L92" s="116">
        <f t="shared" si="76"/>
        <v>206785.97</v>
      </c>
      <c r="M92" s="18">
        <f t="shared" si="76"/>
        <v>209142.37</v>
      </c>
      <c r="N92" s="54">
        <f t="shared" si="76"/>
        <v>93994.909999999916</v>
      </c>
      <c r="O92" s="116">
        <f t="shared" si="76"/>
        <v>93994.909999999916</v>
      </c>
      <c r="P92" s="18">
        <v>2578</v>
      </c>
      <c r="Q92" s="18">
        <f t="shared" si="76"/>
        <v>206785.97</v>
      </c>
      <c r="R92" s="18">
        <f t="shared" si="69"/>
        <v>209363.97</v>
      </c>
      <c r="S92" s="18">
        <f t="shared" si="76"/>
        <v>221.60000000000719</v>
      </c>
      <c r="T92" s="116">
        <v>179.93000000000029</v>
      </c>
      <c r="U92" s="18">
        <f t="shared" si="76"/>
        <v>898414.85</v>
      </c>
      <c r="V92" s="18">
        <f t="shared" si="76"/>
        <v>57575.019999999902</v>
      </c>
      <c r="W92" s="18">
        <f t="shared" si="76"/>
        <v>36198.290000000008</v>
      </c>
      <c r="X92" s="18">
        <f t="shared" si="76"/>
        <v>36198.290000000008</v>
      </c>
      <c r="Y92" s="18">
        <f t="shared" si="67"/>
        <v>57796.619999999908</v>
      </c>
      <c r="Z92" s="18">
        <f t="shared" si="76"/>
        <v>0</v>
      </c>
      <c r="AA92" s="18" t="e">
        <f t="shared" si="76"/>
        <v>#REF!</v>
      </c>
      <c r="AB92" s="70" t="e">
        <f t="shared" si="61"/>
        <v>#DIV/0!</v>
      </c>
    </row>
    <row r="93" spans="1:28" ht="49.5">
      <c r="A93" s="19" t="s">
        <v>270</v>
      </c>
      <c r="B93" s="20" t="s">
        <v>478</v>
      </c>
      <c r="C93" s="21" t="s">
        <v>0</v>
      </c>
      <c r="D93" s="21" t="s">
        <v>627</v>
      </c>
      <c r="E93" s="271">
        <f>VLOOKUP($A93,publ_fin!$A:$I,8,FALSE)</f>
        <v>401298.27</v>
      </c>
      <c r="F93" s="114">
        <v>0.84999895464288933</v>
      </c>
      <c r="G93" s="115"/>
      <c r="H93" s="262">
        <v>0</v>
      </c>
      <c r="I93" s="115">
        <f>F93*H93</f>
        <v>0</v>
      </c>
      <c r="J93" s="117">
        <v>392589.37</v>
      </c>
      <c r="K93" s="117">
        <v>224.68</v>
      </c>
      <c r="L93" s="117">
        <v>206785.97</v>
      </c>
      <c r="M93" s="23">
        <f t="shared" si="66"/>
        <v>207010.65</v>
      </c>
      <c r="N93" s="54">
        <f>E93-J93</f>
        <v>8708.9000000000233</v>
      </c>
      <c r="O93" s="117">
        <f>H93+N93</f>
        <v>8708.9000000000233</v>
      </c>
      <c r="P93" s="23">
        <v>225</v>
      </c>
      <c r="Q93" s="23">
        <f>IFERROR(VLOOKUP(A93,lauzti_līg!A:H,8,FALSE),0)</f>
        <v>206785.97</v>
      </c>
      <c r="R93" s="23">
        <f t="shared" si="69"/>
        <v>207010.97</v>
      </c>
      <c r="S93" s="23">
        <f>R93-M93</f>
        <v>0.32000000000698492</v>
      </c>
      <c r="T93" s="117">
        <v>0</v>
      </c>
      <c r="U93" s="23">
        <f>IFERROR(VLOOKUP(A93,Nosl_līg!A:H,8,FALSE),0)</f>
        <v>392589.37</v>
      </c>
      <c r="V93" s="23">
        <f>U93-J93</f>
        <v>0</v>
      </c>
      <c r="W93" s="23">
        <f>O93-S93-V93</f>
        <v>8708.5800000000163</v>
      </c>
      <c r="X93" s="23">
        <f>IF(N93&gt;=S93+V93,N93-S93-V93,0)</f>
        <v>8708.5800000000163</v>
      </c>
      <c r="Y93" s="23">
        <f t="shared" si="67"/>
        <v>0.32000000000698492</v>
      </c>
      <c r="Z93" s="23">
        <f>IF(H93=0,0, IF(U93-E93+R93-M93&lt;0, 0, U93-E93+R93-M93))</f>
        <v>0</v>
      </c>
      <c r="AA93" s="23" t="e">
        <f>VLOOKUP(A93,#REF!,63,FALSE)/F93+T93</f>
        <v>#REF!</v>
      </c>
      <c r="AB93" s="69" t="e">
        <f t="shared" si="61"/>
        <v>#DIV/0!</v>
      </c>
    </row>
    <row r="94" spans="1:28" ht="66">
      <c r="A94" s="19" t="s">
        <v>272</v>
      </c>
      <c r="B94" s="20" t="s">
        <v>479</v>
      </c>
      <c r="C94" s="21" t="s">
        <v>0</v>
      </c>
      <c r="D94" s="21" t="s">
        <v>627</v>
      </c>
      <c r="E94" s="271">
        <f>VLOOKUP($A94,publ_fin!$A:$I,8,FALSE)</f>
        <v>533536.47</v>
      </c>
      <c r="F94" s="118">
        <v>0.85000013213717152</v>
      </c>
      <c r="G94" s="115"/>
      <c r="H94" s="262">
        <v>0</v>
      </c>
      <c r="I94" s="115">
        <f>F94*H94</f>
        <v>0</v>
      </c>
      <c r="J94" s="117">
        <v>448250.46000000008</v>
      </c>
      <c r="K94" s="117">
        <v>2131.7199999999998</v>
      </c>
      <c r="L94" s="117">
        <v>0</v>
      </c>
      <c r="M94" s="23">
        <f t="shared" si="66"/>
        <v>2131.7199999999998</v>
      </c>
      <c r="N94" s="54">
        <f>E94-J94</f>
        <v>85286.009999999893</v>
      </c>
      <c r="O94" s="117">
        <f>H94+N94</f>
        <v>85286.009999999893</v>
      </c>
      <c r="P94" s="23">
        <v>2353</v>
      </c>
      <c r="Q94" s="23">
        <f>IFERROR(VLOOKUP(A94,lauzti_līg!A:H,8,FALSE),0)</f>
        <v>0</v>
      </c>
      <c r="R94" s="23">
        <f t="shared" si="69"/>
        <v>2353</v>
      </c>
      <c r="S94" s="23">
        <f>R94-M94</f>
        <v>221.2800000000002</v>
      </c>
      <c r="T94" s="117">
        <v>179.93000000000029</v>
      </c>
      <c r="U94" s="23">
        <f>IFERROR(VLOOKUP(A94,Nosl_līg!A:H,8,FALSE),0)</f>
        <v>505825.48</v>
      </c>
      <c r="V94" s="23">
        <f>U94-J94</f>
        <v>57575.019999999902</v>
      </c>
      <c r="W94" s="23">
        <f>O94-S94-V94</f>
        <v>27489.709999999992</v>
      </c>
      <c r="X94" s="23">
        <f>IF(N94&gt;=S94+V94,N94-S94-V94,0)</f>
        <v>27489.709999999992</v>
      </c>
      <c r="Y94" s="23">
        <f t="shared" si="67"/>
        <v>57796.299999999901</v>
      </c>
      <c r="Z94" s="23">
        <f>IF(H94=0,0, IF(U94-E94+R94-M94&lt;0, 0, U94-E94+R94-M94))</f>
        <v>0</v>
      </c>
      <c r="AA94" s="23" t="e">
        <f>VLOOKUP(A94,#REF!,63,FALSE)/F94+T94</f>
        <v>#REF!</v>
      </c>
      <c r="AB94" s="69" t="e">
        <f t="shared" si="61"/>
        <v>#DIV/0!</v>
      </c>
    </row>
    <row r="95" spans="1:28" ht="33">
      <c r="A95" s="14" t="s">
        <v>52</v>
      </c>
      <c r="B95" s="15" t="s">
        <v>480</v>
      </c>
      <c r="C95" s="16" t="s">
        <v>0</v>
      </c>
      <c r="D95" s="16" t="s">
        <v>627</v>
      </c>
      <c r="E95" s="270">
        <f t="shared" ref="E95:AA95" si="77">E96+E97</f>
        <v>6107059.6299999999</v>
      </c>
      <c r="F95" s="113"/>
      <c r="G95" s="113">
        <f t="shared" si="77"/>
        <v>0</v>
      </c>
      <c r="H95" s="17">
        <f t="shared" si="77"/>
        <v>0</v>
      </c>
      <c r="I95" s="113">
        <f t="shared" si="77"/>
        <v>0</v>
      </c>
      <c r="J95" s="113">
        <f t="shared" si="77"/>
        <v>5165860.38</v>
      </c>
      <c r="K95" s="113">
        <f t="shared" si="77"/>
        <v>54487.97</v>
      </c>
      <c r="L95" s="113">
        <f t="shared" si="77"/>
        <v>2287235.4300000002</v>
      </c>
      <c r="M95" s="17">
        <f t="shared" si="77"/>
        <v>2341723.4</v>
      </c>
      <c r="N95" s="53">
        <f t="shared" si="77"/>
        <v>941199.24999999988</v>
      </c>
      <c r="O95" s="113">
        <f t="shared" si="77"/>
        <v>941199.24999999988</v>
      </c>
      <c r="P95" s="17">
        <v>146158</v>
      </c>
      <c r="Q95" s="17">
        <f t="shared" si="77"/>
        <v>2437251.7000000002</v>
      </c>
      <c r="R95" s="17">
        <f t="shared" si="69"/>
        <v>2583409.7000000002</v>
      </c>
      <c r="S95" s="17">
        <f t="shared" si="77"/>
        <v>241686.30000000005</v>
      </c>
      <c r="T95" s="113">
        <v>123739.00000000003</v>
      </c>
      <c r="U95" s="17">
        <f t="shared" si="77"/>
        <v>5874349.7400000012</v>
      </c>
      <c r="V95" s="17">
        <f t="shared" si="77"/>
        <v>708489.36000000034</v>
      </c>
      <c r="W95" s="17">
        <f t="shared" si="77"/>
        <v>-8976.4100000005019</v>
      </c>
      <c r="X95" s="17">
        <f t="shared" si="77"/>
        <v>326.13999999985026</v>
      </c>
      <c r="Y95" s="17">
        <f t="shared" si="67"/>
        <v>950175.66000000038</v>
      </c>
      <c r="Z95" s="17">
        <f t="shared" si="77"/>
        <v>0</v>
      </c>
      <c r="AA95" s="17" t="e">
        <f t="shared" si="77"/>
        <v>#REF!</v>
      </c>
      <c r="AB95" s="68" t="e">
        <f t="shared" si="61"/>
        <v>#DIV/0!</v>
      </c>
    </row>
    <row r="96" spans="1:28" ht="66">
      <c r="A96" s="19" t="s">
        <v>274</v>
      </c>
      <c r="B96" s="20" t="s">
        <v>481</v>
      </c>
      <c r="C96" s="21" t="s">
        <v>0</v>
      </c>
      <c r="D96" s="21" t="s">
        <v>627</v>
      </c>
      <c r="E96" s="271">
        <f>VLOOKUP($A96,publ_fin!$A:$I,8,FALSE)</f>
        <v>64830.86</v>
      </c>
      <c r="F96" s="114">
        <v>0.84999027072588995</v>
      </c>
      <c r="G96" s="115"/>
      <c r="H96" s="22">
        <v>0</v>
      </c>
      <c r="I96" s="115">
        <f>F96*H96</f>
        <v>0</v>
      </c>
      <c r="J96" s="117">
        <v>60220.02</v>
      </c>
      <c r="K96" s="117">
        <v>0</v>
      </c>
      <c r="L96" s="117">
        <v>2138191.6</v>
      </c>
      <c r="M96" s="23">
        <f t="shared" si="66"/>
        <v>2138191.6</v>
      </c>
      <c r="N96" s="54">
        <f>E96-J96</f>
        <v>4610.8400000000038</v>
      </c>
      <c r="O96" s="117">
        <f>H96+N96</f>
        <v>4610.8400000000038</v>
      </c>
      <c r="P96" s="23">
        <v>6733</v>
      </c>
      <c r="Q96" s="23">
        <f>IFERROR(VLOOKUP(A96,lauzti_līg!A:H,8,FALSE),0)</f>
        <v>2198411.62</v>
      </c>
      <c r="R96" s="23">
        <f t="shared" si="69"/>
        <v>2205144.62</v>
      </c>
      <c r="S96" s="23">
        <f>R96-M96</f>
        <v>66953.020000000019</v>
      </c>
      <c r="T96" s="117">
        <v>60220.020000000019</v>
      </c>
      <c r="U96" s="23">
        <f>IFERROR(VLOOKUP(A96,Nosl_līg!A:H,8,FALSE),0)</f>
        <v>0</v>
      </c>
      <c r="V96" s="23">
        <f>U96-J96</f>
        <v>-60220.02</v>
      </c>
      <c r="W96" s="23">
        <f>O96-S96-V96</f>
        <v>-2122.160000000018</v>
      </c>
      <c r="X96" s="23">
        <f>IF(N96&gt;=S96+V96,N96-S96-V96,0)</f>
        <v>0</v>
      </c>
      <c r="Y96" s="23">
        <f t="shared" si="67"/>
        <v>6733.0000000000218</v>
      </c>
      <c r="Z96" s="23">
        <f>IF(H96=0,0, IF(U96-E96+R96-M96&lt;0, 0, U96-E96+R96-M96))</f>
        <v>0</v>
      </c>
      <c r="AA96" s="23" t="e">
        <f>VLOOKUP(A96,#REF!,63,FALSE)/F96+T96</f>
        <v>#REF!</v>
      </c>
      <c r="AB96" s="69" t="e">
        <f t="shared" si="61"/>
        <v>#DIV/0!</v>
      </c>
    </row>
    <row r="97" spans="1:28" ht="66">
      <c r="A97" s="19" t="s">
        <v>53</v>
      </c>
      <c r="B97" s="20" t="s">
        <v>482</v>
      </c>
      <c r="C97" s="21" t="s">
        <v>0</v>
      </c>
      <c r="D97" s="21" t="s">
        <v>627</v>
      </c>
      <c r="E97" s="269">
        <f t="shared" ref="E97:AA97" si="78">E98+E99+E100</f>
        <v>6042228.7699999996</v>
      </c>
      <c r="F97" s="116"/>
      <c r="G97" s="116">
        <f t="shared" si="78"/>
        <v>0</v>
      </c>
      <c r="H97" s="23">
        <f t="shared" si="78"/>
        <v>0</v>
      </c>
      <c r="I97" s="116">
        <f t="shared" si="78"/>
        <v>0</v>
      </c>
      <c r="J97" s="116">
        <f t="shared" si="78"/>
        <v>5105640.3600000003</v>
      </c>
      <c r="K97" s="116">
        <f t="shared" si="78"/>
        <v>54487.97</v>
      </c>
      <c r="L97" s="116">
        <f t="shared" si="78"/>
        <v>149043.83000000002</v>
      </c>
      <c r="M97" s="18">
        <f t="shared" si="78"/>
        <v>203531.8</v>
      </c>
      <c r="N97" s="54">
        <f t="shared" si="78"/>
        <v>936588.40999999992</v>
      </c>
      <c r="O97" s="116">
        <f t="shared" si="78"/>
        <v>936588.40999999992</v>
      </c>
      <c r="P97" s="18">
        <v>139425</v>
      </c>
      <c r="Q97" s="18">
        <f t="shared" si="78"/>
        <v>238840.08000000002</v>
      </c>
      <c r="R97" s="18">
        <f t="shared" si="69"/>
        <v>378265.08</v>
      </c>
      <c r="S97" s="18">
        <f t="shared" si="78"/>
        <v>174733.28000000003</v>
      </c>
      <c r="T97" s="116">
        <v>63518.98</v>
      </c>
      <c r="U97" s="18">
        <f t="shared" si="78"/>
        <v>5874349.7400000012</v>
      </c>
      <c r="V97" s="18">
        <f t="shared" si="78"/>
        <v>768709.38000000035</v>
      </c>
      <c r="W97" s="18">
        <f t="shared" si="78"/>
        <v>-6854.2500000004839</v>
      </c>
      <c r="X97" s="18">
        <f t="shared" si="78"/>
        <v>326.13999999985026</v>
      </c>
      <c r="Y97" s="18">
        <f t="shared" si="67"/>
        <v>943442.66000000038</v>
      </c>
      <c r="Z97" s="18">
        <f t="shared" si="78"/>
        <v>0</v>
      </c>
      <c r="AA97" s="18" t="e">
        <f t="shared" si="78"/>
        <v>#REF!</v>
      </c>
      <c r="AB97" s="70" t="e">
        <f t="shared" si="61"/>
        <v>#DIV/0!</v>
      </c>
    </row>
    <row r="98" spans="1:28" ht="49.5">
      <c r="A98" s="19" t="s">
        <v>145</v>
      </c>
      <c r="B98" s="20" t="s">
        <v>483</v>
      </c>
      <c r="C98" s="21" t="s">
        <v>0</v>
      </c>
      <c r="D98" s="21" t="s">
        <v>627</v>
      </c>
      <c r="E98" s="271">
        <f>VLOOKUP($A98,publ_fin!$A:$I,8,FALSE)</f>
        <v>2237544.5</v>
      </c>
      <c r="F98" s="114">
        <v>0.84999964023061891</v>
      </c>
      <c r="G98" s="115"/>
      <c r="H98" s="22">
        <v>0</v>
      </c>
      <c r="I98" s="115">
        <f>F98*H98</f>
        <v>0</v>
      </c>
      <c r="J98" s="117">
        <v>2244184.9900000002</v>
      </c>
      <c r="K98" s="117">
        <v>7052.05</v>
      </c>
      <c r="L98" s="117">
        <v>0</v>
      </c>
      <c r="M98" s="23">
        <f t="shared" si="66"/>
        <v>7052.05</v>
      </c>
      <c r="N98" s="54">
        <f>E98-J98</f>
        <v>-6640.4900000002235</v>
      </c>
      <c r="O98" s="117">
        <f>H98+N98</f>
        <v>-6640.4900000002235</v>
      </c>
      <c r="P98" s="23">
        <v>13573</v>
      </c>
      <c r="Q98" s="23">
        <f>IFERROR(VLOOKUP(A98,lauzti_līg!A:H,8,FALSE),0)</f>
        <v>0</v>
      </c>
      <c r="R98" s="23">
        <f t="shared" si="69"/>
        <v>13573</v>
      </c>
      <c r="S98" s="23">
        <f>R98-M98</f>
        <v>6520.95</v>
      </c>
      <c r="T98" s="117">
        <v>2559.46</v>
      </c>
      <c r="U98" s="23">
        <f>IFERROR(VLOOKUP(A98,Nosl_līg!A:H,8,FALSE),0)</f>
        <v>2230697.41</v>
      </c>
      <c r="V98" s="23">
        <f>U98-J98</f>
        <v>-13487.580000000075</v>
      </c>
      <c r="W98" s="23">
        <f>O98-S98-V98</f>
        <v>326.13999999985026</v>
      </c>
      <c r="X98" s="23">
        <f>IF(N98&gt;=S98+V98,N98-S98-V98,0)</f>
        <v>326.13999999985026</v>
      </c>
      <c r="Y98" s="23">
        <f t="shared" si="67"/>
        <v>-6966.6300000000738</v>
      </c>
      <c r="Z98" s="23">
        <f>IF(H98=0,0, IF(U98-E98+R98-M98&lt;0, 0, U98-E98+R98-M98))</f>
        <v>0</v>
      </c>
      <c r="AA98" s="23" t="e">
        <f>VLOOKUP(A98,#REF!,63,FALSE)/F98+T98</f>
        <v>#REF!</v>
      </c>
      <c r="AB98" s="69" t="e">
        <f t="shared" si="61"/>
        <v>#DIV/0!</v>
      </c>
    </row>
    <row r="99" spans="1:28" ht="49.5">
      <c r="A99" s="19" t="s">
        <v>277</v>
      </c>
      <c r="B99" s="20" t="s">
        <v>484</v>
      </c>
      <c r="C99" s="21" t="s">
        <v>0</v>
      </c>
      <c r="D99" s="21" t="s">
        <v>627</v>
      </c>
      <c r="E99" s="271">
        <f>VLOOKUP($A99,publ_fin!$A:$I,8,FALSE)</f>
        <v>2386548.79</v>
      </c>
      <c r="F99" s="114">
        <v>1</v>
      </c>
      <c r="G99" s="115"/>
      <c r="H99" s="22">
        <v>0</v>
      </c>
      <c r="I99" s="115">
        <f>F99*H99</f>
        <v>0</v>
      </c>
      <c r="J99" s="117">
        <v>1391035.7199999997</v>
      </c>
      <c r="K99" s="117">
        <v>2939.21</v>
      </c>
      <c r="L99" s="117">
        <v>52810.32</v>
      </c>
      <c r="M99" s="23">
        <f t="shared" si="66"/>
        <v>55749.53</v>
      </c>
      <c r="N99" s="54">
        <f>E99-J99</f>
        <v>995513.0700000003</v>
      </c>
      <c r="O99" s="117">
        <f>H99+N99</f>
        <v>995513.0700000003</v>
      </c>
      <c r="P99" s="23">
        <v>53103</v>
      </c>
      <c r="Q99" s="23">
        <f>IFERROR(VLOOKUP(A99,lauzti_līg!A:H,8,FALSE),0)</f>
        <v>96246.57</v>
      </c>
      <c r="R99" s="23">
        <f t="shared" si="69"/>
        <v>149349.57</v>
      </c>
      <c r="S99" s="23">
        <f>R99-M99</f>
        <v>93600.040000000008</v>
      </c>
      <c r="T99" s="117">
        <v>22333.930000000008</v>
      </c>
      <c r="U99" s="23">
        <f>IFERROR(VLOOKUP(A99,Nosl_līg!A:H,8,FALSE),0)</f>
        <v>2297144.9700000002</v>
      </c>
      <c r="V99" s="23">
        <f>U99-J99</f>
        <v>906109.25000000047</v>
      </c>
      <c r="W99" s="23">
        <f>O99-S99-V99</f>
        <v>-4196.2200000002049</v>
      </c>
      <c r="X99" s="23">
        <f>IF(N99&gt;=S99+V99,N99-S99-V99,0)</f>
        <v>0</v>
      </c>
      <c r="Y99" s="23">
        <f t="shared" si="67"/>
        <v>999709.2900000005</v>
      </c>
      <c r="Z99" s="23">
        <f>IF(H99=0,0, IF(U99-E99+R99-M99&lt;0, 0, U99-E99+R99-M99))</f>
        <v>0</v>
      </c>
      <c r="AA99" s="23" t="e">
        <f>VLOOKUP(A99,#REF!,63,FALSE)/F99+T99</f>
        <v>#REF!</v>
      </c>
      <c r="AB99" s="69" t="e">
        <f t="shared" si="61"/>
        <v>#DIV/0!</v>
      </c>
    </row>
    <row r="100" spans="1:28" ht="82.5">
      <c r="A100" s="19" t="s">
        <v>279</v>
      </c>
      <c r="B100" s="20" t="s">
        <v>485</v>
      </c>
      <c r="C100" s="21" t="s">
        <v>0</v>
      </c>
      <c r="D100" s="21" t="s">
        <v>627</v>
      </c>
      <c r="E100" s="271">
        <f>VLOOKUP($A100,publ_fin!$A:$I,8,FALSE)</f>
        <v>1418135.48</v>
      </c>
      <c r="F100" s="114">
        <v>1</v>
      </c>
      <c r="G100" s="115"/>
      <c r="H100" s="22">
        <v>0</v>
      </c>
      <c r="I100" s="115">
        <f>F100*H100</f>
        <v>0</v>
      </c>
      <c r="J100" s="117">
        <v>1470419.6500000001</v>
      </c>
      <c r="K100" s="117">
        <v>44496.71</v>
      </c>
      <c r="L100" s="117">
        <v>96233.510000000009</v>
      </c>
      <c r="M100" s="23">
        <f t="shared" si="66"/>
        <v>140730.22</v>
      </c>
      <c r="N100" s="54">
        <f>E100-J100</f>
        <v>-52284.170000000158</v>
      </c>
      <c r="O100" s="117">
        <f>H100+N100</f>
        <v>-52284.170000000158</v>
      </c>
      <c r="P100" s="58">
        <v>72749</v>
      </c>
      <c r="Q100" s="23">
        <f>IFERROR(VLOOKUP(A100,lauzti_līg!A:H,8,FALSE),0)</f>
        <v>142593.51</v>
      </c>
      <c r="R100" s="23">
        <f t="shared" si="69"/>
        <v>215342.51</v>
      </c>
      <c r="S100" s="23">
        <f>R100-M100</f>
        <v>74612.290000000008</v>
      </c>
      <c r="T100" s="117">
        <v>38625.589999999997</v>
      </c>
      <c r="U100" s="23">
        <f>IFERROR(VLOOKUP(A100,Nosl_līg!A:H,8,FALSE),0)</f>
        <v>1346507.36</v>
      </c>
      <c r="V100" s="23">
        <f>U100-J100</f>
        <v>-123912.29000000004</v>
      </c>
      <c r="W100" s="23">
        <f>O100-S100-V100</f>
        <v>-2984.1700000001292</v>
      </c>
      <c r="X100" s="23">
        <f>IF(N100&gt;=S100+V100,N100-S100-V100,0)</f>
        <v>0</v>
      </c>
      <c r="Y100" s="23">
        <f t="shared" si="67"/>
        <v>-49300.000000000029</v>
      </c>
      <c r="Z100" s="23">
        <f>IF(H100=0,0, IF(U100-E100+R100-M100&lt;0, 0, U100-E100+R100-M100))</f>
        <v>0</v>
      </c>
      <c r="AA100" s="23" t="e">
        <f>VLOOKUP(A100,#REF!,63,FALSE)/F100+T100</f>
        <v>#REF!</v>
      </c>
      <c r="AB100" s="69" t="e">
        <f t="shared" si="61"/>
        <v>#DIV/0!</v>
      </c>
    </row>
    <row r="101" spans="1:28" ht="82.5">
      <c r="A101" s="14" t="s">
        <v>54</v>
      </c>
      <c r="B101" s="15" t="s">
        <v>486</v>
      </c>
      <c r="C101" s="16" t="s">
        <v>0</v>
      </c>
      <c r="D101" s="16" t="s">
        <v>628</v>
      </c>
      <c r="E101" s="270">
        <f t="shared" ref="E101:AA101" si="79">E102+E103</f>
        <v>5026716.3599999994</v>
      </c>
      <c r="F101" s="113"/>
      <c r="G101" s="113">
        <f t="shared" si="79"/>
        <v>0</v>
      </c>
      <c r="H101" s="17">
        <f t="shared" si="79"/>
        <v>0</v>
      </c>
      <c r="I101" s="113">
        <f t="shared" si="79"/>
        <v>0</v>
      </c>
      <c r="J101" s="113">
        <f t="shared" si="79"/>
        <v>4947668.83</v>
      </c>
      <c r="K101" s="113">
        <f t="shared" si="79"/>
        <v>5433.78</v>
      </c>
      <c r="L101" s="113">
        <f t="shared" si="79"/>
        <v>31507</v>
      </c>
      <c r="M101" s="17">
        <f t="shared" si="79"/>
        <v>36940.78</v>
      </c>
      <c r="N101" s="53">
        <f t="shared" si="79"/>
        <v>79047.529999999795</v>
      </c>
      <c r="O101" s="113">
        <f t="shared" si="79"/>
        <v>79047.529999999795</v>
      </c>
      <c r="P101" s="17">
        <v>137445</v>
      </c>
      <c r="Q101" s="17">
        <f t="shared" si="79"/>
        <v>31507</v>
      </c>
      <c r="R101" s="17">
        <f t="shared" si="69"/>
        <v>168952</v>
      </c>
      <c r="S101" s="17">
        <f t="shared" si="79"/>
        <v>132011.22</v>
      </c>
      <c r="T101" s="113">
        <v>32299.310000000005</v>
      </c>
      <c r="U101" s="17">
        <f t="shared" si="79"/>
        <v>4619999.75</v>
      </c>
      <c r="V101" s="17">
        <f t="shared" si="79"/>
        <v>-327669.08000000007</v>
      </c>
      <c r="W101" s="17">
        <f t="shared" si="79"/>
        <v>274705.3899999999</v>
      </c>
      <c r="X101" s="17">
        <f t="shared" si="79"/>
        <v>274705.3899999999</v>
      </c>
      <c r="Y101" s="17">
        <f t="shared" si="67"/>
        <v>-195657.8600000001</v>
      </c>
      <c r="Z101" s="17">
        <f t="shared" si="79"/>
        <v>0</v>
      </c>
      <c r="AA101" s="17" t="e">
        <f t="shared" si="79"/>
        <v>#REF!</v>
      </c>
      <c r="AB101" s="68" t="e">
        <f t="shared" si="61"/>
        <v>#DIV/0!</v>
      </c>
    </row>
    <row r="102" spans="1:28" ht="49.5">
      <c r="A102" s="19" t="s">
        <v>281</v>
      </c>
      <c r="B102" s="20" t="s">
        <v>487</v>
      </c>
      <c r="C102" s="21" t="s">
        <v>0</v>
      </c>
      <c r="D102" s="21" t="s">
        <v>628</v>
      </c>
      <c r="E102" s="271">
        <f>VLOOKUP($A102,publ_fin!$A:$I,8,FALSE)</f>
        <v>2543141.96</v>
      </c>
      <c r="F102" s="114">
        <v>1</v>
      </c>
      <c r="G102" s="115"/>
      <c r="H102" s="22">
        <v>0</v>
      </c>
      <c r="I102" s="115">
        <f>F102*H102</f>
        <v>0</v>
      </c>
      <c r="J102" s="117">
        <v>2503446.7699999996</v>
      </c>
      <c r="K102" s="117">
        <v>3750.18</v>
      </c>
      <c r="L102" s="117">
        <v>31507</v>
      </c>
      <c r="M102" s="23">
        <f t="shared" si="66"/>
        <v>35257.18</v>
      </c>
      <c r="N102" s="54">
        <f>E102-J102</f>
        <v>39695.19000000041</v>
      </c>
      <c r="O102" s="117">
        <f>H102+N102</f>
        <v>39695.19000000041</v>
      </c>
      <c r="P102" s="23">
        <v>22074</v>
      </c>
      <c r="Q102" s="23">
        <f>IFERROR(VLOOKUP(A102,lauzti_līg!A:H,8,FALSE),0)</f>
        <v>31507</v>
      </c>
      <c r="R102" s="23">
        <f t="shared" si="69"/>
        <v>53581</v>
      </c>
      <c r="S102" s="23">
        <f>R102-M102</f>
        <v>18323.82</v>
      </c>
      <c r="T102" s="117">
        <v>345.86000000000058</v>
      </c>
      <c r="U102" s="23">
        <f>IFERROR(VLOOKUP(A102,Nosl_līg!A:H,8,FALSE),0)</f>
        <v>2444039.7000000002</v>
      </c>
      <c r="V102" s="23">
        <f>U102-J102</f>
        <v>-59407.069999999367</v>
      </c>
      <c r="W102" s="23">
        <f>O102-S102-V102</f>
        <v>80778.439999999769</v>
      </c>
      <c r="X102" s="23">
        <f>IF(N102&gt;=S102+V102,N102-S102-V102,0)</f>
        <v>80778.439999999769</v>
      </c>
      <c r="Y102" s="23">
        <f t="shared" si="67"/>
        <v>-41083.24999999936</v>
      </c>
      <c r="Z102" s="23">
        <f>IF(H102=0,0, IF(U102-E102+R102-M102&lt;0, 0, U102-E102+R102-M102))</f>
        <v>0</v>
      </c>
      <c r="AA102" s="23" t="e">
        <f>VLOOKUP(A102,#REF!,63,FALSE)/F102+T102</f>
        <v>#REF!</v>
      </c>
      <c r="AB102" s="69" t="e">
        <f t="shared" si="61"/>
        <v>#DIV/0!</v>
      </c>
    </row>
    <row r="103" spans="1:28" ht="66">
      <c r="A103" s="19" t="s">
        <v>283</v>
      </c>
      <c r="B103" s="20" t="s">
        <v>488</v>
      </c>
      <c r="C103" s="21" t="s">
        <v>0</v>
      </c>
      <c r="D103" s="21" t="s">
        <v>628</v>
      </c>
      <c r="E103" s="271">
        <f>VLOOKUP($A103,publ_fin!$A:$I,8,FALSE)</f>
        <v>2483574.4</v>
      </c>
      <c r="F103" s="114">
        <v>1</v>
      </c>
      <c r="G103" s="115"/>
      <c r="H103" s="22">
        <v>0</v>
      </c>
      <c r="I103" s="115">
        <f>F103*H103</f>
        <v>0</v>
      </c>
      <c r="J103" s="117">
        <v>2444222.0600000005</v>
      </c>
      <c r="K103" s="117">
        <v>1683.6</v>
      </c>
      <c r="L103" s="117">
        <v>0</v>
      </c>
      <c r="M103" s="23">
        <f t="shared" si="66"/>
        <v>1683.6</v>
      </c>
      <c r="N103" s="54">
        <f>E103-J103</f>
        <v>39352.339999999385</v>
      </c>
      <c r="O103" s="117">
        <f>H103+N103</f>
        <v>39352.339999999385</v>
      </c>
      <c r="P103" s="23">
        <v>115371</v>
      </c>
      <c r="Q103" s="23">
        <f>IFERROR(VLOOKUP(A103,lauzti_līg!A:H,8,FALSE),0)</f>
        <v>0</v>
      </c>
      <c r="R103" s="23">
        <f t="shared" si="69"/>
        <v>115371</v>
      </c>
      <c r="S103" s="23">
        <f>R103-M103</f>
        <v>113687.4</v>
      </c>
      <c r="T103" s="117">
        <v>31953.450000000004</v>
      </c>
      <c r="U103" s="23">
        <f>IFERROR(VLOOKUP(A103,Nosl_līg!A:H,8,FALSE),0)</f>
        <v>2175960.0499999998</v>
      </c>
      <c r="V103" s="23">
        <f>U103-J103</f>
        <v>-268262.01000000071</v>
      </c>
      <c r="W103" s="23">
        <f>O103-S103-V103</f>
        <v>193926.9500000001</v>
      </c>
      <c r="X103" s="23">
        <f>IF(N103&gt;=S103+V103,N103-S103-V103,0)</f>
        <v>193926.9500000001</v>
      </c>
      <c r="Y103" s="23">
        <f t="shared" si="67"/>
        <v>-154574.61000000071</v>
      </c>
      <c r="Z103" s="23">
        <f>IF(H103=0,0, IF(U103-E103+R103-M103&lt;0, 0, U103-E103+R103-M103))</f>
        <v>0</v>
      </c>
      <c r="AA103" s="23" t="e">
        <f>VLOOKUP(A103,#REF!,63,FALSE)/F103+T103</f>
        <v>#REF!</v>
      </c>
      <c r="AB103" s="69" t="e">
        <f t="shared" si="61"/>
        <v>#DIV/0!</v>
      </c>
    </row>
    <row r="104" spans="1:28" ht="33">
      <c r="A104" s="14" t="s">
        <v>205</v>
      </c>
      <c r="B104" s="15" t="s">
        <v>489</v>
      </c>
      <c r="C104" s="16" t="s">
        <v>0</v>
      </c>
      <c r="D104" s="16" t="s">
        <v>139</v>
      </c>
      <c r="E104" s="270">
        <f t="shared" ref="E104:U105" si="80">E105</f>
        <v>12847761.029999999</v>
      </c>
      <c r="F104" s="113"/>
      <c r="G104" s="113">
        <f t="shared" si="80"/>
        <v>0</v>
      </c>
      <c r="H104" s="17">
        <f t="shared" si="80"/>
        <v>0</v>
      </c>
      <c r="I104" s="113">
        <f t="shared" si="80"/>
        <v>0</v>
      </c>
      <c r="J104" s="113">
        <f t="shared" si="80"/>
        <v>12630647.49</v>
      </c>
      <c r="K104" s="113">
        <f t="shared" si="80"/>
        <v>35169.22</v>
      </c>
      <c r="L104" s="113">
        <f t="shared" si="80"/>
        <v>0</v>
      </c>
      <c r="M104" s="17">
        <f t="shared" si="80"/>
        <v>35169.22</v>
      </c>
      <c r="N104" s="53">
        <f t="shared" si="80"/>
        <v>217113.53999999911</v>
      </c>
      <c r="O104" s="113">
        <f t="shared" si="80"/>
        <v>217113.53999999911</v>
      </c>
      <c r="P104" s="17">
        <v>35532</v>
      </c>
      <c r="Q104" s="17">
        <f t="shared" si="80"/>
        <v>0</v>
      </c>
      <c r="R104" s="17">
        <f t="shared" si="69"/>
        <v>35532</v>
      </c>
      <c r="S104" s="17">
        <f t="shared" si="80"/>
        <v>362.77999999999884</v>
      </c>
      <c r="T104" s="113">
        <v>10.180000000000291</v>
      </c>
      <c r="U104" s="17">
        <f t="shared" si="80"/>
        <v>12607981.789999999</v>
      </c>
      <c r="V104" s="17">
        <f t="shared" ref="V104:AA105" si="81">V105</f>
        <v>-22665.700000001118</v>
      </c>
      <c r="W104" s="17">
        <f t="shared" si="81"/>
        <v>239416.46000000022</v>
      </c>
      <c r="X104" s="17">
        <f t="shared" si="81"/>
        <v>239416.46000000022</v>
      </c>
      <c r="Y104" s="17">
        <f t="shared" si="67"/>
        <v>-22302.920000001119</v>
      </c>
      <c r="Z104" s="17">
        <f t="shared" si="81"/>
        <v>0</v>
      </c>
      <c r="AA104" s="17" t="e">
        <f t="shared" si="81"/>
        <v>#REF!</v>
      </c>
      <c r="AB104" s="68" t="e">
        <f t="shared" si="61"/>
        <v>#DIV/0!</v>
      </c>
    </row>
    <row r="105" spans="1:28" ht="49.5">
      <c r="A105" s="14" t="s">
        <v>155</v>
      </c>
      <c r="B105" s="15" t="s">
        <v>490</v>
      </c>
      <c r="C105" s="16" t="s">
        <v>0</v>
      </c>
      <c r="D105" s="16" t="s">
        <v>139</v>
      </c>
      <c r="E105" s="270">
        <f t="shared" si="80"/>
        <v>12847761.029999999</v>
      </c>
      <c r="F105" s="113"/>
      <c r="G105" s="113">
        <f t="shared" si="80"/>
        <v>0</v>
      </c>
      <c r="H105" s="17">
        <f t="shared" si="80"/>
        <v>0</v>
      </c>
      <c r="I105" s="113">
        <f t="shared" si="80"/>
        <v>0</v>
      </c>
      <c r="J105" s="113">
        <f t="shared" si="80"/>
        <v>12630647.49</v>
      </c>
      <c r="K105" s="113">
        <f t="shared" si="80"/>
        <v>35169.22</v>
      </c>
      <c r="L105" s="113">
        <f t="shared" si="80"/>
        <v>0</v>
      </c>
      <c r="M105" s="17">
        <f t="shared" si="80"/>
        <v>35169.22</v>
      </c>
      <c r="N105" s="53">
        <f t="shared" si="80"/>
        <v>217113.53999999911</v>
      </c>
      <c r="O105" s="113">
        <f t="shared" si="80"/>
        <v>217113.53999999911</v>
      </c>
      <c r="P105" s="17">
        <v>35532</v>
      </c>
      <c r="Q105" s="17">
        <f t="shared" si="80"/>
        <v>0</v>
      </c>
      <c r="R105" s="17">
        <f t="shared" si="69"/>
        <v>35532</v>
      </c>
      <c r="S105" s="17">
        <f t="shared" si="80"/>
        <v>362.77999999999884</v>
      </c>
      <c r="T105" s="113">
        <v>10.180000000000291</v>
      </c>
      <c r="U105" s="17">
        <f t="shared" si="80"/>
        <v>12607981.789999999</v>
      </c>
      <c r="V105" s="17">
        <f t="shared" si="81"/>
        <v>-22665.700000001118</v>
      </c>
      <c r="W105" s="17">
        <f t="shared" si="81"/>
        <v>239416.46000000022</v>
      </c>
      <c r="X105" s="17">
        <f t="shared" si="81"/>
        <v>239416.46000000022</v>
      </c>
      <c r="Y105" s="17">
        <f t="shared" si="67"/>
        <v>-22302.920000001119</v>
      </c>
      <c r="Z105" s="17">
        <f t="shared" si="81"/>
        <v>0</v>
      </c>
      <c r="AA105" s="17" t="e">
        <f t="shared" si="81"/>
        <v>#REF!</v>
      </c>
      <c r="AB105" s="68" t="e">
        <f t="shared" si="61"/>
        <v>#DIV/0!</v>
      </c>
    </row>
    <row r="106" spans="1:28" ht="49.5">
      <c r="A106" s="19" t="s">
        <v>285</v>
      </c>
      <c r="B106" s="20" t="s">
        <v>491</v>
      </c>
      <c r="C106" s="21" t="s">
        <v>0</v>
      </c>
      <c r="D106" s="21" t="s">
        <v>139</v>
      </c>
      <c r="E106" s="271">
        <f>VLOOKUP($A106,publ_fin!$A:$I,8,FALSE)</f>
        <v>12847761.029999999</v>
      </c>
      <c r="F106" s="114">
        <v>1</v>
      </c>
      <c r="G106" s="115"/>
      <c r="H106" s="22">
        <v>0</v>
      </c>
      <c r="I106" s="115">
        <f>F106*H106</f>
        <v>0</v>
      </c>
      <c r="J106" s="117">
        <v>12630647.49</v>
      </c>
      <c r="K106" s="117">
        <v>35169.22</v>
      </c>
      <c r="L106" s="117">
        <v>0</v>
      </c>
      <c r="M106" s="23">
        <f t="shared" si="66"/>
        <v>35169.22</v>
      </c>
      <c r="N106" s="54">
        <f>E106-J106</f>
        <v>217113.53999999911</v>
      </c>
      <c r="O106" s="117">
        <f>H106+N106</f>
        <v>217113.53999999911</v>
      </c>
      <c r="P106" s="23">
        <v>35532</v>
      </c>
      <c r="Q106" s="23">
        <f>IFERROR(VLOOKUP(A106,lauzti_līg!A:H,8,FALSE),0)</f>
        <v>0</v>
      </c>
      <c r="R106" s="23">
        <f t="shared" si="69"/>
        <v>35532</v>
      </c>
      <c r="S106" s="23">
        <f>R106-M106</f>
        <v>362.77999999999884</v>
      </c>
      <c r="T106" s="117">
        <v>10.180000000000291</v>
      </c>
      <c r="U106" s="23">
        <f>IFERROR(VLOOKUP(A106,Nosl_līg!A:H,8,FALSE),0)</f>
        <v>12607981.789999999</v>
      </c>
      <c r="V106" s="23">
        <f>U106-J106</f>
        <v>-22665.700000001118</v>
      </c>
      <c r="W106" s="23">
        <f>O106-S106-V106</f>
        <v>239416.46000000022</v>
      </c>
      <c r="X106" s="23">
        <f>IF(N106&gt;=S106+V106,N106-S106-V106,0)</f>
        <v>239416.46000000022</v>
      </c>
      <c r="Y106" s="23">
        <f t="shared" si="67"/>
        <v>-22302.920000001119</v>
      </c>
      <c r="Z106" s="23">
        <f>IF(H106=0,0, IF(U106-E106+R106-M106&lt;0, 0, U106-E106+R106-M106))</f>
        <v>0</v>
      </c>
      <c r="AA106" s="23" t="e">
        <f>VLOOKUP(A106,#REF!,63,FALSE)/F106+T106</f>
        <v>#REF!</v>
      </c>
      <c r="AB106" s="69" t="e">
        <f t="shared" si="61"/>
        <v>#DIV/0!</v>
      </c>
    </row>
    <row r="107" spans="1:28" ht="51.75">
      <c r="A107" s="34">
        <v>2</v>
      </c>
      <c r="B107" s="35" t="s">
        <v>492</v>
      </c>
      <c r="C107" s="36" t="s">
        <v>55</v>
      </c>
      <c r="D107" s="36" t="s">
        <v>1</v>
      </c>
      <c r="E107" s="274">
        <f t="shared" ref="E107:AA107" si="82">E108+E128+E138+E149</f>
        <v>538178244.88</v>
      </c>
      <c r="F107" s="119"/>
      <c r="G107" s="119">
        <f t="shared" si="82"/>
        <v>0</v>
      </c>
      <c r="H107" s="13">
        <f t="shared" si="82"/>
        <v>46814550</v>
      </c>
      <c r="I107" s="119">
        <f t="shared" si="82"/>
        <v>46814405.118455425</v>
      </c>
      <c r="J107" s="119">
        <f t="shared" si="82"/>
        <v>449619275</v>
      </c>
      <c r="K107" s="119">
        <f t="shared" si="82"/>
        <v>1531874.9100000001</v>
      </c>
      <c r="L107" s="119">
        <f t="shared" si="82"/>
        <v>43649918.289999992</v>
      </c>
      <c r="M107" s="37">
        <f t="shared" si="82"/>
        <v>45181793.200000003</v>
      </c>
      <c r="N107" s="55">
        <f t="shared" si="82"/>
        <v>95174495.559999973</v>
      </c>
      <c r="O107" s="119">
        <f t="shared" si="82"/>
        <v>141989045.56</v>
      </c>
      <c r="P107" s="37">
        <v>26042615</v>
      </c>
      <c r="Q107" s="37">
        <f t="shared" si="82"/>
        <v>67861902.170000002</v>
      </c>
      <c r="R107" s="37">
        <f t="shared" si="69"/>
        <v>93904517.170000002</v>
      </c>
      <c r="S107" s="37">
        <f t="shared" ref="S107:U107" si="83">S108+S128+S138+S149</f>
        <v>48722723.969999999</v>
      </c>
      <c r="T107" s="119">
        <v>14547739.500000002</v>
      </c>
      <c r="U107" s="37">
        <f t="shared" si="83"/>
        <v>452697626.89000005</v>
      </c>
      <c r="V107" s="37">
        <f t="shared" si="82"/>
        <v>3078351.8899999894</v>
      </c>
      <c r="W107" s="37">
        <f t="shared" si="82"/>
        <v>90187969.699999988</v>
      </c>
      <c r="X107" s="37">
        <f t="shared" si="82"/>
        <v>57341864.539999992</v>
      </c>
      <c r="Y107" s="37">
        <f t="shared" si="67"/>
        <v>51801075.860000014</v>
      </c>
      <c r="Z107" s="37">
        <f t="shared" si="82"/>
        <v>0</v>
      </c>
      <c r="AA107" s="37" t="e">
        <f t="shared" si="82"/>
        <v>#REF!</v>
      </c>
      <c r="AB107" s="71">
        <f t="shared" si="61"/>
        <v>0</v>
      </c>
    </row>
    <row r="108" spans="1:28" ht="33">
      <c r="A108" s="14" t="s">
        <v>146</v>
      </c>
      <c r="B108" s="15" t="s">
        <v>493</v>
      </c>
      <c r="C108" s="16"/>
      <c r="D108" s="16"/>
      <c r="E108" s="270">
        <f t="shared" ref="E108:AA108" si="84">E109+E115</f>
        <v>351120610.22000003</v>
      </c>
      <c r="F108" s="113"/>
      <c r="G108" s="113">
        <f t="shared" si="84"/>
        <v>0</v>
      </c>
      <c r="H108" s="17">
        <f t="shared" si="84"/>
        <v>40814550</v>
      </c>
      <c r="I108" s="113">
        <f t="shared" si="84"/>
        <v>40814405.118455425</v>
      </c>
      <c r="J108" s="113">
        <f t="shared" si="84"/>
        <v>246765222.30000001</v>
      </c>
      <c r="K108" s="113">
        <f t="shared" si="84"/>
        <v>985747.34000000008</v>
      </c>
      <c r="L108" s="113">
        <f t="shared" si="84"/>
        <v>30084453.299999997</v>
      </c>
      <c r="M108" s="17">
        <f t="shared" si="84"/>
        <v>31070200.640000001</v>
      </c>
      <c r="N108" s="53">
        <f t="shared" si="84"/>
        <v>104355387.91999999</v>
      </c>
      <c r="O108" s="113">
        <f t="shared" si="84"/>
        <v>145169937.91999999</v>
      </c>
      <c r="P108" s="17">
        <v>9376561</v>
      </c>
      <c r="Q108" s="17">
        <f t="shared" si="84"/>
        <v>52657602.030000001</v>
      </c>
      <c r="R108" s="17">
        <f t="shared" si="69"/>
        <v>62034163.030000001</v>
      </c>
      <c r="S108" s="17">
        <f t="shared" ref="S108:U108" si="85">S109+S115</f>
        <v>30963962.390000001</v>
      </c>
      <c r="T108" s="113">
        <v>12695898.420000002</v>
      </c>
      <c r="U108" s="17">
        <f t="shared" si="85"/>
        <v>274791717.21999997</v>
      </c>
      <c r="V108" s="17">
        <f t="shared" si="84"/>
        <v>28026494.919999987</v>
      </c>
      <c r="W108" s="17">
        <f t="shared" si="84"/>
        <v>86179480.609999999</v>
      </c>
      <c r="X108" s="17">
        <f t="shared" si="84"/>
        <v>45381351.299999997</v>
      </c>
      <c r="Y108" s="17">
        <f t="shared" si="67"/>
        <v>58990457.309999987</v>
      </c>
      <c r="Z108" s="17">
        <f t="shared" si="84"/>
        <v>0</v>
      </c>
      <c r="AA108" s="17" t="e">
        <f t="shared" si="84"/>
        <v>#REF!</v>
      </c>
      <c r="AB108" s="68">
        <f t="shared" si="61"/>
        <v>0</v>
      </c>
    </row>
    <row r="109" spans="1:28" ht="33">
      <c r="A109" s="14" t="s">
        <v>56</v>
      </c>
      <c r="B109" s="15" t="s">
        <v>494</v>
      </c>
      <c r="C109" s="16" t="s">
        <v>55</v>
      </c>
      <c r="D109" s="16" t="s">
        <v>5</v>
      </c>
      <c r="E109" s="270">
        <f t="shared" ref="E109:AA109" si="86">E110+E111+E112</f>
        <v>156013039.5</v>
      </c>
      <c r="F109" s="113"/>
      <c r="G109" s="113">
        <f t="shared" si="86"/>
        <v>0</v>
      </c>
      <c r="H109" s="17">
        <f t="shared" si="86"/>
        <v>5418</v>
      </c>
      <c r="I109" s="113">
        <f t="shared" si="86"/>
        <v>5273.1184554231786</v>
      </c>
      <c r="J109" s="113">
        <f t="shared" si="86"/>
        <v>112903984</v>
      </c>
      <c r="K109" s="113">
        <f t="shared" si="86"/>
        <v>159827.16999999998</v>
      </c>
      <c r="L109" s="113">
        <f t="shared" si="86"/>
        <v>338200</v>
      </c>
      <c r="M109" s="17">
        <f t="shared" si="86"/>
        <v>498027.17000000004</v>
      </c>
      <c r="N109" s="53">
        <f t="shared" si="86"/>
        <v>43109055.5</v>
      </c>
      <c r="O109" s="113">
        <f t="shared" si="86"/>
        <v>43114473.5</v>
      </c>
      <c r="P109" s="17">
        <v>1700145</v>
      </c>
      <c r="Q109" s="17">
        <f t="shared" si="86"/>
        <v>5595303</v>
      </c>
      <c r="R109" s="17">
        <f t="shared" si="69"/>
        <v>7295448</v>
      </c>
      <c r="S109" s="17">
        <f t="shared" ref="S109:U109" si="87">S110+S111+S112</f>
        <v>6797420.8300000001</v>
      </c>
      <c r="T109" s="113">
        <v>128649.15999999997</v>
      </c>
      <c r="U109" s="17">
        <f t="shared" si="87"/>
        <v>133177126.7</v>
      </c>
      <c r="V109" s="17">
        <f t="shared" si="86"/>
        <v>20273142.699999999</v>
      </c>
      <c r="W109" s="17">
        <f t="shared" si="86"/>
        <v>16043909.969999999</v>
      </c>
      <c r="X109" s="17">
        <f t="shared" si="86"/>
        <v>16038491.969999999</v>
      </c>
      <c r="Y109" s="17">
        <f t="shared" si="67"/>
        <v>27070563.530000001</v>
      </c>
      <c r="Z109" s="17">
        <f t="shared" si="86"/>
        <v>0</v>
      </c>
      <c r="AA109" s="17" t="e">
        <f t="shared" si="86"/>
        <v>#REF!</v>
      </c>
      <c r="AB109" s="68">
        <f t="shared" si="61"/>
        <v>0</v>
      </c>
    </row>
    <row r="110" spans="1:28" ht="33">
      <c r="A110" s="19" t="s">
        <v>287</v>
      </c>
      <c r="B110" s="20" t="s">
        <v>495</v>
      </c>
      <c r="C110" s="21" t="s">
        <v>55</v>
      </c>
      <c r="D110" s="21" t="s">
        <v>5</v>
      </c>
      <c r="E110" s="271">
        <v>43686347.219999999</v>
      </c>
      <c r="F110" s="114">
        <v>0.97325922027005873</v>
      </c>
      <c r="G110" s="115"/>
      <c r="H110" s="22">
        <v>5418</v>
      </c>
      <c r="I110" s="115">
        <f>F110*H110</f>
        <v>5273.1184554231786</v>
      </c>
      <c r="J110" s="117">
        <v>33601038</v>
      </c>
      <c r="K110" s="117">
        <v>108965.7</v>
      </c>
      <c r="L110" s="117">
        <v>338200</v>
      </c>
      <c r="M110" s="23">
        <f t="shared" si="66"/>
        <v>447165.7</v>
      </c>
      <c r="N110" s="54">
        <f>E110-J110</f>
        <v>10085309.219999999</v>
      </c>
      <c r="O110" s="117">
        <f>H110+N110</f>
        <v>10090727.219999999</v>
      </c>
      <c r="P110" s="23">
        <v>681292</v>
      </c>
      <c r="Q110" s="23">
        <f>IFERROR(VLOOKUP(A110,lauzti_līg!A:H,8,FALSE),0)</f>
        <v>338200</v>
      </c>
      <c r="R110" s="23">
        <f t="shared" si="69"/>
        <v>1019492</v>
      </c>
      <c r="S110" s="23">
        <f>R110-M110</f>
        <v>572326.30000000005</v>
      </c>
      <c r="T110" s="117">
        <v>87363.409999999974</v>
      </c>
      <c r="U110" s="23">
        <f>IFERROR(VLOOKUP(A110,Nosl_līg!A:H,8,FALSE),0)</f>
        <v>36450323.890000001</v>
      </c>
      <c r="V110" s="23">
        <f>U110-J110</f>
        <v>2849285.8900000006</v>
      </c>
      <c r="W110" s="23">
        <f>O110-S110-V110</f>
        <v>6669115.0299999975</v>
      </c>
      <c r="X110" s="23">
        <f>IF(N110&gt;=S110+V110,N110-S110-V110,0)</f>
        <v>6663697.0299999975</v>
      </c>
      <c r="Y110" s="23">
        <f t="shared" si="67"/>
        <v>3421612.1900000013</v>
      </c>
      <c r="Z110" s="23">
        <f>IF(H110=0,0, IF(U110-E110+R110-M110&lt;0, 0, U110-E110+R110-M110))</f>
        <v>0</v>
      </c>
      <c r="AA110" s="23" t="e">
        <f>VLOOKUP(A110,#REF!,63,FALSE)/F110+T110</f>
        <v>#REF!</v>
      </c>
      <c r="AB110" s="69">
        <f t="shared" si="61"/>
        <v>0</v>
      </c>
    </row>
    <row r="111" spans="1:28" ht="66">
      <c r="A111" s="19" t="s">
        <v>289</v>
      </c>
      <c r="B111" s="20" t="s">
        <v>496</v>
      </c>
      <c r="C111" s="21" t="s">
        <v>55</v>
      </c>
      <c r="D111" s="21" t="s">
        <v>5</v>
      </c>
      <c r="E111" s="271">
        <f>VLOOKUP($A111,publ_fin!$A:$I,8,FALSE)</f>
        <v>4366559.91</v>
      </c>
      <c r="F111" s="114">
        <v>1</v>
      </c>
      <c r="G111" s="115"/>
      <c r="H111" s="22">
        <v>0</v>
      </c>
      <c r="I111" s="115">
        <f>F111*H111</f>
        <v>0</v>
      </c>
      <c r="J111" s="117">
        <v>4144512</v>
      </c>
      <c r="K111" s="117">
        <v>50861.47</v>
      </c>
      <c r="L111" s="117">
        <v>0</v>
      </c>
      <c r="M111" s="23">
        <f t="shared" si="66"/>
        <v>50861.47</v>
      </c>
      <c r="N111" s="54">
        <f>E111-J111</f>
        <v>222047.91000000015</v>
      </c>
      <c r="O111" s="117">
        <f>H111+N111</f>
        <v>222047.91000000015</v>
      </c>
      <c r="P111" s="23">
        <v>126974</v>
      </c>
      <c r="Q111" s="23">
        <f>IFERROR(VLOOKUP(A111,lauzti_līg!A:H,8,FALSE),0)</f>
        <v>0</v>
      </c>
      <c r="R111" s="23">
        <f t="shared" si="69"/>
        <v>126974</v>
      </c>
      <c r="S111" s="23">
        <f>R111-M111</f>
        <v>76112.53</v>
      </c>
      <c r="T111" s="117">
        <v>29007.78</v>
      </c>
      <c r="U111" s="23">
        <f>IFERROR(VLOOKUP(A111,Nosl_līg!A:H,8,FALSE),0)</f>
        <v>3914260.09</v>
      </c>
      <c r="V111" s="23">
        <f>U111-J111</f>
        <v>-230251.91000000015</v>
      </c>
      <c r="W111" s="23">
        <f>O111-S111-V111</f>
        <v>376187.29000000027</v>
      </c>
      <c r="X111" s="23">
        <f>IF(N111&gt;=S111+V111,N111-S111-V111,0)</f>
        <v>376187.29000000027</v>
      </c>
      <c r="Y111" s="23">
        <f t="shared" si="67"/>
        <v>-154139.38000000012</v>
      </c>
      <c r="Z111" s="23">
        <f>IF(H111=0,0, IF(U111-E111+R111-M111&lt;0, 0, U111-E111+R111-M111))</f>
        <v>0</v>
      </c>
      <c r="AA111" s="23" t="e">
        <f>VLOOKUP(A111,#REF!,63,FALSE)/F111+T111</f>
        <v>#REF!</v>
      </c>
      <c r="AB111" s="69" t="e">
        <f t="shared" si="61"/>
        <v>#DIV/0!</v>
      </c>
    </row>
    <row r="112" spans="1:28" ht="49.5">
      <c r="A112" s="19" t="s">
        <v>57</v>
      </c>
      <c r="B112" s="20" t="s">
        <v>497</v>
      </c>
      <c r="C112" s="21" t="s">
        <v>55</v>
      </c>
      <c r="D112" s="21" t="s">
        <v>5</v>
      </c>
      <c r="E112" s="269">
        <f t="shared" ref="E112:AA112" si="88">E113+E114</f>
        <v>107960132.37</v>
      </c>
      <c r="F112" s="116"/>
      <c r="G112" s="116">
        <f t="shared" si="88"/>
        <v>0</v>
      </c>
      <c r="H112" s="23">
        <f t="shared" si="88"/>
        <v>0</v>
      </c>
      <c r="I112" s="116">
        <f t="shared" si="88"/>
        <v>0</v>
      </c>
      <c r="J112" s="116">
        <f t="shared" si="88"/>
        <v>75158434</v>
      </c>
      <c r="K112" s="116">
        <f t="shared" si="88"/>
        <v>0</v>
      </c>
      <c r="L112" s="116">
        <f t="shared" si="88"/>
        <v>0</v>
      </c>
      <c r="M112" s="18">
        <f t="shared" si="88"/>
        <v>0</v>
      </c>
      <c r="N112" s="54">
        <f t="shared" si="88"/>
        <v>32801698.370000001</v>
      </c>
      <c r="O112" s="116">
        <f t="shared" si="88"/>
        <v>32801698.370000001</v>
      </c>
      <c r="P112" s="18">
        <v>891879</v>
      </c>
      <c r="Q112" s="18">
        <f t="shared" si="88"/>
        <v>5257103</v>
      </c>
      <c r="R112" s="18">
        <f t="shared" si="69"/>
        <v>6148982</v>
      </c>
      <c r="S112" s="18">
        <f t="shared" si="88"/>
        <v>6148982</v>
      </c>
      <c r="T112" s="116">
        <v>12277.97</v>
      </c>
      <c r="U112" s="18">
        <f t="shared" si="88"/>
        <v>92812542.719999999</v>
      </c>
      <c r="V112" s="18">
        <f t="shared" si="88"/>
        <v>17654108.719999999</v>
      </c>
      <c r="W112" s="18">
        <f t="shared" si="88"/>
        <v>8998607.6500000022</v>
      </c>
      <c r="X112" s="18">
        <f t="shared" si="88"/>
        <v>8998607.6500000022</v>
      </c>
      <c r="Y112" s="18">
        <f t="shared" si="67"/>
        <v>23803090.719999999</v>
      </c>
      <c r="Z112" s="18">
        <f t="shared" si="88"/>
        <v>0</v>
      </c>
      <c r="AA112" s="18" t="e">
        <f t="shared" si="88"/>
        <v>#REF!</v>
      </c>
      <c r="AB112" s="70" t="e">
        <f t="shared" si="61"/>
        <v>#DIV/0!</v>
      </c>
    </row>
    <row r="113" spans="1:28" ht="33">
      <c r="A113" s="19" t="s">
        <v>58</v>
      </c>
      <c r="B113" s="20" t="s">
        <v>498</v>
      </c>
      <c r="C113" s="21" t="s">
        <v>55</v>
      </c>
      <c r="D113" s="21" t="s">
        <v>5</v>
      </c>
      <c r="E113" s="271">
        <v>97445769.170000002</v>
      </c>
      <c r="F113" s="114">
        <v>0.98997639568464757</v>
      </c>
      <c r="G113" s="115"/>
      <c r="H113" s="22">
        <v>0</v>
      </c>
      <c r="I113" s="115">
        <f>F113*H113</f>
        <v>0</v>
      </c>
      <c r="J113" s="117">
        <v>64644071</v>
      </c>
      <c r="K113" s="117">
        <v>0</v>
      </c>
      <c r="L113" s="117">
        <v>0</v>
      </c>
      <c r="M113" s="23">
        <f t="shared" si="66"/>
        <v>0</v>
      </c>
      <c r="N113" s="54">
        <f>E113-J113</f>
        <v>32801698.170000002</v>
      </c>
      <c r="O113" s="117">
        <f>H113+N113</f>
        <v>32801698.170000002</v>
      </c>
      <c r="P113" s="23">
        <v>891879</v>
      </c>
      <c r="Q113" s="23">
        <f>IFERROR(VLOOKUP(A113,lauzti_līg!A:H,8,FALSE),0)</f>
        <v>5257103</v>
      </c>
      <c r="R113" s="23">
        <f t="shared" si="69"/>
        <v>6148982</v>
      </c>
      <c r="S113" s="23">
        <f>R113-M113</f>
        <v>6148982</v>
      </c>
      <c r="T113" s="117">
        <v>12277.97</v>
      </c>
      <c r="U113" s="23">
        <f>IFERROR(VLOOKUP(A113,Nosl_līg!A:H,8,FALSE),0)</f>
        <v>82298179.719999999</v>
      </c>
      <c r="V113" s="23">
        <f>U113-J113</f>
        <v>17654108.719999999</v>
      </c>
      <c r="W113" s="23">
        <f>O113-S113-V113</f>
        <v>8998607.450000003</v>
      </c>
      <c r="X113" s="23">
        <f>IF(N113&gt;=S113+V113,N113-S113-V113,0)</f>
        <v>8998607.450000003</v>
      </c>
      <c r="Y113" s="23">
        <f t="shared" si="67"/>
        <v>23803090.719999999</v>
      </c>
      <c r="Z113" s="23">
        <f>IF(H113=0,0, IF(U113-E113+R113-M113&lt;0, 0, U113-E113+R113-M113))</f>
        <v>0</v>
      </c>
      <c r="AA113" s="23" t="e">
        <f>VLOOKUP(A113,#REF!,63,FALSE)/F113+T113</f>
        <v>#REF!</v>
      </c>
      <c r="AB113" s="69" t="e">
        <f t="shared" si="61"/>
        <v>#DIV/0!</v>
      </c>
    </row>
    <row r="114" spans="1:28" ht="66">
      <c r="A114" s="19" t="s">
        <v>59</v>
      </c>
      <c r="B114" s="20" t="s">
        <v>499</v>
      </c>
      <c r="C114" s="21" t="s">
        <v>55</v>
      </c>
      <c r="D114" s="21" t="s">
        <v>5</v>
      </c>
      <c r="E114" s="271">
        <f>VLOOKUP($A114,publ_fin!$A:$I,8,FALSE)</f>
        <v>10514363.199999999</v>
      </c>
      <c r="F114" s="114">
        <v>1</v>
      </c>
      <c r="G114" s="115"/>
      <c r="H114" s="22">
        <v>0</v>
      </c>
      <c r="I114" s="115">
        <f>F114*H114</f>
        <v>0</v>
      </c>
      <c r="J114" s="117">
        <v>10514363</v>
      </c>
      <c r="K114" s="117">
        <v>0</v>
      </c>
      <c r="L114" s="117">
        <v>0</v>
      </c>
      <c r="M114" s="23">
        <f t="shared" si="66"/>
        <v>0</v>
      </c>
      <c r="N114" s="54">
        <f>E114-J114</f>
        <v>0.19999999925494194</v>
      </c>
      <c r="O114" s="117">
        <f>H114+N114</f>
        <v>0.19999999925494194</v>
      </c>
      <c r="P114" s="23">
        <v>0</v>
      </c>
      <c r="Q114" s="23">
        <f>IFERROR(VLOOKUP(A114,lauzti_līg!A:H,8,FALSE),0)</f>
        <v>0</v>
      </c>
      <c r="R114" s="23">
        <f t="shared" si="69"/>
        <v>0</v>
      </c>
      <c r="S114" s="23">
        <f>R114-M114</f>
        <v>0</v>
      </c>
      <c r="T114" s="117">
        <v>0</v>
      </c>
      <c r="U114" s="23">
        <f>IFERROR(VLOOKUP(A114,Nosl_līg!A:H,8,FALSE),0)</f>
        <v>10514363</v>
      </c>
      <c r="V114" s="23">
        <f>U114-J114</f>
        <v>0</v>
      </c>
      <c r="W114" s="23">
        <f>O114-S114-V114</f>
        <v>0.19999999925494194</v>
      </c>
      <c r="X114" s="23">
        <f>IF(N114&gt;=S114+V114,N114-S114-V114,0)</f>
        <v>0.19999999925494194</v>
      </c>
      <c r="Y114" s="23">
        <f t="shared" si="67"/>
        <v>0</v>
      </c>
      <c r="Z114" s="23">
        <f>IF(H114=0,0, IF(U114-E114+R114-M114&lt;0, 0, U114-E114+R114-M114))</f>
        <v>0</v>
      </c>
      <c r="AA114" s="23" t="e">
        <f>VLOOKUP(A114,#REF!,63,FALSE)/F114+T114</f>
        <v>#REF!</v>
      </c>
      <c r="AB114" s="69" t="e">
        <f t="shared" si="61"/>
        <v>#DIV/0!</v>
      </c>
    </row>
    <row r="115" spans="1:28" ht="16.5">
      <c r="A115" s="14" t="s">
        <v>60</v>
      </c>
      <c r="B115" s="15" t="s">
        <v>500</v>
      </c>
      <c r="C115" s="16" t="s">
        <v>55</v>
      </c>
      <c r="D115" s="16" t="s">
        <v>137</v>
      </c>
      <c r="E115" s="270">
        <f t="shared" ref="E115:AA115" si="89">E116+E120+E125+E127</f>
        <v>195107570.72</v>
      </c>
      <c r="F115" s="113"/>
      <c r="G115" s="113">
        <f t="shared" si="89"/>
        <v>0</v>
      </c>
      <c r="H115" s="17">
        <f t="shared" si="89"/>
        <v>40809132</v>
      </c>
      <c r="I115" s="113">
        <f t="shared" si="89"/>
        <v>40809132</v>
      </c>
      <c r="J115" s="113">
        <f t="shared" si="89"/>
        <v>133861238.3</v>
      </c>
      <c r="K115" s="113">
        <f t="shared" si="89"/>
        <v>825920.17</v>
      </c>
      <c r="L115" s="113">
        <f t="shared" si="89"/>
        <v>29746253.299999997</v>
      </c>
      <c r="M115" s="17">
        <f t="shared" si="89"/>
        <v>30572173.469999999</v>
      </c>
      <c r="N115" s="53">
        <f t="shared" si="89"/>
        <v>61246332.419999994</v>
      </c>
      <c r="O115" s="113">
        <f t="shared" si="89"/>
        <v>102055464.41999999</v>
      </c>
      <c r="P115" s="17">
        <v>7676416</v>
      </c>
      <c r="Q115" s="17">
        <f t="shared" si="89"/>
        <v>47062299.030000001</v>
      </c>
      <c r="R115" s="17">
        <f t="shared" si="69"/>
        <v>54738715.030000001</v>
      </c>
      <c r="S115" s="17">
        <f t="shared" ref="S115:U115" si="90">S116+S120+S125+S127</f>
        <v>24166541.560000002</v>
      </c>
      <c r="T115" s="113">
        <v>12567249.260000002</v>
      </c>
      <c r="U115" s="17">
        <f t="shared" si="90"/>
        <v>141614590.51999998</v>
      </c>
      <c r="V115" s="17">
        <f t="shared" si="89"/>
        <v>7753352.2199999876</v>
      </c>
      <c r="W115" s="17">
        <f t="shared" si="89"/>
        <v>70135570.640000001</v>
      </c>
      <c r="X115" s="17">
        <f t="shared" si="89"/>
        <v>29342859.329999998</v>
      </c>
      <c r="Y115" s="17">
        <f t="shared" si="67"/>
        <v>31919893.779999986</v>
      </c>
      <c r="Z115" s="17">
        <f t="shared" si="89"/>
        <v>0</v>
      </c>
      <c r="AA115" s="17" t="e">
        <f t="shared" si="89"/>
        <v>#REF!</v>
      </c>
      <c r="AB115" s="68">
        <f t="shared" si="61"/>
        <v>0</v>
      </c>
    </row>
    <row r="116" spans="1:28" ht="49.5">
      <c r="A116" s="19" t="s">
        <v>61</v>
      </c>
      <c r="B116" s="20" t="s">
        <v>501</v>
      </c>
      <c r="C116" s="21" t="s">
        <v>55</v>
      </c>
      <c r="D116" s="21" t="s">
        <v>137</v>
      </c>
      <c r="E116" s="269">
        <f t="shared" ref="E116:AA116" si="91">E117+E118+E119</f>
        <v>39280168.170000002</v>
      </c>
      <c r="F116" s="116"/>
      <c r="G116" s="116">
        <f t="shared" si="91"/>
        <v>0</v>
      </c>
      <c r="H116" s="23">
        <f t="shared" si="91"/>
        <v>0</v>
      </c>
      <c r="I116" s="116">
        <f t="shared" si="91"/>
        <v>0</v>
      </c>
      <c r="J116" s="116">
        <f t="shared" si="91"/>
        <v>39069440.390000001</v>
      </c>
      <c r="K116" s="116">
        <f t="shared" si="91"/>
        <v>15534.16</v>
      </c>
      <c r="L116" s="116">
        <f t="shared" si="91"/>
        <v>0</v>
      </c>
      <c r="M116" s="18">
        <f t="shared" si="91"/>
        <v>15534.16</v>
      </c>
      <c r="N116" s="54">
        <f t="shared" si="91"/>
        <v>210727.78000000049</v>
      </c>
      <c r="O116" s="116">
        <f t="shared" si="91"/>
        <v>210727.78000000049</v>
      </c>
      <c r="P116" s="18">
        <v>36144</v>
      </c>
      <c r="Q116" s="18">
        <f t="shared" si="91"/>
        <v>0</v>
      </c>
      <c r="R116" s="18">
        <f t="shared" si="69"/>
        <v>36144</v>
      </c>
      <c r="S116" s="18">
        <f>S117+S118+S119</f>
        <v>20609.840000000004</v>
      </c>
      <c r="T116" s="116">
        <v>1597.4799999999991</v>
      </c>
      <c r="U116" s="18">
        <f t="shared" ref="U116" si="92">U117+U118+U119</f>
        <v>39259554.549999997</v>
      </c>
      <c r="V116" s="18">
        <f t="shared" si="91"/>
        <v>190114.15999999596</v>
      </c>
      <c r="W116" s="18">
        <f t="shared" si="91"/>
        <v>3.7800000045281195</v>
      </c>
      <c r="X116" s="18">
        <f t="shared" si="91"/>
        <v>16424.470000000059</v>
      </c>
      <c r="Y116" s="18">
        <f t="shared" si="67"/>
        <v>210723.99999999595</v>
      </c>
      <c r="Z116" s="18">
        <f t="shared" si="91"/>
        <v>0</v>
      </c>
      <c r="AA116" s="18" t="e">
        <f t="shared" si="91"/>
        <v>#REF!</v>
      </c>
      <c r="AB116" s="70" t="e">
        <f t="shared" si="61"/>
        <v>#DIV/0!</v>
      </c>
    </row>
    <row r="117" spans="1:28" ht="33">
      <c r="A117" s="19" t="s">
        <v>162</v>
      </c>
      <c r="B117" s="20" t="s">
        <v>502</v>
      </c>
      <c r="C117" s="21" t="s">
        <v>55</v>
      </c>
      <c r="D117" s="21" t="s">
        <v>137</v>
      </c>
      <c r="E117" s="271">
        <v>37373845.350000001</v>
      </c>
      <c r="F117" s="114">
        <v>1</v>
      </c>
      <c r="G117" s="115"/>
      <c r="H117" s="22">
        <v>0</v>
      </c>
      <c r="I117" s="115">
        <f>F117*H117</f>
        <v>0</v>
      </c>
      <c r="J117" s="117">
        <v>37373552.460000001</v>
      </c>
      <c r="K117" s="117">
        <v>18.760000000000002</v>
      </c>
      <c r="L117" s="117">
        <v>0</v>
      </c>
      <c r="M117" s="23">
        <f t="shared" si="66"/>
        <v>18.760000000000002</v>
      </c>
      <c r="N117" s="54">
        <f>E117-J117</f>
        <v>292.89000000059605</v>
      </c>
      <c r="O117" s="117">
        <f>H117+N117</f>
        <v>292.89000000059605</v>
      </c>
      <c r="P117" s="23">
        <v>16754</v>
      </c>
      <c r="Q117" s="23">
        <f>IFERROR(VLOOKUP(A117,lauzti_līg!A:H,8,FALSE),0)</f>
        <v>0</v>
      </c>
      <c r="R117" s="23">
        <f t="shared" si="69"/>
        <v>16754</v>
      </c>
      <c r="S117" s="23">
        <f>R117-M117</f>
        <v>16735.240000000002</v>
      </c>
      <c r="T117" s="117">
        <v>129.60000000000002</v>
      </c>
      <c r="U117" s="23">
        <f>IFERROR(VLOOKUP(A117,Nosl_līg!A:H,8,FALSE),0)</f>
        <v>37373530.799999997</v>
      </c>
      <c r="V117" s="23">
        <f>U117-J117</f>
        <v>-21.660000003874302</v>
      </c>
      <c r="W117" s="23">
        <f>O117-S117-V117</f>
        <v>-16420.689999995531</v>
      </c>
      <c r="X117" s="23">
        <f>IF(N117&gt;=S117+V117,N117-S117-V117,0)</f>
        <v>0</v>
      </c>
      <c r="Y117" s="23">
        <f t="shared" si="67"/>
        <v>16713.579999996127</v>
      </c>
      <c r="Z117" s="23">
        <f>IF(H117=0,0, IF(U117-E117+R117-M117&lt;0, 0, U117-E117+R117-M117))</f>
        <v>0</v>
      </c>
      <c r="AA117" s="23" t="e">
        <f>VLOOKUP(A117,#REF!,63,FALSE)/F117+T117</f>
        <v>#REF!</v>
      </c>
      <c r="AB117" s="69" t="e">
        <f t="shared" si="61"/>
        <v>#DIV/0!</v>
      </c>
    </row>
    <row r="118" spans="1:28" ht="33">
      <c r="A118" s="19" t="s">
        <v>206</v>
      </c>
      <c r="B118" s="20" t="s">
        <v>503</v>
      </c>
      <c r="C118" s="21" t="s">
        <v>55</v>
      </c>
      <c r="D118" s="21" t="s">
        <v>137</v>
      </c>
      <c r="E118" s="271">
        <f>VLOOKUP($A118,publ_fin!$A:$I,8,FALSE)</f>
        <v>1906322.82</v>
      </c>
      <c r="F118" s="114">
        <v>1</v>
      </c>
      <c r="G118" s="115"/>
      <c r="H118" s="22">
        <v>0</v>
      </c>
      <c r="I118" s="115">
        <f>F118*H118</f>
        <v>0</v>
      </c>
      <c r="J118" s="117">
        <v>1695887.9300000002</v>
      </c>
      <c r="K118" s="117">
        <v>15515.4</v>
      </c>
      <c r="L118" s="117">
        <v>0</v>
      </c>
      <c r="M118" s="23">
        <f t="shared" si="66"/>
        <v>15515.4</v>
      </c>
      <c r="N118" s="54">
        <f>E118-J118</f>
        <v>210434.8899999999</v>
      </c>
      <c r="O118" s="117">
        <f>H118+N118</f>
        <v>210434.8899999999</v>
      </c>
      <c r="P118" s="23">
        <v>19390</v>
      </c>
      <c r="Q118" s="23">
        <f>IFERROR(VLOOKUP(A118,lauzti_līg!A:H,8,FALSE),0)</f>
        <v>0</v>
      </c>
      <c r="R118" s="58">
        <f t="shared" si="69"/>
        <v>19390</v>
      </c>
      <c r="S118" s="58">
        <f>R118-M118</f>
        <v>3874.6000000000004</v>
      </c>
      <c r="T118" s="117">
        <v>1467.8799999999992</v>
      </c>
      <c r="U118" s="23">
        <f>IFERROR(VLOOKUP(A118,Nosl_līg!A:H,8,FALSE),0)</f>
        <v>1886023.75</v>
      </c>
      <c r="V118" s="23">
        <f>U118-J118</f>
        <v>190135.81999999983</v>
      </c>
      <c r="W118" s="23">
        <f>O118-S118-V118</f>
        <v>16424.470000000059</v>
      </c>
      <c r="X118" s="23">
        <f>IF(N118&gt;=S118+V118,N118-S118-V118,0)</f>
        <v>16424.470000000059</v>
      </c>
      <c r="Y118" s="23">
        <f t="shared" si="67"/>
        <v>194010.41999999984</v>
      </c>
      <c r="Z118" s="23">
        <f>IF(H118=0,0, IF(U118-E118+R118-M118&lt;0, 0, U118-E118+R118-M118))</f>
        <v>0</v>
      </c>
      <c r="AA118" s="23" t="e">
        <f>VLOOKUP(A118,#REF!,63,FALSE)/F118+T118</f>
        <v>#REF!</v>
      </c>
      <c r="AB118" s="69" t="e">
        <f t="shared" si="61"/>
        <v>#DIV/0!</v>
      </c>
    </row>
    <row r="119" spans="1:28" ht="33">
      <c r="A119" s="19" t="s">
        <v>62</v>
      </c>
      <c r="B119" s="20" t="s">
        <v>504</v>
      </c>
      <c r="C119" s="21" t="s">
        <v>55</v>
      </c>
      <c r="D119" s="21" t="s">
        <v>137</v>
      </c>
      <c r="E119" s="271">
        <f>VLOOKUP($A119,publ_fin!$A:$I,8,FALSE)</f>
        <v>0</v>
      </c>
      <c r="F119" s="114">
        <v>0</v>
      </c>
      <c r="G119" s="115"/>
      <c r="H119" s="22">
        <v>0</v>
      </c>
      <c r="I119" s="115">
        <f>F119*H119</f>
        <v>0</v>
      </c>
      <c r="J119" s="117">
        <v>0</v>
      </c>
      <c r="K119" s="117">
        <v>0</v>
      </c>
      <c r="L119" s="117">
        <v>0</v>
      </c>
      <c r="M119" s="23">
        <f t="shared" si="66"/>
        <v>0</v>
      </c>
      <c r="N119" s="54">
        <f>E119-J119</f>
        <v>0</v>
      </c>
      <c r="O119" s="117">
        <f>H119+N119</f>
        <v>0</v>
      </c>
      <c r="P119" s="23">
        <v>0</v>
      </c>
      <c r="Q119" s="23">
        <f>IFERROR(VLOOKUP(A119,lauzti_līg!A:H,8,FALSE),0)</f>
        <v>0</v>
      </c>
      <c r="R119" s="23">
        <f t="shared" si="69"/>
        <v>0</v>
      </c>
      <c r="S119" s="23">
        <f>R119-M119</f>
        <v>0</v>
      </c>
      <c r="T119" s="117">
        <v>0</v>
      </c>
      <c r="U119" s="23">
        <f>IFERROR(VLOOKUP(A119,Nosl_līg!A:H,8,FALSE),0)</f>
        <v>0</v>
      </c>
      <c r="V119" s="23">
        <f>U119-J119</f>
        <v>0</v>
      </c>
      <c r="W119" s="23">
        <f>O119-S119-V119</f>
        <v>0</v>
      </c>
      <c r="X119" s="23">
        <f>IF(N119&gt;=S119+V119,N119-S119-V119,0)</f>
        <v>0</v>
      </c>
      <c r="Y119" s="23">
        <f t="shared" si="67"/>
        <v>0</v>
      </c>
      <c r="Z119" s="23">
        <f>IF(H119=0,0, IF(U119-E119+R119-M119&lt;0, 0, U119-E119+R119-M119))</f>
        <v>0</v>
      </c>
      <c r="AA119" s="23">
        <v>0</v>
      </c>
      <c r="AB119" s="69" t="e">
        <f t="shared" si="61"/>
        <v>#DIV/0!</v>
      </c>
    </row>
    <row r="120" spans="1:28" ht="33">
      <c r="A120" s="19" t="s">
        <v>63</v>
      </c>
      <c r="B120" s="20" t="s">
        <v>505</v>
      </c>
      <c r="C120" s="21" t="s">
        <v>55</v>
      </c>
      <c r="D120" s="21" t="s">
        <v>137</v>
      </c>
      <c r="E120" s="269">
        <f t="shared" ref="E120:AA120" si="93">E121+E122+E123+E124</f>
        <v>48769572.549999997</v>
      </c>
      <c r="F120" s="116"/>
      <c r="G120" s="116">
        <f t="shared" si="93"/>
        <v>0</v>
      </c>
      <c r="H120" s="23">
        <f t="shared" si="93"/>
        <v>0</v>
      </c>
      <c r="I120" s="116">
        <f t="shared" si="93"/>
        <v>0</v>
      </c>
      <c r="J120" s="116">
        <f t="shared" si="93"/>
        <v>45891594.990000002</v>
      </c>
      <c r="K120" s="116">
        <f t="shared" si="93"/>
        <v>808431.1</v>
      </c>
      <c r="L120" s="116">
        <f t="shared" si="93"/>
        <v>7702771.1199999992</v>
      </c>
      <c r="M120" s="18">
        <f t="shared" si="93"/>
        <v>8511202.2200000007</v>
      </c>
      <c r="N120" s="54">
        <f t="shared" si="93"/>
        <v>2877977.559999994</v>
      </c>
      <c r="O120" s="116">
        <f t="shared" si="93"/>
        <v>2877977.559999994</v>
      </c>
      <c r="P120" s="18">
        <v>1255795</v>
      </c>
      <c r="Q120" s="18">
        <f t="shared" si="93"/>
        <v>18393169.18</v>
      </c>
      <c r="R120" s="18">
        <f t="shared" si="69"/>
        <v>19648964.18</v>
      </c>
      <c r="S120" s="18">
        <f t="shared" si="93"/>
        <v>11137761.959999999</v>
      </c>
      <c r="T120" s="116">
        <v>7708405.580000001</v>
      </c>
      <c r="U120" s="18">
        <f t="shared" si="93"/>
        <v>32515031</v>
      </c>
      <c r="V120" s="18">
        <f t="shared" si="93"/>
        <v>-13376563.990000006</v>
      </c>
      <c r="W120" s="18">
        <f t="shared" si="93"/>
        <v>5116779.5900000017</v>
      </c>
      <c r="X120" s="18">
        <f t="shared" si="93"/>
        <v>5116779.5900000017</v>
      </c>
      <c r="Y120" s="18">
        <f t="shared" si="67"/>
        <v>-2238802.0300000077</v>
      </c>
      <c r="Z120" s="18">
        <f t="shared" si="93"/>
        <v>0</v>
      </c>
      <c r="AA120" s="18" t="e">
        <f t="shared" si="93"/>
        <v>#REF!</v>
      </c>
      <c r="AB120" s="70" t="e">
        <f t="shared" si="61"/>
        <v>#DIV/0!</v>
      </c>
    </row>
    <row r="121" spans="1:28" ht="33">
      <c r="A121" s="19" t="s">
        <v>295</v>
      </c>
      <c r="B121" s="20" t="s">
        <v>506</v>
      </c>
      <c r="C121" s="21" t="s">
        <v>55</v>
      </c>
      <c r="D121" s="21" t="s">
        <v>137</v>
      </c>
      <c r="E121" s="271">
        <f>VLOOKUP($A121,publ_fin!$A:$I,8,FALSE)</f>
        <v>7295504.0099999998</v>
      </c>
      <c r="F121" s="114">
        <v>1</v>
      </c>
      <c r="G121" s="115"/>
      <c r="H121" s="22">
        <v>0</v>
      </c>
      <c r="I121" s="115">
        <f>F121*H121</f>
        <v>0</v>
      </c>
      <c r="J121" s="117">
        <v>6571293.9800000004</v>
      </c>
      <c r="K121" s="117">
        <v>104559.62</v>
      </c>
      <c r="L121" s="117">
        <v>1431923.31</v>
      </c>
      <c r="M121" s="23">
        <f t="shared" si="66"/>
        <v>1536482.9300000002</v>
      </c>
      <c r="N121" s="54">
        <f>E121-J121</f>
        <v>724210.02999999933</v>
      </c>
      <c r="O121" s="117">
        <f>H121+N121</f>
        <v>724210.02999999933</v>
      </c>
      <c r="P121" s="23">
        <v>428567</v>
      </c>
      <c r="Q121" s="23">
        <f>IFERROR(VLOOKUP(A121,lauzti_līg!A:H,8,FALSE),0)</f>
        <v>1974903.22</v>
      </c>
      <c r="R121" s="23">
        <f t="shared" si="69"/>
        <v>2403470.2199999997</v>
      </c>
      <c r="S121" s="23">
        <f>R121-M121</f>
        <v>866987.28999999957</v>
      </c>
      <c r="T121" s="117">
        <v>621462.79999999981</v>
      </c>
      <c r="U121" s="23">
        <f>IFERROR(VLOOKUP(A121,Nosl_līg!A:H,8,FALSE),0)</f>
        <v>5133640.7300000004</v>
      </c>
      <c r="V121" s="23">
        <f>U121-J121</f>
        <v>-1437653.25</v>
      </c>
      <c r="W121" s="23">
        <f>O121-S121-V121</f>
        <v>1294875.9899999998</v>
      </c>
      <c r="X121" s="23">
        <f>IF(N121&gt;=S121+V121,N121-S121-V121,0)</f>
        <v>1294875.9899999998</v>
      </c>
      <c r="Y121" s="23">
        <f t="shared" si="67"/>
        <v>-570665.96000000043</v>
      </c>
      <c r="Z121" s="23">
        <f>IF(H121=0,0, IF(U121-E121+R121-M121&lt;0, 0, U121-E121+R121-M121))</f>
        <v>0</v>
      </c>
      <c r="AA121" s="23" t="e">
        <f>VLOOKUP(A121,#REF!,63,FALSE)/F121+T121</f>
        <v>#REF!</v>
      </c>
      <c r="AB121" s="69" t="e">
        <f t="shared" si="61"/>
        <v>#DIV/0!</v>
      </c>
    </row>
    <row r="122" spans="1:28" ht="66">
      <c r="A122" s="19" t="s">
        <v>297</v>
      </c>
      <c r="B122" s="20" t="s">
        <v>507</v>
      </c>
      <c r="C122" s="21" t="s">
        <v>55</v>
      </c>
      <c r="D122" s="21" t="s">
        <v>137</v>
      </c>
      <c r="E122" s="271">
        <f>VLOOKUP($A122,publ_fin!$A:$I,8,FALSE)</f>
        <v>39299304.109999999</v>
      </c>
      <c r="F122" s="114">
        <v>1</v>
      </c>
      <c r="G122" s="115"/>
      <c r="H122" s="22">
        <v>0</v>
      </c>
      <c r="I122" s="115">
        <f>F122*H122</f>
        <v>0</v>
      </c>
      <c r="J122" s="117">
        <v>39247184.050000004</v>
      </c>
      <c r="K122" s="117">
        <v>703844.49</v>
      </c>
      <c r="L122" s="117">
        <v>6114188.21</v>
      </c>
      <c r="M122" s="23">
        <f t="shared" si="66"/>
        <v>6818032.7000000002</v>
      </c>
      <c r="N122" s="54">
        <f>E122-J122</f>
        <v>52120.059999994934</v>
      </c>
      <c r="O122" s="117">
        <f>H122+N122</f>
        <v>52120.059999994934</v>
      </c>
      <c r="P122" s="23">
        <v>821691</v>
      </c>
      <c r="Q122" s="23">
        <f>IFERROR(VLOOKUP(A122,lauzti_līg!A:H,8,FALSE),0)</f>
        <v>16260326.9</v>
      </c>
      <c r="R122" s="23">
        <f t="shared" si="69"/>
        <v>17082017.899999999</v>
      </c>
      <c r="S122" s="23">
        <f>R122-M122</f>
        <v>10263985.199999999</v>
      </c>
      <c r="T122" s="117">
        <v>7075168.4200000009</v>
      </c>
      <c r="U122" s="23">
        <f>IFERROR(VLOOKUP(A122,Nosl_līg!A:H,8,FALSE),0)</f>
        <v>27220021.309999999</v>
      </c>
      <c r="V122" s="23">
        <f>U122-J122</f>
        <v>-12027162.740000006</v>
      </c>
      <c r="W122" s="23">
        <f>O122-S122-V122</f>
        <v>1815297.6000000015</v>
      </c>
      <c r="X122" s="23">
        <f>IF(N122&gt;=S122+V122,N122-S122-V122,0)</f>
        <v>1815297.6000000015</v>
      </c>
      <c r="Y122" s="23">
        <f t="shared" si="67"/>
        <v>-1763177.5400000066</v>
      </c>
      <c r="Z122" s="23">
        <f>IF(H122=0,0, IF(U122-E122+R122-M122&lt;0, 0, U122-E122+R122-M122))</f>
        <v>0</v>
      </c>
      <c r="AA122" s="23" t="e">
        <f>VLOOKUP(A122,#REF!,63,FALSE)/F122+T122</f>
        <v>#REF!</v>
      </c>
      <c r="AB122" s="69" t="e">
        <f t="shared" si="61"/>
        <v>#DIV/0!</v>
      </c>
    </row>
    <row r="123" spans="1:28" ht="66">
      <c r="A123" s="19" t="s">
        <v>207</v>
      </c>
      <c r="B123" s="20" t="s">
        <v>508</v>
      </c>
      <c r="C123" s="21" t="s">
        <v>55</v>
      </c>
      <c r="D123" s="21" t="s">
        <v>137</v>
      </c>
      <c r="E123" s="271">
        <f>VLOOKUP($A123,publ_fin!$A:$I,8,FALSE)</f>
        <v>174764.16</v>
      </c>
      <c r="F123" s="114">
        <v>1</v>
      </c>
      <c r="G123" s="115"/>
      <c r="H123" s="22">
        <v>0</v>
      </c>
      <c r="I123" s="115">
        <f>F123*H123</f>
        <v>0</v>
      </c>
      <c r="J123" s="117">
        <v>73116.959999999992</v>
      </c>
      <c r="K123" s="117">
        <v>26.99</v>
      </c>
      <c r="L123" s="117">
        <v>156659.6</v>
      </c>
      <c r="M123" s="23">
        <f t="shared" si="66"/>
        <v>156686.59</v>
      </c>
      <c r="N123" s="54">
        <f>E123-J123</f>
        <v>101647.20000000001</v>
      </c>
      <c r="O123" s="117">
        <f>H123+N123</f>
        <v>101647.20000000001</v>
      </c>
      <c r="P123" s="23">
        <v>5537</v>
      </c>
      <c r="Q123" s="23">
        <f>IFERROR(VLOOKUP(A123,lauzti_līg!A:H,8,FALSE),0)</f>
        <v>157939.06</v>
      </c>
      <c r="R123" s="23">
        <f t="shared" si="69"/>
        <v>163476.06</v>
      </c>
      <c r="S123" s="23">
        <f>R123-M123</f>
        <v>6789.4700000000012</v>
      </c>
      <c r="T123" s="117">
        <v>11774.360000000015</v>
      </c>
      <c r="U123" s="23">
        <f>IFERROR(VLOOKUP(A123,Nosl_līg!A:H,8,FALSE),0)</f>
        <v>71837.5</v>
      </c>
      <c r="V123" s="23">
        <f>U123-J123</f>
        <v>-1279.4599999999919</v>
      </c>
      <c r="W123" s="23">
        <f>O123-S123-V123</f>
        <v>96137.19</v>
      </c>
      <c r="X123" s="23">
        <f>IF(N123&gt;=S123+V123,N123-S123-V123,0)</f>
        <v>96137.19</v>
      </c>
      <c r="Y123" s="23">
        <f t="shared" si="67"/>
        <v>5510.0100000000093</v>
      </c>
      <c r="Z123" s="23">
        <f>IF(H123=0,0, IF(U123-E123+R123-M123&lt;0, 0, U123-E123+R123-M123))</f>
        <v>0</v>
      </c>
      <c r="AA123" s="23" t="e">
        <f>VLOOKUP(A123,#REF!,63,FALSE)/F123+T123</f>
        <v>#REF!</v>
      </c>
      <c r="AB123" s="69" t="e">
        <f t="shared" si="61"/>
        <v>#DIV/0!</v>
      </c>
    </row>
    <row r="124" spans="1:28" ht="49.5">
      <c r="A124" s="39" t="s">
        <v>163</v>
      </c>
      <c r="B124" s="61" t="s">
        <v>509</v>
      </c>
      <c r="C124" s="21" t="s">
        <v>55</v>
      </c>
      <c r="D124" s="21" t="s">
        <v>137</v>
      </c>
      <c r="E124" s="271">
        <f>VLOOKUP($A124,publ_fin!$A:$I,8,FALSE)</f>
        <v>2000000.27</v>
      </c>
      <c r="F124" s="114">
        <v>1</v>
      </c>
      <c r="G124" s="115"/>
      <c r="H124" s="22">
        <v>0</v>
      </c>
      <c r="I124" s="115">
        <f>F124*H124</f>
        <v>0</v>
      </c>
      <c r="J124" s="117">
        <v>0</v>
      </c>
      <c r="K124" s="117">
        <v>0</v>
      </c>
      <c r="L124" s="117">
        <v>0</v>
      </c>
      <c r="M124" s="23">
        <f t="shared" si="66"/>
        <v>0</v>
      </c>
      <c r="N124" s="54">
        <f>E124-J124</f>
        <v>2000000.27</v>
      </c>
      <c r="O124" s="117">
        <f>H124+N124</f>
        <v>2000000.27</v>
      </c>
      <c r="P124" s="23">
        <v>0</v>
      </c>
      <c r="Q124" s="23">
        <f>IFERROR(VLOOKUP(A124,lauzti_līg!A:H,8,FALSE),0)</f>
        <v>0</v>
      </c>
      <c r="R124" s="23">
        <f t="shared" si="69"/>
        <v>0</v>
      </c>
      <c r="S124" s="23">
        <f>R124-M124</f>
        <v>0</v>
      </c>
      <c r="T124" s="117">
        <v>0</v>
      </c>
      <c r="U124" s="23">
        <f>IFERROR(VLOOKUP(A124,Nosl_līg!A:H,8,FALSE),0)</f>
        <v>89531.46</v>
      </c>
      <c r="V124" s="23">
        <f>U124-J124</f>
        <v>89531.46</v>
      </c>
      <c r="W124" s="23">
        <f>O124-S124-V124</f>
        <v>1910468.81</v>
      </c>
      <c r="X124" s="23">
        <f>IF(N124&gt;=S124+V124,N124-S124-V124,0)</f>
        <v>1910468.81</v>
      </c>
      <c r="Y124" s="23">
        <f t="shared" si="67"/>
        <v>89531.459999999963</v>
      </c>
      <c r="Z124" s="23">
        <f>IF(H124=0,0, IF(U124-E124+R124-M124&lt;0, 0, U124-E124+R124-M124))</f>
        <v>0</v>
      </c>
      <c r="AA124" s="23" t="e">
        <f>VLOOKUP(A124,#REF!,63,FALSE)/F124+T124</f>
        <v>#REF!</v>
      </c>
      <c r="AB124" s="69" t="e">
        <f t="shared" si="61"/>
        <v>#DIV/0!</v>
      </c>
    </row>
    <row r="125" spans="1:28" ht="33">
      <c r="A125" s="19" t="s">
        <v>64</v>
      </c>
      <c r="B125" s="20" t="s">
        <v>510</v>
      </c>
      <c r="C125" s="21" t="s">
        <v>55</v>
      </c>
      <c r="D125" s="21" t="s">
        <v>137</v>
      </c>
      <c r="E125" s="269">
        <f t="shared" ref="E125:Z125" si="94">E126</f>
        <v>0</v>
      </c>
      <c r="F125" s="116"/>
      <c r="G125" s="116">
        <f t="shared" si="94"/>
        <v>0</v>
      </c>
      <c r="H125" s="23">
        <f t="shared" si="94"/>
        <v>0</v>
      </c>
      <c r="I125" s="116">
        <f t="shared" si="94"/>
        <v>0</v>
      </c>
      <c r="J125" s="116">
        <f t="shared" si="94"/>
        <v>0</v>
      </c>
      <c r="K125" s="116">
        <f t="shared" si="94"/>
        <v>0</v>
      </c>
      <c r="L125" s="116">
        <f t="shared" si="94"/>
        <v>0</v>
      </c>
      <c r="M125" s="18">
        <f t="shared" si="94"/>
        <v>0</v>
      </c>
      <c r="N125" s="54">
        <f t="shared" si="94"/>
        <v>0</v>
      </c>
      <c r="O125" s="116">
        <f t="shared" si="94"/>
        <v>0</v>
      </c>
      <c r="P125" s="18">
        <v>0</v>
      </c>
      <c r="Q125" s="18">
        <f t="shared" si="94"/>
        <v>0</v>
      </c>
      <c r="R125" s="18">
        <f t="shared" si="69"/>
        <v>0</v>
      </c>
      <c r="S125" s="18">
        <f t="shared" si="94"/>
        <v>0</v>
      </c>
      <c r="T125" s="116">
        <v>0</v>
      </c>
      <c r="U125" s="18">
        <f t="shared" si="94"/>
        <v>0</v>
      </c>
      <c r="V125" s="18">
        <f t="shared" si="94"/>
        <v>0</v>
      </c>
      <c r="W125" s="18">
        <f t="shared" si="94"/>
        <v>0</v>
      </c>
      <c r="X125" s="18">
        <f t="shared" si="94"/>
        <v>0</v>
      </c>
      <c r="Y125" s="18">
        <f t="shared" si="67"/>
        <v>0</v>
      </c>
      <c r="Z125" s="18">
        <f t="shared" si="94"/>
        <v>0</v>
      </c>
      <c r="AA125" s="18">
        <v>0</v>
      </c>
      <c r="AB125" s="70" t="e">
        <f t="shared" si="61"/>
        <v>#DIV/0!</v>
      </c>
    </row>
    <row r="126" spans="1:28" ht="49.5">
      <c r="A126" s="19" t="s">
        <v>135</v>
      </c>
      <c r="B126" s="20" t="s">
        <v>511</v>
      </c>
      <c r="C126" s="21" t="s">
        <v>55</v>
      </c>
      <c r="D126" s="21" t="s">
        <v>137</v>
      </c>
      <c r="E126" s="271">
        <f>VLOOKUP($A126,publ_fin!$A:$I,8,FALSE)</f>
        <v>0</v>
      </c>
      <c r="F126" s="114">
        <v>0</v>
      </c>
      <c r="G126" s="115"/>
      <c r="H126" s="22">
        <v>0</v>
      </c>
      <c r="I126" s="115">
        <f>F126*H126</f>
        <v>0</v>
      </c>
      <c r="J126" s="117">
        <v>0</v>
      </c>
      <c r="K126" s="117">
        <v>0</v>
      </c>
      <c r="L126" s="117">
        <v>0</v>
      </c>
      <c r="M126" s="23">
        <f t="shared" si="66"/>
        <v>0</v>
      </c>
      <c r="N126" s="54">
        <f>E126-J126</f>
        <v>0</v>
      </c>
      <c r="O126" s="117">
        <f>H126+N126</f>
        <v>0</v>
      </c>
      <c r="P126" s="23">
        <v>0</v>
      </c>
      <c r="Q126" s="23">
        <f>IFERROR(VLOOKUP(A126,lauzti_līg!A:H,8,FALSE),0)</f>
        <v>0</v>
      </c>
      <c r="R126" s="23">
        <f t="shared" si="69"/>
        <v>0</v>
      </c>
      <c r="S126" s="23">
        <f>R126-M126</f>
        <v>0</v>
      </c>
      <c r="T126" s="117">
        <v>0</v>
      </c>
      <c r="U126" s="23">
        <f>IFERROR(VLOOKUP(A126,Nosl_līg!A:H,8,FALSE),0)</f>
        <v>0</v>
      </c>
      <c r="V126" s="23">
        <f>U126-J126</f>
        <v>0</v>
      </c>
      <c r="W126" s="23">
        <f>O126-S126-V126</f>
        <v>0</v>
      </c>
      <c r="X126" s="23">
        <f>IF(N126&gt;=S126+V126,N126-S126-V126,0)</f>
        <v>0</v>
      </c>
      <c r="Y126" s="23">
        <f t="shared" si="67"/>
        <v>0</v>
      </c>
      <c r="Z126" s="23">
        <f>IF(H126=0,0, IF(U126-E126+R126-M126&lt;0, 0, U126-E126+R126-M126))</f>
        <v>0</v>
      </c>
      <c r="AA126" s="23">
        <v>0</v>
      </c>
      <c r="AB126" s="69" t="e">
        <f t="shared" si="61"/>
        <v>#DIV/0!</v>
      </c>
    </row>
    <row r="127" spans="1:28" ht="33">
      <c r="A127" s="19" t="s">
        <v>300</v>
      </c>
      <c r="B127" s="20" t="s">
        <v>512</v>
      </c>
      <c r="C127" s="21" t="s">
        <v>55</v>
      </c>
      <c r="D127" s="21" t="s">
        <v>137</v>
      </c>
      <c r="E127" s="271">
        <v>107057830</v>
      </c>
      <c r="F127" s="114">
        <v>1</v>
      </c>
      <c r="G127" s="115"/>
      <c r="H127" s="22">
        <v>40809132</v>
      </c>
      <c r="I127" s="115">
        <f>F127*H127</f>
        <v>40809132</v>
      </c>
      <c r="J127" s="117">
        <v>48900202.920000002</v>
      </c>
      <c r="K127" s="117">
        <v>1954.91</v>
      </c>
      <c r="L127" s="117">
        <v>22043482.18</v>
      </c>
      <c r="M127" s="23">
        <f t="shared" si="66"/>
        <v>22045437.09</v>
      </c>
      <c r="N127" s="54">
        <f>E127-J127</f>
        <v>58157627.079999998</v>
      </c>
      <c r="O127" s="117">
        <f>H127+N127</f>
        <v>98966759.079999998</v>
      </c>
      <c r="P127" s="23">
        <v>6384477</v>
      </c>
      <c r="Q127" s="23">
        <f>IFERROR(VLOOKUP(A127,lauzti_līg!A:H,8,FALSE),0)</f>
        <v>28669129.850000001</v>
      </c>
      <c r="R127" s="23">
        <f t="shared" si="69"/>
        <v>35053606.850000001</v>
      </c>
      <c r="S127" s="23">
        <f>R127-M127</f>
        <v>13008169.760000002</v>
      </c>
      <c r="T127" s="117">
        <v>4857246.1999999993</v>
      </c>
      <c r="U127" s="23">
        <f>IFERROR(VLOOKUP(A127,Nosl_līg!A:H,8,FALSE),0)</f>
        <v>69840004.969999999</v>
      </c>
      <c r="V127" s="23">
        <f>U127-J127</f>
        <v>20939802.049999997</v>
      </c>
      <c r="W127" s="23">
        <f>O127-S127-V127</f>
        <v>65018787.269999996</v>
      </c>
      <c r="X127" s="23">
        <f>IF(N127&gt;=S127+V127,N127-S127-V127,0)</f>
        <v>24209655.269999996</v>
      </c>
      <c r="Y127" s="23">
        <f t="shared" si="67"/>
        <v>33947971.810000002</v>
      </c>
      <c r="Z127" s="23">
        <f>IF(H127=0,0, IF(U127-E127+R127-M127&lt;0, 0, U127-E127+R127-M127))</f>
        <v>0</v>
      </c>
      <c r="AA127" s="23" t="e">
        <f>VLOOKUP(A127,#REF!,63,FALSE)/F127+T127</f>
        <v>#REF!</v>
      </c>
      <c r="AB127" s="69">
        <f t="shared" si="61"/>
        <v>0</v>
      </c>
    </row>
    <row r="128" spans="1:28" ht="33">
      <c r="A128" s="14" t="s">
        <v>65</v>
      </c>
      <c r="B128" s="15" t="s">
        <v>513</v>
      </c>
      <c r="C128" s="16" t="s">
        <v>55</v>
      </c>
      <c r="D128" s="16" t="s">
        <v>137</v>
      </c>
      <c r="E128" s="270">
        <f t="shared" ref="E128:AA128" si="95">E129</f>
        <v>116418851</v>
      </c>
      <c r="F128" s="113"/>
      <c r="G128" s="113">
        <f t="shared" si="95"/>
        <v>0</v>
      </c>
      <c r="H128" s="17">
        <f t="shared" si="95"/>
        <v>0</v>
      </c>
      <c r="I128" s="113">
        <f t="shared" si="95"/>
        <v>0</v>
      </c>
      <c r="J128" s="113">
        <f t="shared" si="95"/>
        <v>147494365</v>
      </c>
      <c r="K128" s="113">
        <f t="shared" si="95"/>
        <v>0</v>
      </c>
      <c r="L128" s="113">
        <f t="shared" si="95"/>
        <v>0</v>
      </c>
      <c r="M128" s="17">
        <f t="shared" si="95"/>
        <v>0</v>
      </c>
      <c r="N128" s="53">
        <f t="shared" si="95"/>
        <v>-31075514</v>
      </c>
      <c r="O128" s="113">
        <f t="shared" si="95"/>
        <v>-31075514</v>
      </c>
      <c r="P128" s="17">
        <v>14649046</v>
      </c>
      <c r="Q128" s="17">
        <f t="shared" si="95"/>
        <v>0</v>
      </c>
      <c r="R128" s="17">
        <f t="shared" si="69"/>
        <v>14649046</v>
      </c>
      <c r="S128" s="17">
        <f t="shared" si="95"/>
        <v>14649046</v>
      </c>
      <c r="T128" s="113">
        <v>0</v>
      </c>
      <c r="U128" s="17">
        <f t="shared" si="95"/>
        <v>115049773.65000001</v>
      </c>
      <c r="V128" s="17">
        <f t="shared" si="95"/>
        <v>-32444591.350000001</v>
      </c>
      <c r="W128" s="17">
        <f t="shared" si="95"/>
        <v>-13279968.649999999</v>
      </c>
      <c r="X128" s="17">
        <f t="shared" si="95"/>
        <v>0.32000000029802322</v>
      </c>
      <c r="Y128" s="17">
        <f t="shared" si="67"/>
        <v>-17795545.350000001</v>
      </c>
      <c r="Z128" s="17">
        <f t="shared" si="95"/>
        <v>0</v>
      </c>
      <c r="AA128" s="17" t="e">
        <f t="shared" si="95"/>
        <v>#REF!</v>
      </c>
      <c r="AB128" s="68" t="e">
        <f t="shared" si="61"/>
        <v>#DIV/0!</v>
      </c>
    </row>
    <row r="129" spans="1:28" ht="33">
      <c r="A129" s="14" t="s">
        <v>66</v>
      </c>
      <c r="B129" s="15" t="s">
        <v>514</v>
      </c>
      <c r="C129" s="16" t="s">
        <v>55</v>
      </c>
      <c r="D129" s="16" t="s">
        <v>137</v>
      </c>
      <c r="E129" s="270">
        <f t="shared" ref="E129:AA129" si="96">E130+E131+E134+E135</f>
        <v>116418851</v>
      </c>
      <c r="F129" s="113"/>
      <c r="G129" s="113">
        <f t="shared" si="96"/>
        <v>0</v>
      </c>
      <c r="H129" s="17">
        <f t="shared" si="96"/>
        <v>0</v>
      </c>
      <c r="I129" s="113">
        <f t="shared" si="96"/>
        <v>0</v>
      </c>
      <c r="J129" s="113">
        <f t="shared" si="96"/>
        <v>147494365</v>
      </c>
      <c r="K129" s="113">
        <f t="shared" si="96"/>
        <v>0</v>
      </c>
      <c r="L129" s="113">
        <f t="shared" si="96"/>
        <v>0</v>
      </c>
      <c r="M129" s="17">
        <f t="shared" si="96"/>
        <v>0</v>
      </c>
      <c r="N129" s="53">
        <f t="shared" si="96"/>
        <v>-31075514</v>
      </c>
      <c r="O129" s="113">
        <f t="shared" si="96"/>
        <v>-31075514</v>
      </c>
      <c r="P129" s="17">
        <v>14649046</v>
      </c>
      <c r="Q129" s="17">
        <f t="shared" si="96"/>
        <v>0</v>
      </c>
      <c r="R129" s="17">
        <f t="shared" si="69"/>
        <v>14649046</v>
      </c>
      <c r="S129" s="17">
        <f t="shared" ref="S129:U129" si="97">S130+S131+S134+S135</f>
        <v>14649046</v>
      </c>
      <c r="T129" s="113">
        <v>0</v>
      </c>
      <c r="U129" s="17">
        <f t="shared" si="97"/>
        <v>115049773.65000001</v>
      </c>
      <c r="V129" s="17">
        <f t="shared" si="96"/>
        <v>-32444591.350000001</v>
      </c>
      <c r="W129" s="17">
        <f t="shared" si="96"/>
        <v>-13279968.649999999</v>
      </c>
      <c r="X129" s="17">
        <f t="shared" si="96"/>
        <v>0.32000000029802322</v>
      </c>
      <c r="Y129" s="17">
        <f t="shared" si="67"/>
        <v>-17795545.350000001</v>
      </c>
      <c r="Z129" s="17">
        <f t="shared" si="96"/>
        <v>0</v>
      </c>
      <c r="AA129" s="17" t="e">
        <f t="shared" si="96"/>
        <v>#REF!</v>
      </c>
      <c r="AB129" s="68" t="e">
        <f t="shared" si="61"/>
        <v>#DIV/0!</v>
      </c>
    </row>
    <row r="130" spans="1:28" ht="82.5">
      <c r="A130" s="19" t="s">
        <v>67</v>
      </c>
      <c r="B130" s="20" t="s">
        <v>515</v>
      </c>
      <c r="C130" s="21" t="s">
        <v>55</v>
      </c>
      <c r="D130" s="21" t="s">
        <v>137</v>
      </c>
      <c r="E130" s="271">
        <v>51189242</v>
      </c>
      <c r="F130" s="114">
        <v>0.91016834968298566</v>
      </c>
      <c r="G130" s="115"/>
      <c r="H130" s="22">
        <v>0</v>
      </c>
      <c r="I130" s="115">
        <f>F130*H130</f>
        <v>0</v>
      </c>
      <c r="J130" s="117">
        <v>64306566</v>
      </c>
      <c r="K130" s="117">
        <v>0</v>
      </c>
      <c r="L130" s="117">
        <v>0</v>
      </c>
      <c r="M130" s="23">
        <f t="shared" si="66"/>
        <v>0</v>
      </c>
      <c r="N130" s="54">
        <f>E130-J130</f>
        <v>-13117324</v>
      </c>
      <c r="O130" s="117">
        <f>H130+N130</f>
        <v>-13117324</v>
      </c>
      <c r="P130" s="23">
        <v>0</v>
      </c>
      <c r="Q130" s="23">
        <f>IFERROR(VLOOKUP(A130,lauzti_līg!A:H,8,FALSE),0)</f>
        <v>0</v>
      </c>
      <c r="R130" s="23">
        <f t="shared" si="69"/>
        <v>0</v>
      </c>
      <c r="S130" s="23">
        <f>R130-M130</f>
        <v>0</v>
      </c>
      <c r="T130" s="117">
        <v>0</v>
      </c>
      <c r="U130" s="23">
        <f>IFERROR(VLOOKUP(A130,Nosl_līg!A:H,8,FALSE),0)</f>
        <v>51189241.68</v>
      </c>
      <c r="V130" s="23">
        <f>U130-J130</f>
        <v>-13117324.32</v>
      </c>
      <c r="W130" s="23">
        <f>O130-S130-V130</f>
        <v>0.32000000029802322</v>
      </c>
      <c r="X130" s="23">
        <f>IF(N130&gt;=S130+V130,N130-S130-V130,0)</f>
        <v>0.32000000029802322</v>
      </c>
      <c r="Y130" s="23">
        <f t="shared" si="67"/>
        <v>-13117324.32</v>
      </c>
      <c r="Z130" s="23">
        <f>IF(H130=0,0, IF(U130-E130+R130-M130&lt;0, 0, U130-E130+R130-M130))</f>
        <v>0</v>
      </c>
      <c r="AA130" s="23" t="e">
        <f>VLOOKUP(A130,#REF!,63,FALSE)/F130+T130</f>
        <v>#REF!</v>
      </c>
      <c r="AB130" s="69" t="e">
        <f t="shared" si="61"/>
        <v>#DIV/0!</v>
      </c>
    </row>
    <row r="131" spans="1:28" ht="33">
      <c r="A131" s="19" t="s">
        <v>68</v>
      </c>
      <c r="B131" s="20" t="s">
        <v>516</v>
      </c>
      <c r="C131" s="21" t="s">
        <v>55</v>
      </c>
      <c r="D131" s="21" t="s">
        <v>137</v>
      </c>
      <c r="E131" s="269">
        <f t="shared" ref="E131:Z131" si="98">E132+E133</f>
        <v>0</v>
      </c>
      <c r="F131" s="116"/>
      <c r="G131" s="116">
        <f t="shared" si="98"/>
        <v>0</v>
      </c>
      <c r="H131" s="23">
        <f t="shared" si="98"/>
        <v>0</v>
      </c>
      <c r="I131" s="116">
        <f t="shared" si="98"/>
        <v>0</v>
      </c>
      <c r="J131" s="116">
        <f t="shared" si="98"/>
        <v>0</v>
      </c>
      <c r="K131" s="116">
        <f t="shared" si="98"/>
        <v>0</v>
      </c>
      <c r="L131" s="116">
        <f t="shared" si="98"/>
        <v>0</v>
      </c>
      <c r="M131" s="18">
        <f t="shared" si="98"/>
        <v>0</v>
      </c>
      <c r="N131" s="54">
        <f t="shared" si="98"/>
        <v>0</v>
      </c>
      <c r="O131" s="116">
        <f t="shared" si="98"/>
        <v>0</v>
      </c>
      <c r="P131" s="18">
        <v>0</v>
      </c>
      <c r="Q131" s="18">
        <f t="shared" si="98"/>
        <v>0</v>
      </c>
      <c r="R131" s="18">
        <f t="shared" si="69"/>
        <v>0</v>
      </c>
      <c r="S131" s="18">
        <f t="shared" si="98"/>
        <v>0</v>
      </c>
      <c r="T131" s="116">
        <v>0</v>
      </c>
      <c r="U131" s="18">
        <f t="shared" si="98"/>
        <v>0</v>
      </c>
      <c r="V131" s="18">
        <f t="shared" si="98"/>
        <v>0</v>
      </c>
      <c r="W131" s="18">
        <f t="shared" si="98"/>
        <v>0</v>
      </c>
      <c r="X131" s="18">
        <f t="shared" si="98"/>
        <v>0</v>
      </c>
      <c r="Y131" s="18">
        <f t="shared" si="67"/>
        <v>0</v>
      </c>
      <c r="Z131" s="18">
        <f t="shared" si="98"/>
        <v>0</v>
      </c>
      <c r="AA131" s="18">
        <v>0</v>
      </c>
      <c r="AB131" s="70" t="e">
        <f t="shared" si="61"/>
        <v>#DIV/0!</v>
      </c>
    </row>
    <row r="132" spans="1:28" ht="33">
      <c r="A132" s="19" t="s">
        <v>69</v>
      </c>
      <c r="B132" s="20" t="s">
        <v>517</v>
      </c>
      <c r="C132" s="21" t="s">
        <v>55</v>
      </c>
      <c r="D132" s="21" t="s">
        <v>137</v>
      </c>
      <c r="E132" s="271">
        <f>VLOOKUP($A132,publ_fin!$A:$I,8,FALSE)</f>
        <v>0</v>
      </c>
      <c r="F132" s="114">
        <v>0</v>
      </c>
      <c r="G132" s="115"/>
      <c r="H132" s="22">
        <v>0</v>
      </c>
      <c r="I132" s="115">
        <f>F132*H132</f>
        <v>0</v>
      </c>
      <c r="J132" s="117">
        <v>0</v>
      </c>
      <c r="K132" s="117">
        <v>0</v>
      </c>
      <c r="L132" s="117">
        <v>0</v>
      </c>
      <c r="M132" s="23">
        <f t="shared" si="66"/>
        <v>0</v>
      </c>
      <c r="N132" s="54">
        <f>E132-J132</f>
        <v>0</v>
      </c>
      <c r="O132" s="117">
        <f>H132+N132</f>
        <v>0</v>
      </c>
      <c r="P132" s="23">
        <v>0</v>
      </c>
      <c r="Q132" s="23">
        <f>IFERROR(VLOOKUP(A132,lauzti_līg!A:H,8,FALSE),0)</f>
        <v>0</v>
      </c>
      <c r="R132" s="23">
        <f t="shared" si="69"/>
        <v>0</v>
      </c>
      <c r="S132" s="23">
        <f>R132-M132</f>
        <v>0</v>
      </c>
      <c r="T132" s="117">
        <v>0</v>
      </c>
      <c r="U132" s="23">
        <f>IFERROR(VLOOKUP(A132,Nosl_līg!A:H,8,FALSE),0)</f>
        <v>0</v>
      </c>
      <c r="V132" s="23">
        <f>U132-J132</f>
        <v>0</v>
      </c>
      <c r="W132" s="23">
        <f>O132-S132-V132</f>
        <v>0</v>
      </c>
      <c r="X132" s="23">
        <f>IF(N132&gt;=S132+V132,N132-S132-V132,0)</f>
        <v>0</v>
      </c>
      <c r="Y132" s="23">
        <f t="shared" si="67"/>
        <v>0</v>
      </c>
      <c r="Z132" s="23">
        <f>IF(H132=0,0, IF(U132-E132+R132-M132&lt;0, 0, U132-E132+R132-M132))</f>
        <v>0</v>
      </c>
      <c r="AA132" s="23">
        <v>0</v>
      </c>
      <c r="AB132" s="69" t="e">
        <f t="shared" si="61"/>
        <v>#DIV/0!</v>
      </c>
    </row>
    <row r="133" spans="1:28" ht="33">
      <c r="A133" s="19" t="s">
        <v>70</v>
      </c>
      <c r="B133" s="20" t="s">
        <v>518</v>
      </c>
      <c r="C133" s="21" t="s">
        <v>55</v>
      </c>
      <c r="D133" s="21" t="s">
        <v>137</v>
      </c>
      <c r="E133" s="271">
        <f>VLOOKUP($A133,publ_fin!$A:$I,8,FALSE)</f>
        <v>0</v>
      </c>
      <c r="F133" s="114">
        <v>0</v>
      </c>
      <c r="G133" s="115"/>
      <c r="H133" s="22">
        <v>0</v>
      </c>
      <c r="I133" s="115">
        <f>F133*H133</f>
        <v>0</v>
      </c>
      <c r="J133" s="117">
        <v>0</v>
      </c>
      <c r="K133" s="117">
        <v>0</v>
      </c>
      <c r="L133" s="117">
        <v>0</v>
      </c>
      <c r="M133" s="23">
        <f t="shared" si="66"/>
        <v>0</v>
      </c>
      <c r="N133" s="54">
        <f>E133-J133</f>
        <v>0</v>
      </c>
      <c r="O133" s="117">
        <f>H133+N133</f>
        <v>0</v>
      </c>
      <c r="P133" s="23">
        <v>0</v>
      </c>
      <c r="Q133" s="23">
        <f>IFERROR(VLOOKUP(A133,lauzti_līg!A:H,8,FALSE),0)</f>
        <v>0</v>
      </c>
      <c r="R133" s="23">
        <f t="shared" si="69"/>
        <v>0</v>
      </c>
      <c r="S133" s="23">
        <f>R133-M133</f>
        <v>0</v>
      </c>
      <c r="T133" s="117">
        <v>0</v>
      </c>
      <c r="U133" s="23">
        <f>IFERROR(VLOOKUP(A133,Nosl_līg!A:H,8,FALSE),0)</f>
        <v>0</v>
      </c>
      <c r="V133" s="23">
        <f>U133-J133</f>
        <v>0</v>
      </c>
      <c r="W133" s="23">
        <f>O133-S133-V133</f>
        <v>0</v>
      </c>
      <c r="X133" s="23">
        <f>IF(N133&gt;=S133+V133,N133-S133-V133,0)</f>
        <v>0</v>
      </c>
      <c r="Y133" s="23">
        <f t="shared" si="67"/>
        <v>0</v>
      </c>
      <c r="Z133" s="23">
        <f>IF(H133=0,0, IF(U133-E133+R133-M133&lt;0, 0, U133-E133+R133-M133))</f>
        <v>0</v>
      </c>
      <c r="AA133" s="23">
        <v>0</v>
      </c>
      <c r="AB133" s="69" t="e">
        <f t="shared" si="61"/>
        <v>#DIV/0!</v>
      </c>
    </row>
    <row r="134" spans="1:28" ht="49.5">
      <c r="A134" s="19" t="s">
        <v>303</v>
      </c>
      <c r="B134" s="20" t="s">
        <v>519</v>
      </c>
      <c r="C134" s="21" t="s">
        <v>55</v>
      </c>
      <c r="D134" s="21" t="s">
        <v>137</v>
      </c>
      <c r="E134" s="271">
        <v>11207966</v>
      </c>
      <c r="F134" s="114">
        <v>1</v>
      </c>
      <c r="G134" s="115"/>
      <c r="H134" s="22">
        <v>0</v>
      </c>
      <c r="I134" s="115">
        <f>F134*H134</f>
        <v>0</v>
      </c>
      <c r="J134" s="117">
        <v>20000000</v>
      </c>
      <c r="K134" s="117">
        <v>0</v>
      </c>
      <c r="L134" s="117">
        <v>0</v>
      </c>
      <c r="M134" s="23">
        <f t="shared" si="66"/>
        <v>0</v>
      </c>
      <c r="N134" s="54">
        <f>E134-J134</f>
        <v>-8792034</v>
      </c>
      <c r="O134" s="117">
        <f>H134+N134</f>
        <v>-8792034</v>
      </c>
      <c r="P134" s="23">
        <v>8735045</v>
      </c>
      <c r="Q134" s="23">
        <f>IFERROR(VLOOKUP(A134,lauzti_līg!A:H,8,FALSE),0)</f>
        <v>0</v>
      </c>
      <c r="R134" s="23">
        <f t="shared" si="69"/>
        <v>8735045</v>
      </c>
      <c r="S134" s="23">
        <f>R134-M134</f>
        <v>8735045</v>
      </c>
      <c r="T134" s="117">
        <v>0</v>
      </c>
      <c r="U134" s="23">
        <f>IFERROR(VLOOKUP(A134,Nosl_līg!A:H,8,FALSE),0)</f>
        <v>11207966</v>
      </c>
      <c r="V134" s="23">
        <f>U134-J134</f>
        <v>-8792034</v>
      </c>
      <c r="W134" s="23">
        <f>O134-S134-V134</f>
        <v>-8735045</v>
      </c>
      <c r="X134" s="23">
        <f>IF(N134&gt;=S134+V134,N134-S134-V134,0)</f>
        <v>0</v>
      </c>
      <c r="Y134" s="23">
        <f t="shared" si="67"/>
        <v>-56989</v>
      </c>
      <c r="Z134" s="23">
        <f>IF(H134=0,0, IF(U134-E134+R134-M134&lt;0, 0, U134-E134+R134-M134))</f>
        <v>0</v>
      </c>
      <c r="AA134" s="23" t="e">
        <f>VLOOKUP(A134,#REF!,63,FALSE)/F134+T134</f>
        <v>#REF!</v>
      </c>
      <c r="AB134" s="69" t="e">
        <f t="shared" si="61"/>
        <v>#DIV/0!</v>
      </c>
    </row>
    <row r="135" spans="1:28" s="40" customFormat="1" ht="49.5">
      <c r="A135" s="19" t="s">
        <v>385</v>
      </c>
      <c r="B135" s="20" t="s">
        <v>520</v>
      </c>
      <c r="C135" s="21" t="s">
        <v>55</v>
      </c>
      <c r="D135" s="21" t="s">
        <v>137</v>
      </c>
      <c r="E135" s="269">
        <f t="shared" ref="E135:AA135" si="99">E136+E137</f>
        <v>54021643</v>
      </c>
      <c r="F135" s="116"/>
      <c r="G135" s="116">
        <f t="shared" si="99"/>
        <v>0</v>
      </c>
      <c r="H135" s="23">
        <f t="shared" si="99"/>
        <v>0</v>
      </c>
      <c r="I135" s="116">
        <f t="shared" si="99"/>
        <v>0</v>
      </c>
      <c r="J135" s="116">
        <f t="shared" si="99"/>
        <v>63187799</v>
      </c>
      <c r="K135" s="116">
        <f t="shared" si="99"/>
        <v>0</v>
      </c>
      <c r="L135" s="116">
        <f t="shared" si="99"/>
        <v>0</v>
      </c>
      <c r="M135" s="18">
        <f t="shared" si="99"/>
        <v>0</v>
      </c>
      <c r="N135" s="54">
        <f t="shared" si="99"/>
        <v>-9166156</v>
      </c>
      <c r="O135" s="116">
        <f t="shared" si="99"/>
        <v>-9166156</v>
      </c>
      <c r="P135" s="18">
        <v>5914001</v>
      </c>
      <c r="Q135" s="18">
        <f t="shared" si="99"/>
        <v>0</v>
      </c>
      <c r="R135" s="18">
        <f t="shared" si="69"/>
        <v>5914001</v>
      </c>
      <c r="S135" s="18">
        <f t="shared" si="99"/>
        <v>5914001</v>
      </c>
      <c r="T135" s="116">
        <v>0</v>
      </c>
      <c r="U135" s="18">
        <f t="shared" si="99"/>
        <v>52652565.969999999</v>
      </c>
      <c r="V135" s="18">
        <f t="shared" si="99"/>
        <v>-10535233.030000001</v>
      </c>
      <c r="W135" s="18">
        <f t="shared" si="99"/>
        <v>-4544923.9699999988</v>
      </c>
      <c r="X135" s="18">
        <f t="shared" si="99"/>
        <v>0</v>
      </c>
      <c r="Y135" s="18">
        <f t="shared" si="67"/>
        <v>-4621232.0300000012</v>
      </c>
      <c r="Z135" s="18">
        <f t="shared" si="99"/>
        <v>0</v>
      </c>
      <c r="AA135" s="18" t="e">
        <f t="shared" si="99"/>
        <v>#REF!</v>
      </c>
      <c r="AB135" s="70" t="e">
        <f t="shared" si="61"/>
        <v>#DIV/0!</v>
      </c>
    </row>
    <row r="136" spans="1:28" ht="49.5">
      <c r="A136" s="19" t="s">
        <v>150</v>
      </c>
      <c r="B136" s="20" t="s">
        <v>521</v>
      </c>
      <c r="C136" s="21" t="s">
        <v>55</v>
      </c>
      <c r="D136" s="21" t="s">
        <v>137</v>
      </c>
      <c r="E136" s="271">
        <v>40904319</v>
      </c>
      <c r="F136" s="114">
        <v>0.88702555190572174</v>
      </c>
      <c r="G136" s="115"/>
      <c r="H136" s="22">
        <v>0</v>
      </c>
      <c r="I136" s="115">
        <f>F136*H136</f>
        <v>0</v>
      </c>
      <c r="J136" s="117">
        <v>45449242</v>
      </c>
      <c r="K136" s="117">
        <v>0</v>
      </c>
      <c r="L136" s="117">
        <v>0</v>
      </c>
      <c r="M136" s="23">
        <f t="shared" si="66"/>
        <v>0</v>
      </c>
      <c r="N136" s="54">
        <f>E136-J136</f>
        <v>-4544923</v>
      </c>
      <c r="O136" s="117">
        <f>H136+N136</f>
        <v>-4544923</v>
      </c>
      <c r="P136" s="23">
        <v>5914001</v>
      </c>
      <c r="Q136" s="23">
        <f>IFERROR(VLOOKUP(A136,lauzti_līg!A:H,8,FALSE),0)</f>
        <v>0</v>
      </c>
      <c r="R136" s="23">
        <f t="shared" si="69"/>
        <v>5914001</v>
      </c>
      <c r="S136" s="23">
        <f>R136-M136</f>
        <v>5914001</v>
      </c>
      <c r="T136" s="117">
        <v>0</v>
      </c>
      <c r="U136" s="23">
        <f>IFERROR(VLOOKUP(A136,Nosl_līg!A:H,8,FALSE),0)</f>
        <v>39535241.969999999</v>
      </c>
      <c r="V136" s="23">
        <f>U136-J136</f>
        <v>-5914000.0300000012</v>
      </c>
      <c r="W136" s="23">
        <f>O136-S136-V136</f>
        <v>-4544923.9699999988</v>
      </c>
      <c r="X136" s="23">
        <f>IF(N136&gt;=S136+V136,N136-S136-V136,0)</f>
        <v>0</v>
      </c>
      <c r="Y136" s="23">
        <f t="shared" si="67"/>
        <v>0.9699999988079071</v>
      </c>
      <c r="Z136" s="23">
        <f>IF(H136=0,0, IF(U136-E136+R136-M136&lt;0, 0, U136-E136+R136-M136))</f>
        <v>0</v>
      </c>
      <c r="AA136" s="23" t="e">
        <f>VLOOKUP(A136,#REF!,63,FALSE)/F136+T136</f>
        <v>#REF!</v>
      </c>
      <c r="AB136" s="69" t="e">
        <f t="shared" si="61"/>
        <v>#DIV/0!</v>
      </c>
    </row>
    <row r="137" spans="1:28" ht="66">
      <c r="A137" s="19" t="s">
        <v>151</v>
      </c>
      <c r="B137" s="20" t="s">
        <v>522</v>
      </c>
      <c r="C137" s="21" t="s">
        <v>55</v>
      </c>
      <c r="D137" s="21" t="s">
        <v>137</v>
      </c>
      <c r="E137" s="271">
        <v>13117324</v>
      </c>
      <c r="F137" s="114">
        <v>0.60162116053413794</v>
      </c>
      <c r="G137" s="115"/>
      <c r="H137" s="22">
        <v>0</v>
      </c>
      <c r="I137" s="115">
        <f>F137*H137</f>
        <v>0</v>
      </c>
      <c r="J137" s="117">
        <v>17738557</v>
      </c>
      <c r="K137" s="117">
        <v>0</v>
      </c>
      <c r="L137" s="117">
        <v>0</v>
      </c>
      <c r="M137" s="23">
        <f t="shared" si="66"/>
        <v>0</v>
      </c>
      <c r="N137" s="54">
        <f>E137-J137</f>
        <v>-4621233</v>
      </c>
      <c r="O137" s="117">
        <f>H137+N137</f>
        <v>-4621233</v>
      </c>
      <c r="P137" s="23">
        <v>0</v>
      </c>
      <c r="Q137" s="23">
        <f>IFERROR(VLOOKUP(A137,lauzti_līg!A:H,8,FALSE),0)</f>
        <v>0</v>
      </c>
      <c r="R137" s="23">
        <f t="shared" si="69"/>
        <v>0</v>
      </c>
      <c r="S137" s="23">
        <f>R137-M137</f>
        <v>0</v>
      </c>
      <c r="T137" s="117">
        <v>0</v>
      </c>
      <c r="U137" s="23">
        <f>IFERROR(VLOOKUP(A137,Nosl_līg!A:H,8,FALSE),0)</f>
        <v>13117324</v>
      </c>
      <c r="V137" s="23">
        <f>U137-J137</f>
        <v>-4621233</v>
      </c>
      <c r="W137" s="23">
        <f>O137-S137-V137</f>
        <v>0</v>
      </c>
      <c r="X137" s="23">
        <f>IF(N137&gt;=S137+V137,N137-S137-V137,0)</f>
        <v>0</v>
      </c>
      <c r="Y137" s="23">
        <f t="shared" si="67"/>
        <v>-4621233</v>
      </c>
      <c r="Z137" s="23">
        <f>IF(H137=0,0, IF(U137-E137+R137-M137&lt;0, 0, U137-E137+R137-M137))</f>
        <v>0</v>
      </c>
      <c r="AA137" s="23" t="e">
        <f>VLOOKUP(A137,#REF!,63,FALSE)/F137+T137</f>
        <v>#REF!</v>
      </c>
      <c r="AB137" s="69" t="e">
        <f t="shared" si="61"/>
        <v>#DIV/0!</v>
      </c>
    </row>
    <row r="138" spans="1:28" ht="33">
      <c r="A138" s="14" t="s">
        <v>71</v>
      </c>
      <c r="B138" s="15" t="s">
        <v>523</v>
      </c>
      <c r="C138" s="16" t="s">
        <v>55</v>
      </c>
      <c r="D138" s="16" t="s">
        <v>137</v>
      </c>
      <c r="E138" s="270">
        <f t="shared" ref="E138:AA138" si="100">E139+E144</f>
        <v>54484794.359999999</v>
      </c>
      <c r="F138" s="113"/>
      <c r="G138" s="113">
        <f t="shared" si="100"/>
        <v>0</v>
      </c>
      <c r="H138" s="17">
        <f t="shared" si="100"/>
        <v>6000000</v>
      </c>
      <c r="I138" s="113">
        <f t="shared" si="100"/>
        <v>6000000</v>
      </c>
      <c r="J138" s="113">
        <f t="shared" si="100"/>
        <v>40513078.700000003</v>
      </c>
      <c r="K138" s="113">
        <f t="shared" si="100"/>
        <v>462137.32</v>
      </c>
      <c r="L138" s="113">
        <f t="shared" si="100"/>
        <v>13565464.989999998</v>
      </c>
      <c r="M138" s="17">
        <f t="shared" si="100"/>
        <v>14027602.310000001</v>
      </c>
      <c r="N138" s="53">
        <f t="shared" si="100"/>
        <v>20587241.339999992</v>
      </c>
      <c r="O138" s="113">
        <f t="shared" si="100"/>
        <v>26587241.339999989</v>
      </c>
      <c r="P138" s="17">
        <v>1927518</v>
      </c>
      <c r="Q138" s="17">
        <f t="shared" si="100"/>
        <v>15204300.140000001</v>
      </c>
      <c r="R138" s="17">
        <f t="shared" si="69"/>
        <v>17131818.140000001</v>
      </c>
      <c r="S138" s="17">
        <f t="shared" ref="S138:U138" si="101">S139+S144</f>
        <v>3104215.830000001</v>
      </c>
      <c r="T138" s="113">
        <v>1851810.4000000004</v>
      </c>
      <c r="U138" s="17">
        <f t="shared" si="101"/>
        <v>46788601.340000011</v>
      </c>
      <c r="V138" s="17">
        <f t="shared" si="100"/>
        <v>6275522.6400000043</v>
      </c>
      <c r="W138" s="17">
        <f t="shared" si="100"/>
        <v>17207502.869999982</v>
      </c>
      <c r="X138" s="17">
        <f t="shared" si="100"/>
        <v>11879558.049999988</v>
      </c>
      <c r="Y138" s="17">
        <f t="shared" si="67"/>
        <v>9379738.4700000063</v>
      </c>
      <c r="Z138" s="17">
        <f t="shared" si="100"/>
        <v>0</v>
      </c>
      <c r="AA138" s="17" t="e">
        <f t="shared" si="100"/>
        <v>#REF!</v>
      </c>
      <c r="AB138" s="68">
        <f t="shared" si="61"/>
        <v>0</v>
      </c>
    </row>
    <row r="139" spans="1:28" ht="33">
      <c r="A139" s="14" t="s">
        <v>72</v>
      </c>
      <c r="B139" s="15" t="s">
        <v>524</v>
      </c>
      <c r="C139" s="16" t="s">
        <v>55</v>
      </c>
      <c r="D139" s="16" t="s">
        <v>137</v>
      </c>
      <c r="E139" s="270">
        <f t="shared" ref="E139:AA139" si="102">E140+E143</f>
        <v>23380492.009999998</v>
      </c>
      <c r="F139" s="113"/>
      <c r="G139" s="113">
        <f t="shared" si="102"/>
        <v>0</v>
      </c>
      <c r="H139" s="17">
        <f t="shared" si="102"/>
        <v>0</v>
      </c>
      <c r="I139" s="113">
        <f t="shared" si="102"/>
        <v>0</v>
      </c>
      <c r="J139" s="113">
        <f t="shared" si="102"/>
        <v>12797933.680000003</v>
      </c>
      <c r="K139" s="113">
        <f t="shared" si="102"/>
        <v>106085.94</v>
      </c>
      <c r="L139" s="113">
        <f t="shared" si="102"/>
        <v>845956.61999999988</v>
      </c>
      <c r="M139" s="17">
        <f t="shared" si="102"/>
        <v>952042.55999999982</v>
      </c>
      <c r="N139" s="53">
        <f t="shared" si="102"/>
        <v>10582558.329999994</v>
      </c>
      <c r="O139" s="113">
        <f t="shared" si="102"/>
        <v>10582558.329999994</v>
      </c>
      <c r="P139" s="17">
        <v>270851</v>
      </c>
      <c r="Q139" s="17">
        <f t="shared" si="102"/>
        <v>1008335.5</v>
      </c>
      <c r="R139" s="17">
        <f t="shared" si="69"/>
        <v>1279186.5</v>
      </c>
      <c r="S139" s="17">
        <f t="shared" ref="S139:U139" si="103">S140+S143</f>
        <v>327143.94000000018</v>
      </c>
      <c r="T139" s="113">
        <v>233664.33999999994</v>
      </c>
      <c r="U139" s="17">
        <f t="shared" si="103"/>
        <v>17996342.110000011</v>
      </c>
      <c r="V139" s="17">
        <f t="shared" si="102"/>
        <v>5198408.4300000062</v>
      </c>
      <c r="W139" s="17">
        <f t="shared" si="102"/>
        <v>5057005.9599999879</v>
      </c>
      <c r="X139" s="17">
        <f t="shared" si="102"/>
        <v>5096093.0099999886</v>
      </c>
      <c r="Y139" s="17">
        <f t="shared" si="67"/>
        <v>5525552.3700000066</v>
      </c>
      <c r="Z139" s="17">
        <f t="shared" si="102"/>
        <v>0</v>
      </c>
      <c r="AA139" s="17" t="e">
        <f t="shared" si="102"/>
        <v>#REF!</v>
      </c>
      <c r="AB139" s="68" t="e">
        <f t="shared" si="61"/>
        <v>#DIV/0!</v>
      </c>
    </row>
    <row r="140" spans="1:28" ht="16.5">
      <c r="A140" s="19" t="s">
        <v>147</v>
      </c>
      <c r="B140" s="20" t="s">
        <v>525</v>
      </c>
      <c r="C140" s="21" t="s">
        <v>55</v>
      </c>
      <c r="D140" s="21" t="s">
        <v>137</v>
      </c>
      <c r="E140" s="269">
        <f t="shared" ref="E140:AA140" si="104">E141+E142</f>
        <v>21363471.239999998</v>
      </c>
      <c r="F140" s="116"/>
      <c r="G140" s="116">
        <f t="shared" si="104"/>
        <v>0</v>
      </c>
      <c r="H140" s="23">
        <f t="shared" si="104"/>
        <v>0</v>
      </c>
      <c r="I140" s="116">
        <f t="shared" si="104"/>
        <v>0</v>
      </c>
      <c r="J140" s="116">
        <f t="shared" si="104"/>
        <v>10780990.730000004</v>
      </c>
      <c r="K140" s="116">
        <f t="shared" si="104"/>
        <v>106085.94</v>
      </c>
      <c r="L140" s="116">
        <f t="shared" si="104"/>
        <v>845956.61999999988</v>
      </c>
      <c r="M140" s="18">
        <f t="shared" si="104"/>
        <v>952042.55999999982</v>
      </c>
      <c r="N140" s="54">
        <f t="shared" si="104"/>
        <v>10582480.509999994</v>
      </c>
      <c r="O140" s="116">
        <f t="shared" si="104"/>
        <v>10582480.509999994</v>
      </c>
      <c r="P140" s="18">
        <v>270851</v>
      </c>
      <c r="Q140" s="18">
        <f t="shared" si="104"/>
        <v>1008335.5</v>
      </c>
      <c r="R140" s="18">
        <f t="shared" si="69"/>
        <v>1279186.5</v>
      </c>
      <c r="S140" s="18">
        <f t="shared" ref="S140:U140" si="105">S141+S142</f>
        <v>327143.94000000018</v>
      </c>
      <c r="T140" s="116">
        <v>233664.33999999994</v>
      </c>
      <c r="U140" s="18">
        <f t="shared" si="105"/>
        <v>15979399.160000011</v>
      </c>
      <c r="V140" s="18">
        <f t="shared" si="104"/>
        <v>5198408.4300000062</v>
      </c>
      <c r="W140" s="18">
        <f t="shared" si="104"/>
        <v>5056928.1399999876</v>
      </c>
      <c r="X140" s="18">
        <f t="shared" si="104"/>
        <v>5096015.1899999883</v>
      </c>
      <c r="Y140" s="18">
        <f t="shared" si="67"/>
        <v>5525552.3700000066</v>
      </c>
      <c r="Z140" s="18">
        <f t="shared" si="104"/>
        <v>0</v>
      </c>
      <c r="AA140" s="18" t="e">
        <f t="shared" si="104"/>
        <v>#REF!</v>
      </c>
      <c r="AB140" s="70" t="e">
        <f t="shared" si="61"/>
        <v>#DIV/0!</v>
      </c>
    </row>
    <row r="141" spans="1:28" ht="33">
      <c r="A141" s="19" t="s">
        <v>307</v>
      </c>
      <c r="B141" s="20" t="s">
        <v>526</v>
      </c>
      <c r="C141" s="21" t="s">
        <v>55</v>
      </c>
      <c r="D141" s="21" t="s">
        <v>137</v>
      </c>
      <c r="E141" s="271">
        <f>VLOOKUP($A141,publ_fin!$A:$I,8,FALSE)</f>
        <v>12196804.289999999</v>
      </c>
      <c r="F141" s="114">
        <v>1</v>
      </c>
      <c r="G141" s="115"/>
      <c r="H141" s="22">
        <v>0</v>
      </c>
      <c r="I141" s="115">
        <f>F141*H141</f>
        <v>0</v>
      </c>
      <c r="J141" s="117">
        <v>5780991.2500000037</v>
      </c>
      <c r="K141" s="121">
        <v>106085.94</v>
      </c>
      <c r="L141" s="117">
        <v>845956.61999999988</v>
      </c>
      <c r="M141" s="23">
        <f t="shared" ref="M141:M203" si="106">K141+L141</f>
        <v>952042.55999999982</v>
      </c>
      <c r="N141" s="54">
        <f>E141-J141</f>
        <v>6415813.0399999954</v>
      </c>
      <c r="O141" s="117">
        <f>H141+N141</f>
        <v>6415813.0399999954</v>
      </c>
      <c r="P141" s="23">
        <v>231763</v>
      </c>
      <c r="Q141" s="23">
        <f>IFERROR(VLOOKUP(A141,lauzti_līg!A:H,8,FALSE),0)</f>
        <v>1008335.5</v>
      </c>
      <c r="R141" s="23">
        <f t="shared" si="69"/>
        <v>1240098.5</v>
      </c>
      <c r="S141" s="23">
        <f>R141-M141</f>
        <v>288055.94000000018</v>
      </c>
      <c r="T141" s="117">
        <v>196814.67999999993</v>
      </c>
      <c r="U141" s="23">
        <f>IFERROR(VLOOKUP(A141,Nosl_līg!A:H,8,FALSE),0)</f>
        <v>6812733.1600000104</v>
      </c>
      <c r="V141" s="23">
        <f>U141-J141</f>
        <v>1031741.9100000067</v>
      </c>
      <c r="W141" s="23">
        <f>O141-S141-V141</f>
        <v>5096015.1899999883</v>
      </c>
      <c r="X141" s="23">
        <f>IF(N141&gt;=S141+V141,N141-S141-V141,0)</f>
        <v>5096015.1899999883</v>
      </c>
      <c r="Y141" s="23">
        <f t="shared" si="67"/>
        <v>1319797.8500000071</v>
      </c>
      <c r="Z141" s="23">
        <f>IF(H141=0,0, IF(U141-E141+R141-M141&lt;0, 0, U141-E141+R141-M141))</f>
        <v>0</v>
      </c>
      <c r="AA141" s="23" t="e">
        <f>VLOOKUP(A141,#REF!,63,FALSE)/F141+T141</f>
        <v>#REF!</v>
      </c>
      <c r="AB141" s="69" t="e">
        <f t="shared" ref="AB141:AB204" si="107">Z141/H141</f>
        <v>#DIV/0!</v>
      </c>
    </row>
    <row r="142" spans="1:28" ht="49.5">
      <c r="A142" s="19" t="s">
        <v>309</v>
      </c>
      <c r="B142" s="20" t="s">
        <v>527</v>
      </c>
      <c r="C142" s="21" t="s">
        <v>55</v>
      </c>
      <c r="D142" s="21" t="s">
        <v>137</v>
      </c>
      <c r="E142" s="271">
        <f>VLOOKUP($A142,publ_fin!$A:$I,8,FALSE)</f>
        <v>9166666.9499999993</v>
      </c>
      <c r="F142" s="114">
        <v>0.59999998472727323</v>
      </c>
      <c r="G142" s="115"/>
      <c r="H142" s="22">
        <v>0</v>
      </c>
      <c r="I142" s="115">
        <f>F142*H142</f>
        <v>0</v>
      </c>
      <c r="J142" s="117">
        <v>4999999.4800000004</v>
      </c>
      <c r="K142" s="117">
        <v>0</v>
      </c>
      <c r="L142" s="117">
        <v>0</v>
      </c>
      <c r="M142" s="23">
        <f t="shared" si="106"/>
        <v>0</v>
      </c>
      <c r="N142" s="54">
        <f>E142-J142</f>
        <v>4166667.4699999988</v>
      </c>
      <c r="O142" s="117">
        <f>H142+N142</f>
        <v>4166667.4699999988</v>
      </c>
      <c r="P142" s="23">
        <v>39088</v>
      </c>
      <c r="Q142" s="23">
        <f>IFERROR(VLOOKUP(A142,lauzti_līg!A:H,8,FALSE),0)</f>
        <v>0</v>
      </c>
      <c r="R142" s="23">
        <f t="shared" si="69"/>
        <v>39088</v>
      </c>
      <c r="S142" s="23">
        <f>R142-M142</f>
        <v>39088</v>
      </c>
      <c r="T142" s="117">
        <v>36849.660000000003</v>
      </c>
      <c r="U142" s="23">
        <f>IFERROR(VLOOKUP(A142,Nosl_līg!A:H,8,FALSE),0)</f>
        <v>9166666</v>
      </c>
      <c r="V142" s="23">
        <f>U142-J142</f>
        <v>4166666.5199999996</v>
      </c>
      <c r="W142" s="23">
        <f>O142-S142-V142</f>
        <v>-39087.050000000745</v>
      </c>
      <c r="X142" s="23">
        <f>IF(N142&gt;=S142+V142,N142-S142-V142,0)</f>
        <v>0</v>
      </c>
      <c r="Y142" s="23">
        <f t="shared" si="67"/>
        <v>4205754.5199999996</v>
      </c>
      <c r="Z142" s="23">
        <f>IF(H142=0,0, IF(U142-E142+R142-M142&lt;0, 0, U142-E142+R142-M142))</f>
        <v>0</v>
      </c>
      <c r="AA142" s="23" t="e">
        <f>VLOOKUP(A142,#REF!,63,FALSE)/F142+T142</f>
        <v>#REF!</v>
      </c>
      <c r="AB142" s="69" t="e">
        <f t="shared" si="107"/>
        <v>#DIV/0!</v>
      </c>
    </row>
    <row r="143" spans="1:28" ht="49.5">
      <c r="A143" s="19" t="s">
        <v>73</v>
      </c>
      <c r="B143" s="20" t="s">
        <v>528</v>
      </c>
      <c r="C143" s="21" t="s">
        <v>55</v>
      </c>
      <c r="D143" s="21" t="s">
        <v>137</v>
      </c>
      <c r="E143" s="271">
        <f>VLOOKUP($A143,publ_fin!$A:$I,8,FALSE)</f>
        <v>2017020.77</v>
      </c>
      <c r="F143" s="114">
        <v>0.84996735060888839</v>
      </c>
      <c r="G143" s="115"/>
      <c r="H143" s="22">
        <v>0</v>
      </c>
      <c r="I143" s="115">
        <f>F143*H143</f>
        <v>0</v>
      </c>
      <c r="J143" s="117">
        <v>2016942.95</v>
      </c>
      <c r="K143" s="117">
        <v>0</v>
      </c>
      <c r="L143" s="117">
        <v>0</v>
      </c>
      <c r="M143" s="23">
        <f t="shared" si="106"/>
        <v>0</v>
      </c>
      <c r="N143" s="54">
        <f>E143-J143</f>
        <v>77.820000000065193</v>
      </c>
      <c r="O143" s="117">
        <f>H143+N143</f>
        <v>77.820000000065193</v>
      </c>
      <c r="P143" s="23">
        <v>0</v>
      </c>
      <c r="Q143" s="23">
        <f>IFERROR(VLOOKUP(A143,lauzti_līg!A:H,8,FALSE),0)</f>
        <v>0</v>
      </c>
      <c r="R143" s="23">
        <f t="shared" si="69"/>
        <v>0</v>
      </c>
      <c r="S143" s="23">
        <f>R143-M143</f>
        <v>0</v>
      </c>
      <c r="T143" s="117">
        <v>0</v>
      </c>
      <c r="U143" s="23">
        <f>IFERROR(VLOOKUP(A143,Nosl_līg!A:H,8,FALSE),0)</f>
        <v>2016942.95</v>
      </c>
      <c r="V143" s="23">
        <f>U143-J143</f>
        <v>0</v>
      </c>
      <c r="W143" s="23">
        <f>O143-S143-V143</f>
        <v>77.820000000065193</v>
      </c>
      <c r="X143" s="23">
        <f>IF(N143&gt;=S143+V143,N143-S143-V143,0)</f>
        <v>77.820000000065193</v>
      </c>
      <c r="Y143" s="23">
        <f t="shared" si="67"/>
        <v>0</v>
      </c>
      <c r="Z143" s="23">
        <f>IF(H143=0,0, IF(U143-E143+R143-M143&lt;0, 0, U143-E143+R143-M143))</f>
        <v>0</v>
      </c>
      <c r="AA143" s="23" t="e">
        <f>VLOOKUP(A143,#REF!,63,FALSE)/F143+T143</f>
        <v>#REF!</v>
      </c>
      <c r="AB143" s="69" t="e">
        <f t="shared" si="107"/>
        <v>#DIV/0!</v>
      </c>
    </row>
    <row r="144" spans="1:28" ht="49.5">
      <c r="A144" s="14" t="s">
        <v>74</v>
      </c>
      <c r="B144" s="15" t="s">
        <v>529</v>
      </c>
      <c r="C144" s="16" t="s">
        <v>55</v>
      </c>
      <c r="D144" s="16" t="s">
        <v>137</v>
      </c>
      <c r="E144" s="270">
        <f>E145+E146+E148</f>
        <v>31104302.350000001</v>
      </c>
      <c r="F144" s="113"/>
      <c r="G144" s="113">
        <f t="shared" ref="G144:AA144" si="108">G145+G146+G147+G148</f>
        <v>0</v>
      </c>
      <c r="H144" s="17">
        <f t="shared" si="108"/>
        <v>6000000</v>
      </c>
      <c r="I144" s="113">
        <f t="shared" si="108"/>
        <v>6000000</v>
      </c>
      <c r="J144" s="113">
        <f t="shared" si="108"/>
        <v>27715145.020000003</v>
      </c>
      <c r="K144" s="113">
        <f t="shared" si="108"/>
        <v>356051.38</v>
      </c>
      <c r="L144" s="113">
        <f t="shared" si="108"/>
        <v>12719508.369999999</v>
      </c>
      <c r="M144" s="17">
        <f t="shared" si="108"/>
        <v>13075559.75</v>
      </c>
      <c r="N144" s="53">
        <f t="shared" si="108"/>
        <v>10004683.009999998</v>
      </c>
      <c r="O144" s="113">
        <f t="shared" si="108"/>
        <v>16004683.009999996</v>
      </c>
      <c r="P144" s="17">
        <v>1656667</v>
      </c>
      <c r="Q144" s="17">
        <f t="shared" si="108"/>
        <v>14195964.640000001</v>
      </c>
      <c r="R144" s="17">
        <f t="shared" si="69"/>
        <v>15852631.640000001</v>
      </c>
      <c r="S144" s="17">
        <f t="shared" si="108"/>
        <v>2777071.8900000006</v>
      </c>
      <c r="T144" s="113">
        <v>1618146.0600000005</v>
      </c>
      <c r="U144" s="17">
        <f t="shared" si="108"/>
        <v>28792259.23</v>
      </c>
      <c r="V144" s="17">
        <f t="shared" si="108"/>
        <v>1077114.2099999986</v>
      </c>
      <c r="W144" s="17">
        <f t="shared" si="108"/>
        <v>12150496.909999996</v>
      </c>
      <c r="X144" s="17">
        <f t="shared" si="108"/>
        <v>6783465.0399999991</v>
      </c>
      <c r="Y144" s="17">
        <f t="shared" ref="Y144:Y207" si="109">O144-W144</f>
        <v>3854186.0999999996</v>
      </c>
      <c r="Z144" s="17">
        <f t="shared" si="108"/>
        <v>0</v>
      </c>
      <c r="AA144" s="17" t="e">
        <f t="shared" si="108"/>
        <v>#REF!</v>
      </c>
      <c r="AB144" s="68">
        <f t="shared" si="107"/>
        <v>0</v>
      </c>
    </row>
    <row r="145" spans="1:28" ht="16.5">
      <c r="A145" s="19" t="s">
        <v>75</v>
      </c>
      <c r="B145" s="20" t="s">
        <v>530</v>
      </c>
      <c r="C145" s="21" t="s">
        <v>55</v>
      </c>
      <c r="D145" s="21" t="s">
        <v>137</v>
      </c>
      <c r="E145" s="271">
        <f>VLOOKUP($A145,publ_fin!$A:$I,8,FALSE)</f>
        <v>20208601.219999999</v>
      </c>
      <c r="F145" s="114">
        <v>0.85010430969353357</v>
      </c>
      <c r="G145" s="115"/>
      <c r="H145" s="22">
        <v>0</v>
      </c>
      <c r="I145" s="115">
        <f>F145*H145</f>
        <v>0</v>
      </c>
      <c r="J145" s="117">
        <v>20208600</v>
      </c>
      <c r="K145" s="117">
        <v>0</v>
      </c>
      <c r="L145" s="117">
        <v>0</v>
      </c>
      <c r="M145" s="23">
        <f t="shared" si="106"/>
        <v>0</v>
      </c>
      <c r="N145" s="54">
        <f>E145-J145</f>
        <v>1.2199999988079071</v>
      </c>
      <c r="O145" s="117">
        <f>H145+N145</f>
        <v>1.2199999988079071</v>
      </c>
      <c r="P145" s="23">
        <v>108055</v>
      </c>
      <c r="Q145" s="23">
        <f>IFERROR(VLOOKUP(A145,lauzti_līg!A:H,8,FALSE),0)</f>
        <v>0</v>
      </c>
      <c r="R145" s="23">
        <f t="shared" si="69"/>
        <v>108055</v>
      </c>
      <c r="S145" s="23">
        <f>R145-M145</f>
        <v>108055</v>
      </c>
      <c r="T145" s="117">
        <v>0</v>
      </c>
      <c r="U145" s="23">
        <f>IFERROR(VLOOKUP(A145,Nosl_līg!A:H,8,FALSE),0)</f>
        <v>20208600</v>
      </c>
      <c r="V145" s="23">
        <f>U145-J145</f>
        <v>0</v>
      </c>
      <c r="W145" s="23">
        <f>O145-S145-V145</f>
        <v>-108053.78000000119</v>
      </c>
      <c r="X145" s="23">
        <f>IF(N145&gt;=S145+V145,N145-S145-V145,0)</f>
        <v>0</v>
      </c>
      <c r="Y145" s="23">
        <f t="shared" si="109"/>
        <v>108055</v>
      </c>
      <c r="Z145" s="23">
        <f>IF(H145=0,0, IF(U145-E145+R145-M145&lt;0, 0, U145-E145+R145-M145))</f>
        <v>0</v>
      </c>
      <c r="AA145" s="23" t="e">
        <f>VLOOKUP(A145,#REF!,63,FALSE)/F145+T145</f>
        <v>#REF!</v>
      </c>
      <c r="AB145" s="69" t="e">
        <f t="shared" si="107"/>
        <v>#DIV/0!</v>
      </c>
    </row>
    <row r="146" spans="1:28" ht="66">
      <c r="A146" s="19" t="s">
        <v>732</v>
      </c>
      <c r="B146" s="20" t="s">
        <v>531</v>
      </c>
      <c r="C146" s="21" t="s">
        <v>55</v>
      </c>
      <c r="D146" s="21" t="s">
        <v>137</v>
      </c>
      <c r="E146" s="271">
        <f>VLOOKUP($A146,publ_fin!$A:$I,8,FALSE)</f>
        <v>7488412.46</v>
      </c>
      <c r="F146" s="114">
        <v>1</v>
      </c>
      <c r="G146" s="115"/>
      <c r="H146" s="22">
        <v>0</v>
      </c>
      <c r="I146" s="115">
        <f>F146*H146</f>
        <v>0</v>
      </c>
      <c r="J146" s="117">
        <v>7506545.0200000014</v>
      </c>
      <c r="K146" s="117">
        <v>356051.38</v>
      </c>
      <c r="L146" s="117">
        <v>12719508.369999999</v>
      </c>
      <c r="M146" s="23">
        <f t="shared" si="106"/>
        <v>13075559.75</v>
      </c>
      <c r="N146" s="54">
        <f>E146-J146</f>
        <v>-18132.560000001453</v>
      </c>
      <c r="O146" s="117">
        <f>H146+N146</f>
        <v>-18132.560000001453</v>
      </c>
      <c r="P146" s="23">
        <v>1547096</v>
      </c>
      <c r="Q146" s="23">
        <f>IFERROR(VLOOKUP(A146,lauzti_līg!A:H,8,FALSE),0)</f>
        <v>14195964.640000001</v>
      </c>
      <c r="R146" s="23">
        <f t="shared" ref="R146:R209" si="110">P146+Q146</f>
        <v>15743060.640000001</v>
      </c>
      <c r="S146" s="23">
        <f>R146-M146</f>
        <v>2667500.8900000006</v>
      </c>
      <c r="T146" s="117">
        <v>1618146.0600000005</v>
      </c>
      <c r="U146" s="23">
        <f>IFERROR(VLOOKUP(A146,Nosl_līg!A:H,8,FALSE),0)</f>
        <v>5345825.92</v>
      </c>
      <c r="V146" s="23">
        <f>U146-J146</f>
        <v>-2160719.1000000015</v>
      </c>
      <c r="W146" s="23">
        <f>O146-S146-V146</f>
        <v>-524914.35000000056</v>
      </c>
      <c r="X146" s="23">
        <f>IF(N146&gt;=S146+V146,N146-S146-V146,0)</f>
        <v>0</v>
      </c>
      <c r="Y146" s="23">
        <f t="shared" si="109"/>
        <v>506781.78999999911</v>
      </c>
      <c r="Z146" s="23">
        <f>IF(H146=0,0, IF(U146-E146+R146-M146&lt;0, 0, U146-E146+R146-M146))</f>
        <v>0</v>
      </c>
      <c r="AA146" s="23" t="e">
        <f>VLOOKUP(A146,#REF!,63,FALSE)/F146+T146</f>
        <v>#REF!</v>
      </c>
      <c r="AB146" s="69" t="e">
        <f t="shared" si="107"/>
        <v>#DIV/0!</v>
      </c>
    </row>
    <row r="147" spans="1:28" ht="49.5">
      <c r="A147" s="19" t="s">
        <v>381</v>
      </c>
      <c r="B147" s="20" t="s">
        <v>532</v>
      </c>
      <c r="C147" s="21" t="s">
        <v>55</v>
      </c>
      <c r="D147" s="21" t="s">
        <v>137</v>
      </c>
      <c r="E147" s="271">
        <v>6615525.6799999997</v>
      </c>
      <c r="F147" s="115">
        <v>1</v>
      </c>
      <c r="G147" s="115">
        <v>0</v>
      </c>
      <c r="H147" s="22">
        <v>6000000</v>
      </c>
      <c r="I147" s="115">
        <f>F147*H147</f>
        <v>6000000</v>
      </c>
      <c r="J147" s="117">
        <v>0</v>
      </c>
      <c r="K147" s="117">
        <v>0</v>
      </c>
      <c r="L147" s="117">
        <v>0</v>
      </c>
      <c r="M147" s="23">
        <f t="shared" si="106"/>
        <v>0</v>
      </c>
      <c r="N147" s="54">
        <f>E147-J147</f>
        <v>6615525.6799999997</v>
      </c>
      <c r="O147" s="117">
        <f>H147+N147</f>
        <v>12615525.68</v>
      </c>
      <c r="P147" s="23">
        <v>0</v>
      </c>
      <c r="Q147" s="23">
        <f>IFERROR(VLOOKUP(A147,lauzti_līg!A:H,8,FALSE),0)</f>
        <v>0</v>
      </c>
      <c r="R147" s="23">
        <f t="shared" si="110"/>
        <v>0</v>
      </c>
      <c r="S147" s="23">
        <f>R147-M147</f>
        <v>0</v>
      </c>
      <c r="T147" s="117">
        <v>0</v>
      </c>
      <c r="U147" s="23">
        <f>IFERROR(VLOOKUP(A147,Nosl_līg!A:H,8,FALSE),0)</f>
        <v>0</v>
      </c>
      <c r="V147" s="23">
        <f>U147-J147</f>
        <v>0</v>
      </c>
      <c r="W147" s="23">
        <f>O147-S147-V147</f>
        <v>12615525.68</v>
      </c>
      <c r="X147" s="23">
        <f>IF(N147&gt;=S147+V147,N147-S147-V147,0)</f>
        <v>6615525.6799999997</v>
      </c>
      <c r="Y147" s="23">
        <f t="shared" si="109"/>
        <v>0</v>
      </c>
      <c r="Z147" s="23">
        <f>IF(H147=0,0, IF(U147-E147+R147-M147&lt;0, 0, U147-E147+R147-M147))</f>
        <v>0</v>
      </c>
      <c r="AA147" s="23" t="e">
        <f>VLOOKUP(A147,#REF!,63,FALSE)/F147+T147</f>
        <v>#REF!</v>
      </c>
      <c r="AB147" s="69">
        <f t="shared" si="107"/>
        <v>0</v>
      </c>
    </row>
    <row r="148" spans="1:28" ht="16.5">
      <c r="A148" s="19" t="s">
        <v>76</v>
      </c>
      <c r="B148" s="20" t="s">
        <v>533</v>
      </c>
      <c r="C148" s="21" t="s">
        <v>55</v>
      </c>
      <c r="D148" s="21" t="s">
        <v>137</v>
      </c>
      <c r="E148" s="271">
        <v>3407288.67</v>
      </c>
      <c r="F148" s="114">
        <v>1</v>
      </c>
      <c r="G148" s="115"/>
      <c r="H148" s="22">
        <v>0</v>
      </c>
      <c r="I148" s="115">
        <f>F148*H148</f>
        <v>0</v>
      </c>
      <c r="J148" s="117">
        <v>0</v>
      </c>
      <c r="K148" s="117">
        <v>0</v>
      </c>
      <c r="L148" s="117">
        <v>0</v>
      </c>
      <c r="M148" s="23">
        <f t="shared" si="106"/>
        <v>0</v>
      </c>
      <c r="N148" s="54">
        <f>E148-J148</f>
        <v>3407288.67</v>
      </c>
      <c r="O148" s="117">
        <f>H148+N148</f>
        <v>3407288.67</v>
      </c>
      <c r="P148" s="23">
        <v>1516</v>
      </c>
      <c r="Q148" s="23">
        <f>IFERROR(VLOOKUP(A148,lauzti_līg!A:H,8,FALSE),0)</f>
        <v>0</v>
      </c>
      <c r="R148" s="23">
        <f t="shared" si="110"/>
        <v>1516</v>
      </c>
      <c r="S148" s="23">
        <f>R148-M148</f>
        <v>1516</v>
      </c>
      <c r="T148" s="117">
        <v>0</v>
      </c>
      <c r="U148" s="23">
        <f>IFERROR(VLOOKUP(A148,Nosl_līg!A:H,8,FALSE),0)</f>
        <v>3237833.31</v>
      </c>
      <c r="V148" s="23">
        <f>U148-J148</f>
        <v>3237833.31</v>
      </c>
      <c r="W148" s="23">
        <f>O148-S148-V148</f>
        <v>167939.35999999987</v>
      </c>
      <c r="X148" s="23">
        <f>IF(N148&gt;=S148+V148,N148-S148-V148,0)</f>
        <v>167939.35999999987</v>
      </c>
      <c r="Y148" s="23">
        <f t="shared" si="109"/>
        <v>3239349.31</v>
      </c>
      <c r="Z148" s="23">
        <f>IF(H148=0,0, IF(U148-E148+R148-M148&lt;0, 0, U148-E148+R148-M148))</f>
        <v>0</v>
      </c>
      <c r="AA148" s="23" t="e">
        <f>VLOOKUP(A148,#REF!,63,FALSE)/F148+T148</f>
        <v>#REF!</v>
      </c>
      <c r="AB148" s="69" t="e">
        <f t="shared" si="107"/>
        <v>#DIV/0!</v>
      </c>
    </row>
    <row r="149" spans="1:28" ht="33">
      <c r="A149" s="14" t="s">
        <v>190</v>
      </c>
      <c r="B149" s="15" t="s">
        <v>489</v>
      </c>
      <c r="C149" s="16" t="s">
        <v>55</v>
      </c>
      <c r="D149" s="16" t="s">
        <v>139</v>
      </c>
      <c r="E149" s="270">
        <f t="shared" ref="E149:U150" si="111">E150</f>
        <v>16153989.300000001</v>
      </c>
      <c r="F149" s="113"/>
      <c r="G149" s="113">
        <f t="shared" si="111"/>
        <v>0</v>
      </c>
      <c r="H149" s="17">
        <f t="shared" si="111"/>
        <v>0</v>
      </c>
      <c r="I149" s="113">
        <f t="shared" si="111"/>
        <v>0</v>
      </c>
      <c r="J149" s="113">
        <f t="shared" si="111"/>
        <v>14846609</v>
      </c>
      <c r="K149" s="113">
        <f t="shared" si="111"/>
        <v>83990.25</v>
      </c>
      <c r="L149" s="113">
        <f t="shared" si="111"/>
        <v>0</v>
      </c>
      <c r="M149" s="17">
        <f t="shared" si="111"/>
        <v>83990.25</v>
      </c>
      <c r="N149" s="53">
        <f t="shared" si="111"/>
        <v>1307380.3000000007</v>
      </c>
      <c r="O149" s="113">
        <f t="shared" si="111"/>
        <v>1307380.3000000007</v>
      </c>
      <c r="P149" s="17">
        <v>89490</v>
      </c>
      <c r="Q149" s="17">
        <f t="shared" si="111"/>
        <v>0</v>
      </c>
      <c r="R149" s="17">
        <f t="shared" si="110"/>
        <v>89490</v>
      </c>
      <c r="S149" s="17">
        <f t="shared" si="111"/>
        <v>5499.75</v>
      </c>
      <c r="T149" s="113">
        <v>30.679999999993015</v>
      </c>
      <c r="U149" s="17">
        <f t="shared" si="111"/>
        <v>16067534.68</v>
      </c>
      <c r="V149" s="17">
        <f t="shared" ref="V149:AA150" si="112">V150</f>
        <v>1220925.6799999997</v>
      </c>
      <c r="W149" s="17">
        <f t="shared" si="112"/>
        <v>80954.870000001043</v>
      </c>
      <c r="X149" s="17">
        <f t="shared" si="112"/>
        <v>80954.870000001043</v>
      </c>
      <c r="Y149" s="17">
        <f t="shared" si="109"/>
        <v>1226425.4299999997</v>
      </c>
      <c r="Z149" s="17">
        <f t="shared" si="112"/>
        <v>0</v>
      </c>
      <c r="AA149" s="17" t="e">
        <f t="shared" si="112"/>
        <v>#REF!</v>
      </c>
      <c r="AB149" s="68" t="e">
        <f t="shared" si="107"/>
        <v>#DIV/0!</v>
      </c>
    </row>
    <row r="150" spans="1:28" ht="49.5">
      <c r="A150" s="14" t="s">
        <v>154</v>
      </c>
      <c r="B150" s="15" t="s">
        <v>534</v>
      </c>
      <c r="C150" s="16" t="s">
        <v>55</v>
      </c>
      <c r="D150" s="16" t="s">
        <v>139</v>
      </c>
      <c r="E150" s="270">
        <f t="shared" si="111"/>
        <v>16153989.300000001</v>
      </c>
      <c r="F150" s="113"/>
      <c r="G150" s="113">
        <f t="shared" si="111"/>
        <v>0</v>
      </c>
      <c r="H150" s="17">
        <f t="shared" si="111"/>
        <v>0</v>
      </c>
      <c r="I150" s="113">
        <f t="shared" si="111"/>
        <v>0</v>
      </c>
      <c r="J150" s="113">
        <f t="shared" si="111"/>
        <v>14846609</v>
      </c>
      <c r="K150" s="113">
        <f t="shared" si="111"/>
        <v>83990.25</v>
      </c>
      <c r="L150" s="113">
        <f t="shared" si="111"/>
        <v>0</v>
      </c>
      <c r="M150" s="17">
        <f t="shared" si="111"/>
        <v>83990.25</v>
      </c>
      <c r="N150" s="53">
        <f t="shared" si="111"/>
        <v>1307380.3000000007</v>
      </c>
      <c r="O150" s="113">
        <f t="shared" si="111"/>
        <v>1307380.3000000007</v>
      </c>
      <c r="P150" s="17">
        <v>89490</v>
      </c>
      <c r="Q150" s="17">
        <f t="shared" si="111"/>
        <v>0</v>
      </c>
      <c r="R150" s="17">
        <f t="shared" si="110"/>
        <v>89490</v>
      </c>
      <c r="S150" s="17">
        <f t="shared" si="111"/>
        <v>5499.75</v>
      </c>
      <c r="T150" s="113">
        <v>30.679999999993015</v>
      </c>
      <c r="U150" s="17">
        <f t="shared" si="111"/>
        <v>16067534.68</v>
      </c>
      <c r="V150" s="17">
        <f t="shared" si="112"/>
        <v>1220925.6799999997</v>
      </c>
      <c r="W150" s="17">
        <f t="shared" si="112"/>
        <v>80954.870000001043</v>
      </c>
      <c r="X150" s="17">
        <f t="shared" si="112"/>
        <v>80954.870000001043</v>
      </c>
      <c r="Y150" s="17">
        <f t="shared" si="109"/>
        <v>1226425.4299999997</v>
      </c>
      <c r="Z150" s="17">
        <f t="shared" si="112"/>
        <v>0</v>
      </c>
      <c r="AA150" s="17" t="e">
        <f t="shared" si="112"/>
        <v>#REF!</v>
      </c>
      <c r="AB150" s="68" t="e">
        <f t="shared" si="107"/>
        <v>#DIV/0!</v>
      </c>
    </row>
    <row r="151" spans="1:28" ht="49.5">
      <c r="A151" s="19" t="s">
        <v>191</v>
      </c>
      <c r="B151" s="20" t="s">
        <v>491</v>
      </c>
      <c r="C151" s="21" t="s">
        <v>55</v>
      </c>
      <c r="D151" s="21" t="s">
        <v>139</v>
      </c>
      <c r="E151" s="269">
        <f>VLOOKUP($A151,publ_fin!$A:$I,8,FALSE)</f>
        <v>16153989.300000001</v>
      </c>
      <c r="F151" s="114">
        <v>1</v>
      </c>
      <c r="G151" s="116"/>
      <c r="H151" s="23">
        <v>0</v>
      </c>
      <c r="I151" s="115">
        <f>F151*H151</f>
        <v>0</v>
      </c>
      <c r="J151" s="117">
        <v>14846609</v>
      </c>
      <c r="K151" s="117">
        <v>83990.25</v>
      </c>
      <c r="L151" s="117">
        <v>0</v>
      </c>
      <c r="M151" s="18">
        <f t="shared" si="106"/>
        <v>83990.25</v>
      </c>
      <c r="N151" s="54">
        <f>E151-J151</f>
        <v>1307380.3000000007</v>
      </c>
      <c r="O151" s="116">
        <f>H151+N151</f>
        <v>1307380.3000000007</v>
      </c>
      <c r="P151" s="23">
        <v>89490</v>
      </c>
      <c r="Q151" s="23">
        <f>IFERROR(VLOOKUP(A151,lauzti_līg!A:H,8,FALSE),0)</f>
        <v>0</v>
      </c>
      <c r="R151" s="18">
        <f t="shared" si="110"/>
        <v>89490</v>
      </c>
      <c r="S151" s="18">
        <f>R151-M151</f>
        <v>5499.75</v>
      </c>
      <c r="T151" s="116">
        <v>30.679999999993015</v>
      </c>
      <c r="U151" s="23">
        <f>IFERROR(VLOOKUP(A151,Nosl_līg!A:H,8,FALSE),0)</f>
        <v>16067534.68</v>
      </c>
      <c r="V151" s="18">
        <f>U151-J151</f>
        <v>1220925.6799999997</v>
      </c>
      <c r="W151" s="18">
        <f>O151-S151-V151</f>
        <v>80954.870000001043</v>
      </c>
      <c r="X151" s="18">
        <f>IF(N151&gt;=S151+V151,N151-S151-V151,0)</f>
        <v>80954.870000001043</v>
      </c>
      <c r="Y151" s="18">
        <f t="shared" si="109"/>
        <v>1226425.4299999997</v>
      </c>
      <c r="Z151" s="18">
        <f>IF(H151=0,0, IF(U151-E151+R151-M151&lt;0, 0, U151-E151+R151-M151))</f>
        <v>0</v>
      </c>
      <c r="AA151" s="23" t="e">
        <f>VLOOKUP(A151,#REF!,63,FALSE)/F151+T151</f>
        <v>#REF!</v>
      </c>
      <c r="AB151" s="70" t="e">
        <f t="shared" si="107"/>
        <v>#DIV/0!</v>
      </c>
    </row>
    <row r="152" spans="1:28" ht="51.75">
      <c r="A152" s="34">
        <v>3</v>
      </c>
      <c r="B152" s="35" t="s">
        <v>535</v>
      </c>
      <c r="C152" s="36" t="s">
        <v>625</v>
      </c>
      <c r="D152" s="36" t="s">
        <v>1</v>
      </c>
      <c r="E152" s="274">
        <f t="shared" ref="E152:AA152" si="113">E153+E154</f>
        <v>2380249145.25</v>
      </c>
      <c r="F152" s="119"/>
      <c r="G152" s="119">
        <f t="shared" si="113"/>
        <v>0</v>
      </c>
      <c r="H152" s="13">
        <f t="shared" si="113"/>
        <v>184834626</v>
      </c>
      <c r="I152" s="119">
        <f t="shared" si="113"/>
        <v>176189346.83237967</v>
      </c>
      <c r="J152" s="119">
        <f t="shared" si="113"/>
        <v>2020277041.8499999</v>
      </c>
      <c r="K152" s="119">
        <f t="shared" si="113"/>
        <v>4885795.04</v>
      </c>
      <c r="L152" s="119">
        <f t="shared" si="113"/>
        <v>24398859.669999998</v>
      </c>
      <c r="M152" s="37">
        <f t="shared" si="113"/>
        <v>29284654.709999997</v>
      </c>
      <c r="N152" s="55">
        <f t="shared" si="113"/>
        <v>359972103.4000001</v>
      </c>
      <c r="O152" s="119">
        <f t="shared" si="113"/>
        <v>544806729.4000001</v>
      </c>
      <c r="P152" s="37">
        <v>28013414</v>
      </c>
      <c r="Q152" s="37">
        <f t="shared" si="113"/>
        <v>36284365.450000003</v>
      </c>
      <c r="R152" s="37">
        <f t="shared" si="110"/>
        <v>64297779.450000003</v>
      </c>
      <c r="S152" s="37">
        <f t="shared" ref="S152:U152" si="114">S153+S154</f>
        <v>35013124.739999995</v>
      </c>
      <c r="T152" s="119">
        <v>11574724.890000001</v>
      </c>
      <c r="U152" s="37">
        <f t="shared" si="114"/>
        <v>2314280127.7199998</v>
      </c>
      <c r="V152" s="37">
        <f t="shared" si="113"/>
        <v>294003085.87000024</v>
      </c>
      <c r="W152" s="37">
        <f t="shared" si="113"/>
        <v>215790518.78999981</v>
      </c>
      <c r="X152" s="37">
        <f t="shared" si="113"/>
        <v>169716653.03999984</v>
      </c>
      <c r="Y152" s="37">
        <f t="shared" si="109"/>
        <v>329016210.61000025</v>
      </c>
      <c r="Z152" s="37">
        <f t="shared" si="113"/>
        <v>156726101.62000003</v>
      </c>
      <c r="AA152" s="37" t="e">
        <f t="shared" si="113"/>
        <v>#REF!</v>
      </c>
      <c r="AB152" s="71">
        <f t="shared" si="107"/>
        <v>0.84792608945468928</v>
      </c>
    </row>
    <row r="153" spans="1:28">
      <c r="A153" s="34">
        <v>3</v>
      </c>
      <c r="B153" s="35" t="s">
        <v>536</v>
      </c>
      <c r="C153" s="36" t="s">
        <v>55</v>
      </c>
      <c r="D153" s="36" t="s">
        <v>1</v>
      </c>
      <c r="E153" s="274">
        <f t="shared" ref="E153:AA153" si="115">E155+E186+E214+E251+E257</f>
        <v>1232215718.8999999</v>
      </c>
      <c r="F153" s="119"/>
      <c r="G153" s="119">
        <f t="shared" si="115"/>
        <v>0</v>
      </c>
      <c r="H153" s="37">
        <f t="shared" si="115"/>
        <v>149867142</v>
      </c>
      <c r="I153" s="119">
        <f t="shared" si="115"/>
        <v>145929676.04118851</v>
      </c>
      <c r="J153" s="119">
        <f t="shared" si="115"/>
        <v>1009116030.48</v>
      </c>
      <c r="K153" s="119">
        <f t="shared" si="115"/>
        <v>4440852.92</v>
      </c>
      <c r="L153" s="119">
        <f t="shared" si="115"/>
        <v>21353859.669999998</v>
      </c>
      <c r="M153" s="37">
        <f t="shared" si="115"/>
        <v>25794712.589999996</v>
      </c>
      <c r="N153" s="55">
        <f t="shared" si="115"/>
        <v>223099688.41999996</v>
      </c>
      <c r="O153" s="119">
        <f t="shared" si="115"/>
        <v>372966830.41999996</v>
      </c>
      <c r="P153" s="37">
        <v>23342535</v>
      </c>
      <c r="Q153" s="37">
        <f t="shared" si="115"/>
        <v>27683148.309999999</v>
      </c>
      <c r="R153" s="37">
        <f t="shared" si="110"/>
        <v>51025683.310000002</v>
      </c>
      <c r="S153" s="37">
        <f t="shared" ref="S153:U153" si="116">S155+S186+S214+S251+S257</f>
        <v>25230970.719999999</v>
      </c>
      <c r="T153" s="119">
        <v>6105036.2999999998</v>
      </c>
      <c r="U153" s="37">
        <f t="shared" si="116"/>
        <v>1293553215</v>
      </c>
      <c r="V153" s="37">
        <f t="shared" si="115"/>
        <v>284437184.52000004</v>
      </c>
      <c r="W153" s="37">
        <f t="shared" si="115"/>
        <v>63298675.179999851</v>
      </c>
      <c r="X153" s="37">
        <f t="shared" si="115"/>
        <v>29439139.039999887</v>
      </c>
      <c r="Y153" s="37">
        <f t="shared" si="109"/>
        <v>309668155.24000013</v>
      </c>
      <c r="Z153" s="37">
        <f t="shared" si="115"/>
        <v>134159049.42000003</v>
      </c>
      <c r="AA153" s="37" t="e">
        <f t="shared" si="115"/>
        <v>#REF!</v>
      </c>
      <c r="AB153" s="71">
        <f t="shared" si="107"/>
        <v>0.89518654742878889</v>
      </c>
    </row>
    <row r="154" spans="1:28">
      <c r="A154" s="34">
        <v>3</v>
      </c>
      <c r="B154" s="35" t="s">
        <v>537</v>
      </c>
      <c r="C154" s="36" t="s">
        <v>142</v>
      </c>
      <c r="D154" s="36" t="s">
        <v>1</v>
      </c>
      <c r="E154" s="274">
        <f t="shared" ref="E154:AA154" si="117">E204+E235+E260</f>
        <v>1148033426.3499999</v>
      </c>
      <c r="F154" s="119"/>
      <c r="G154" s="119">
        <f t="shared" si="117"/>
        <v>0</v>
      </c>
      <c r="H154" s="37">
        <f t="shared" si="117"/>
        <v>34967484</v>
      </c>
      <c r="I154" s="119">
        <f t="shared" si="117"/>
        <v>30259670.791191168</v>
      </c>
      <c r="J154" s="119">
        <f t="shared" si="117"/>
        <v>1011161011.3699999</v>
      </c>
      <c r="K154" s="119">
        <f t="shared" si="117"/>
        <v>444942.12000000005</v>
      </c>
      <c r="L154" s="119">
        <f t="shared" si="117"/>
        <v>3045000</v>
      </c>
      <c r="M154" s="37">
        <f t="shared" si="117"/>
        <v>3489942.1199999996</v>
      </c>
      <c r="N154" s="55">
        <f t="shared" si="117"/>
        <v>136872414.98000014</v>
      </c>
      <c r="O154" s="119">
        <f t="shared" si="117"/>
        <v>171839898.98000014</v>
      </c>
      <c r="P154" s="37">
        <v>4670879</v>
      </c>
      <c r="Q154" s="37">
        <f t="shared" si="117"/>
        <v>8601217.1400000006</v>
      </c>
      <c r="R154" s="37">
        <f t="shared" si="110"/>
        <v>13272096.140000001</v>
      </c>
      <c r="S154" s="37">
        <f t="shared" ref="S154:U154" si="118">S204+S235+S260</f>
        <v>9782154.0199999996</v>
      </c>
      <c r="T154" s="119">
        <v>5469688.5899999999</v>
      </c>
      <c r="U154" s="37">
        <f t="shared" si="118"/>
        <v>1020726912.7199999</v>
      </c>
      <c r="V154" s="37">
        <f t="shared" si="117"/>
        <v>9565901.3500001766</v>
      </c>
      <c r="W154" s="37">
        <f t="shared" si="117"/>
        <v>152491843.60999995</v>
      </c>
      <c r="X154" s="37">
        <f t="shared" si="117"/>
        <v>140277513.99999997</v>
      </c>
      <c r="Y154" s="37">
        <f t="shared" si="109"/>
        <v>19348055.370000184</v>
      </c>
      <c r="Z154" s="37">
        <f t="shared" si="117"/>
        <v>22567052.200000007</v>
      </c>
      <c r="AA154" s="37" t="e">
        <f t="shared" si="117"/>
        <v>#REF!</v>
      </c>
      <c r="AB154" s="71">
        <f t="shared" si="107"/>
        <v>0.64537248948194292</v>
      </c>
    </row>
    <row r="155" spans="1:28" ht="49.5">
      <c r="A155" s="14" t="s">
        <v>77</v>
      </c>
      <c r="B155" s="15" t="s">
        <v>538</v>
      </c>
      <c r="C155" s="16" t="s">
        <v>55</v>
      </c>
      <c r="D155" s="16" t="s">
        <v>1</v>
      </c>
      <c r="E155" s="270">
        <f t="shared" ref="E155:AA155" si="119">E156+E159+E162+E168+E178</f>
        <v>377454780.53999996</v>
      </c>
      <c r="F155" s="113"/>
      <c r="G155" s="113">
        <f t="shared" si="119"/>
        <v>0</v>
      </c>
      <c r="H155" s="17">
        <f t="shared" si="119"/>
        <v>38871547</v>
      </c>
      <c r="I155" s="113">
        <f t="shared" si="119"/>
        <v>37662541.689069822</v>
      </c>
      <c r="J155" s="113">
        <f t="shared" si="119"/>
        <v>334033683.68999994</v>
      </c>
      <c r="K155" s="113">
        <f t="shared" si="119"/>
        <v>1854661.54</v>
      </c>
      <c r="L155" s="113">
        <f t="shared" si="119"/>
        <v>9172578.2899999991</v>
      </c>
      <c r="M155" s="17">
        <f t="shared" si="119"/>
        <v>11027239.83</v>
      </c>
      <c r="N155" s="53">
        <f t="shared" si="119"/>
        <v>43421096.850000031</v>
      </c>
      <c r="O155" s="113">
        <f t="shared" si="119"/>
        <v>82292643.850000024</v>
      </c>
      <c r="P155" s="17">
        <v>9435988</v>
      </c>
      <c r="Q155" s="17">
        <f t="shared" si="119"/>
        <v>9262031.129999999</v>
      </c>
      <c r="R155" s="17">
        <f t="shared" si="110"/>
        <v>18698019.129999999</v>
      </c>
      <c r="S155" s="17">
        <f t="shared" ref="S155:U155" si="120">S156+S159+S162+S168+S178</f>
        <v>7670779.3000000007</v>
      </c>
      <c r="T155" s="113">
        <v>1059956.6599999997</v>
      </c>
      <c r="U155" s="17">
        <f t="shared" si="120"/>
        <v>398869457.64999998</v>
      </c>
      <c r="V155" s="17">
        <f t="shared" si="119"/>
        <v>64835773.960000031</v>
      </c>
      <c r="W155" s="17">
        <f t="shared" si="119"/>
        <v>9786090.5899999961</v>
      </c>
      <c r="X155" s="17">
        <f t="shared" si="119"/>
        <v>1378160.9600000028</v>
      </c>
      <c r="Y155" s="17">
        <f t="shared" si="109"/>
        <v>72506553.26000002</v>
      </c>
      <c r="Z155" s="17">
        <f t="shared" si="119"/>
        <v>40392061.750000007</v>
      </c>
      <c r="AA155" s="17" t="e">
        <f t="shared" si="119"/>
        <v>#REF!</v>
      </c>
      <c r="AB155" s="68">
        <f t="shared" si="107"/>
        <v>1.0391163940555288</v>
      </c>
    </row>
    <row r="156" spans="1:28" ht="33">
      <c r="A156" s="14" t="s">
        <v>78</v>
      </c>
      <c r="B156" s="15" t="s">
        <v>539</v>
      </c>
      <c r="C156" s="16" t="s">
        <v>55</v>
      </c>
      <c r="D156" s="16" t="s">
        <v>5</v>
      </c>
      <c r="E156" s="270">
        <f t="shared" ref="E156:AA156" si="121">E157+E158</f>
        <v>62303525.409999996</v>
      </c>
      <c r="F156" s="113"/>
      <c r="G156" s="113">
        <f t="shared" si="121"/>
        <v>0</v>
      </c>
      <c r="H156" s="17">
        <f t="shared" si="121"/>
        <v>18661895</v>
      </c>
      <c r="I156" s="113">
        <f t="shared" si="121"/>
        <v>18661895</v>
      </c>
      <c r="J156" s="113">
        <f t="shared" si="121"/>
        <v>21529891.170000002</v>
      </c>
      <c r="K156" s="113">
        <f t="shared" si="121"/>
        <v>995711.84</v>
      </c>
      <c r="L156" s="113">
        <f t="shared" si="121"/>
        <v>0</v>
      </c>
      <c r="M156" s="17">
        <f t="shared" si="121"/>
        <v>995711.84</v>
      </c>
      <c r="N156" s="53">
        <f t="shared" si="121"/>
        <v>40773634.239999995</v>
      </c>
      <c r="O156" s="113">
        <f t="shared" si="121"/>
        <v>59435529.239999995</v>
      </c>
      <c r="P156" s="17">
        <v>5300946</v>
      </c>
      <c r="Q156" s="17">
        <f t="shared" si="121"/>
        <v>0</v>
      </c>
      <c r="R156" s="17">
        <f t="shared" si="110"/>
        <v>5300946</v>
      </c>
      <c r="S156" s="17">
        <f t="shared" ref="S156:U156" si="122">S157+S158</f>
        <v>4305234.16</v>
      </c>
      <c r="T156" s="113">
        <v>284723.5500000001</v>
      </c>
      <c r="U156" s="17">
        <f t="shared" si="122"/>
        <v>68221741.810000002</v>
      </c>
      <c r="V156" s="17">
        <f t="shared" si="121"/>
        <v>46691850.640000001</v>
      </c>
      <c r="W156" s="17">
        <f t="shared" si="121"/>
        <v>8438444.439999992</v>
      </c>
      <c r="X156" s="17">
        <f t="shared" si="121"/>
        <v>58187.010000000009</v>
      </c>
      <c r="Y156" s="17">
        <f t="shared" si="109"/>
        <v>50997084.800000004</v>
      </c>
      <c r="Z156" s="17">
        <f t="shared" si="121"/>
        <v>21173751.570000004</v>
      </c>
      <c r="AA156" s="17" t="e">
        <f t="shared" si="121"/>
        <v>#REF!</v>
      </c>
      <c r="AB156" s="68">
        <f t="shared" si="107"/>
        <v>1.1345981514738992</v>
      </c>
    </row>
    <row r="157" spans="1:28" ht="82.5">
      <c r="A157" s="19" t="s">
        <v>315</v>
      </c>
      <c r="B157" s="20" t="s">
        <v>644</v>
      </c>
      <c r="C157" s="21" t="s">
        <v>55</v>
      </c>
      <c r="D157" s="21" t="s">
        <v>5</v>
      </c>
      <c r="E157" s="271">
        <f>VLOOKUP($A157,publ_fin!$A:$I,8,FALSE)</f>
        <v>59988195.259999998</v>
      </c>
      <c r="F157" s="114">
        <v>1</v>
      </c>
      <c r="G157" s="115"/>
      <c r="H157" s="22">
        <v>18661895</v>
      </c>
      <c r="I157" s="115">
        <f>F157*H157</f>
        <v>18661895</v>
      </c>
      <c r="J157" s="117">
        <f>63120528.17-43905965</f>
        <v>19214563.170000002</v>
      </c>
      <c r="K157" s="117">
        <v>995711.84</v>
      </c>
      <c r="L157" s="117">
        <v>0</v>
      </c>
      <c r="M157" s="23">
        <f t="shared" si="106"/>
        <v>995711.84</v>
      </c>
      <c r="N157" s="54">
        <f>E157-J157</f>
        <v>40773632.089999996</v>
      </c>
      <c r="O157" s="117">
        <f>H157+N157</f>
        <v>59435527.089999996</v>
      </c>
      <c r="P157" s="23">
        <v>5112363</v>
      </c>
      <c r="Q157" s="23">
        <f>IF(IFERROR(VLOOKUP(A157,lauzti_līg!A:H,8,FALSE),0)-43905965&lt;0,0,IFERROR(VLOOKUP(A157,lauzti_līg!A:H,8,FALSE),0)-43905965)</f>
        <v>0</v>
      </c>
      <c r="R157" s="23">
        <f t="shared" si="110"/>
        <v>5112363</v>
      </c>
      <c r="S157" s="23">
        <f>R157-M157</f>
        <v>4116651.16</v>
      </c>
      <c r="T157" s="117">
        <v>76830.990000000107</v>
      </c>
      <c r="U157" s="23">
        <f>IFERROR(VLOOKUP(A157,Nosl_līg!A:H,8,FALSE),0)</f>
        <v>66153181.670000002</v>
      </c>
      <c r="V157" s="23">
        <f>U157-J157</f>
        <v>46938618.5</v>
      </c>
      <c r="W157" s="23">
        <f>O157-S157-V157</f>
        <v>8380257.4299999923</v>
      </c>
      <c r="X157" s="23">
        <f>IF(N157&gt;=S157+V157,N157-S157-V157,0)</f>
        <v>0</v>
      </c>
      <c r="Y157" s="23">
        <f t="shared" si="109"/>
        <v>51055269.660000004</v>
      </c>
      <c r="Z157" s="23">
        <f>IF(H157=0,0, IF(U157-E157+R157-M157&lt;0, 0, U157-E157+R157-M157))+10892114</f>
        <v>21173751.570000004</v>
      </c>
      <c r="AA157" s="23" t="e">
        <f>VLOOKUP(A157,#REF!,63,FALSE)/F157+T157</f>
        <v>#REF!</v>
      </c>
      <c r="AB157" s="69">
        <f t="shared" si="107"/>
        <v>1.1345981514738992</v>
      </c>
    </row>
    <row r="158" spans="1:28" ht="82.5">
      <c r="A158" s="19" t="s">
        <v>79</v>
      </c>
      <c r="B158" s="20" t="s">
        <v>540</v>
      </c>
      <c r="C158" s="21" t="s">
        <v>55</v>
      </c>
      <c r="D158" s="21" t="s">
        <v>5</v>
      </c>
      <c r="E158" s="271">
        <f>VLOOKUP($A158,publ_fin!$A:$I,8,FALSE)</f>
        <v>2315330.15</v>
      </c>
      <c r="F158" s="114">
        <v>0.8499999103799516</v>
      </c>
      <c r="G158" s="115"/>
      <c r="H158" s="22">
        <v>0</v>
      </c>
      <c r="I158" s="115">
        <f>F158*H158</f>
        <v>0</v>
      </c>
      <c r="J158" s="117">
        <v>2315328</v>
      </c>
      <c r="K158" s="117">
        <v>0</v>
      </c>
      <c r="L158" s="117">
        <v>0</v>
      </c>
      <c r="M158" s="23">
        <f t="shared" si="106"/>
        <v>0</v>
      </c>
      <c r="N158" s="54">
        <f>E158-J158</f>
        <v>2.1499999999068677</v>
      </c>
      <c r="O158" s="117">
        <f>H158+N158</f>
        <v>2.1499999999068677</v>
      </c>
      <c r="P158" s="23">
        <v>188583</v>
      </c>
      <c r="Q158" s="23">
        <f>IFERROR(VLOOKUP(A158,lauzti_līg!A:H,8,FALSE),0)</f>
        <v>0</v>
      </c>
      <c r="R158" s="23">
        <f t="shared" si="110"/>
        <v>188583</v>
      </c>
      <c r="S158" s="23">
        <f>R158-M158</f>
        <v>188583</v>
      </c>
      <c r="T158" s="117">
        <v>207892.56</v>
      </c>
      <c r="U158" s="23">
        <f>IFERROR(VLOOKUP(A158,Nosl_līg!A:H,8,FALSE),0)</f>
        <v>2068560.14</v>
      </c>
      <c r="V158" s="23">
        <f>U158-J158</f>
        <v>-246767.8600000001</v>
      </c>
      <c r="W158" s="23">
        <f>O158-S158-V158</f>
        <v>58187.010000000009</v>
      </c>
      <c r="X158" s="23">
        <f>IF(N158&gt;=S158+V158,N158-S158-V158,0)</f>
        <v>58187.010000000009</v>
      </c>
      <c r="Y158" s="23">
        <f t="shared" si="109"/>
        <v>-58184.860000000102</v>
      </c>
      <c r="Z158" s="23">
        <f>IF(H158=0,0, IF(U158-E158+R158-M158&lt;0, 0, U158-E158+R158-M158))</f>
        <v>0</v>
      </c>
      <c r="AA158" s="23" t="e">
        <f>VLOOKUP(A158,#REF!,63,FALSE)/F158+T158</f>
        <v>#REF!</v>
      </c>
      <c r="AB158" s="69" t="e">
        <f t="shared" si="107"/>
        <v>#DIV/0!</v>
      </c>
    </row>
    <row r="159" spans="1:28" ht="33">
      <c r="A159" s="14" t="s">
        <v>80</v>
      </c>
      <c r="B159" s="15" t="s">
        <v>541</v>
      </c>
      <c r="C159" s="16" t="s">
        <v>55</v>
      </c>
      <c r="D159" s="16" t="s">
        <v>5</v>
      </c>
      <c r="E159" s="270">
        <f t="shared" ref="E159:AA159" si="123">E160+E161</f>
        <v>92718203.439999998</v>
      </c>
      <c r="F159" s="113"/>
      <c r="G159" s="113">
        <f t="shared" si="123"/>
        <v>0</v>
      </c>
      <c r="H159" s="17">
        <f t="shared" si="123"/>
        <v>0</v>
      </c>
      <c r="I159" s="113">
        <f t="shared" si="123"/>
        <v>0</v>
      </c>
      <c r="J159" s="113">
        <f t="shared" si="123"/>
        <v>92624364</v>
      </c>
      <c r="K159" s="113">
        <f t="shared" si="123"/>
        <v>119671.63</v>
      </c>
      <c r="L159" s="113">
        <f t="shared" si="123"/>
        <v>0</v>
      </c>
      <c r="M159" s="17">
        <f t="shared" si="123"/>
        <v>119671.63</v>
      </c>
      <c r="N159" s="53">
        <f>N160+N161</f>
        <v>93839.439999997616</v>
      </c>
      <c r="O159" s="113">
        <f t="shared" si="123"/>
        <v>93839.439999997616</v>
      </c>
      <c r="P159" s="17">
        <v>409179</v>
      </c>
      <c r="Q159" s="17">
        <f t="shared" si="123"/>
        <v>0</v>
      </c>
      <c r="R159" s="17">
        <f t="shared" si="110"/>
        <v>409179</v>
      </c>
      <c r="S159" s="17">
        <f t="shared" si="123"/>
        <v>289507.37</v>
      </c>
      <c r="T159" s="113">
        <v>194257.93</v>
      </c>
      <c r="U159" s="17">
        <f t="shared" si="123"/>
        <v>92180957.959999993</v>
      </c>
      <c r="V159" s="17">
        <f t="shared" si="123"/>
        <v>-443406.04000000656</v>
      </c>
      <c r="W159" s="17">
        <f t="shared" si="123"/>
        <v>247738.11000000418</v>
      </c>
      <c r="X159" s="17">
        <f t="shared" si="123"/>
        <v>247738.11000000418</v>
      </c>
      <c r="Y159" s="17">
        <f t="shared" si="109"/>
        <v>-153898.67000000656</v>
      </c>
      <c r="Z159" s="17">
        <f t="shared" si="123"/>
        <v>0</v>
      </c>
      <c r="AA159" s="17" t="e">
        <f t="shared" si="123"/>
        <v>#REF!</v>
      </c>
      <c r="AB159" s="68" t="e">
        <f t="shared" si="107"/>
        <v>#DIV/0!</v>
      </c>
    </row>
    <row r="160" spans="1:28" ht="148.5">
      <c r="A160" s="19" t="s">
        <v>81</v>
      </c>
      <c r="B160" s="20" t="s">
        <v>642</v>
      </c>
      <c r="C160" s="21" t="s">
        <v>55</v>
      </c>
      <c r="D160" s="21" t="s">
        <v>5</v>
      </c>
      <c r="E160" s="271">
        <f>VLOOKUP($A160,publ_fin!$A:$I,8,FALSE)</f>
        <v>92718203.439999998</v>
      </c>
      <c r="F160" s="114">
        <v>0.92079400832273073</v>
      </c>
      <c r="G160" s="115"/>
      <c r="H160" s="22">
        <v>0</v>
      </c>
      <c r="I160" s="115">
        <f>F160*H160</f>
        <v>0</v>
      </c>
      <c r="J160" s="117">
        <v>92624364</v>
      </c>
      <c r="K160" s="117">
        <v>119671.63</v>
      </c>
      <c r="L160" s="117">
        <v>0</v>
      </c>
      <c r="M160" s="23">
        <f t="shared" si="106"/>
        <v>119671.63</v>
      </c>
      <c r="N160" s="54">
        <f>E160-J160</f>
        <v>93839.439999997616</v>
      </c>
      <c r="O160" s="115">
        <f>H160+N160</f>
        <v>93839.439999997616</v>
      </c>
      <c r="P160" s="23">
        <v>409179</v>
      </c>
      <c r="Q160" s="23">
        <f>IFERROR(VLOOKUP(A160,lauzti_līg!A:H,8,FALSE),0)</f>
        <v>0</v>
      </c>
      <c r="R160" s="23">
        <f t="shared" si="110"/>
        <v>409179</v>
      </c>
      <c r="S160" s="23">
        <f>R160-M160</f>
        <v>289507.37</v>
      </c>
      <c r="T160" s="117">
        <v>194257.93</v>
      </c>
      <c r="U160" s="23">
        <f>IFERROR(VLOOKUP(A160,Nosl_līg!A:H,8,FALSE),0)</f>
        <v>92180957.959999993</v>
      </c>
      <c r="V160" s="23">
        <f>U160-J160</f>
        <v>-443406.04000000656</v>
      </c>
      <c r="W160" s="23">
        <f>O160-S160-V160</f>
        <v>247738.11000000418</v>
      </c>
      <c r="X160" s="23">
        <f>IF(N160&gt;=S160+V160,N160-S160-V160,0)</f>
        <v>247738.11000000418</v>
      </c>
      <c r="Y160" s="23">
        <f t="shared" si="109"/>
        <v>-153898.67000000656</v>
      </c>
      <c r="Z160" s="23">
        <f>IF(H160=0,0, IF(U160-E160+R160-M160&lt;0, 0, U160-E160+R160-M160))</f>
        <v>0</v>
      </c>
      <c r="AA160" s="23" t="e">
        <f>VLOOKUP(A160,#REF!,63,FALSE)/F160+T160</f>
        <v>#REF!</v>
      </c>
      <c r="AB160" s="69" t="e">
        <f t="shared" si="107"/>
        <v>#DIV/0!</v>
      </c>
    </row>
    <row r="161" spans="1:28" ht="49.5">
      <c r="A161" s="19" t="s">
        <v>82</v>
      </c>
      <c r="B161" s="20" t="s">
        <v>542</v>
      </c>
      <c r="C161" s="21" t="s">
        <v>55</v>
      </c>
      <c r="D161" s="21" t="s">
        <v>5</v>
      </c>
      <c r="E161" s="271">
        <f>VLOOKUP($A161,publ_fin!$A:$I,8,FALSE)</f>
        <v>0</v>
      </c>
      <c r="F161" s="114">
        <v>0</v>
      </c>
      <c r="G161" s="115"/>
      <c r="H161" s="22">
        <v>0</v>
      </c>
      <c r="I161" s="115">
        <f>F161*H161</f>
        <v>0</v>
      </c>
      <c r="J161" s="117">
        <v>0</v>
      </c>
      <c r="K161" s="117">
        <v>0</v>
      </c>
      <c r="L161" s="117">
        <v>0</v>
      </c>
      <c r="M161" s="23">
        <f t="shared" si="106"/>
        <v>0</v>
      </c>
      <c r="N161" s="54">
        <f>E161-J161</f>
        <v>0</v>
      </c>
      <c r="O161" s="117">
        <f>H161+N161</f>
        <v>0</v>
      </c>
      <c r="P161" s="23">
        <v>0</v>
      </c>
      <c r="Q161" s="23">
        <f>IFERROR(VLOOKUP(A161,lauzti_līg!A:H,8,FALSE),0)</f>
        <v>0</v>
      </c>
      <c r="R161" s="23">
        <f t="shared" si="110"/>
        <v>0</v>
      </c>
      <c r="S161" s="23">
        <f>R161-M161</f>
        <v>0</v>
      </c>
      <c r="T161" s="117">
        <v>0</v>
      </c>
      <c r="U161" s="23">
        <f>IFERROR(VLOOKUP(A161,Nosl_līg!A:H,8,FALSE),0)</f>
        <v>0</v>
      </c>
      <c r="V161" s="23">
        <f>U161-J161</f>
        <v>0</v>
      </c>
      <c r="W161" s="23">
        <f>O161-S161-V161</f>
        <v>0</v>
      </c>
      <c r="X161" s="23">
        <f>IF(N161&gt;=S161+V161,N161-S161-V161,0)</f>
        <v>0</v>
      </c>
      <c r="Y161" s="23">
        <f t="shared" si="109"/>
        <v>0</v>
      </c>
      <c r="Z161" s="23">
        <f>IF(H161=0,0, IF(U161-E161+R161-M161&lt;0, 0, U161-E161+R161-M161))</f>
        <v>0</v>
      </c>
      <c r="AA161" s="23">
        <v>0</v>
      </c>
      <c r="AB161" s="69" t="e">
        <f t="shared" si="107"/>
        <v>#DIV/0!</v>
      </c>
    </row>
    <row r="162" spans="1:28" ht="49.5">
      <c r="A162" s="14" t="s">
        <v>83</v>
      </c>
      <c r="B162" s="15" t="s">
        <v>543</v>
      </c>
      <c r="C162" s="16" t="s">
        <v>55</v>
      </c>
      <c r="D162" s="16" t="s">
        <v>5</v>
      </c>
      <c r="E162" s="270">
        <f t="shared" ref="E162:AA162" si="124">E163+E164+E165</f>
        <v>28687926.549999997</v>
      </c>
      <c r="F162" s="113"/>
      <c r="G162" s="113">
        <f t="shared" si="124"/>
        <v>0</v>
      </c>
      <c r="H162" s="17">
        <f t="shared" si="124"/>
        <v>0</v>
      </c>
      <c r="I162" s="113">
        <f t="shared" si="124"/>
        <v>0</v>
      </c>
      <c r="J162" s="113">
        <f t="shared" si="124"/>
        <v>28797611.68</v>
      </c>
      <c r="K162" s="113">
        <f t="shared" si="124"/>
        <v>311329.3</v>
      </c>
      <c r="L162" s="113">
        <f t="shared" si="124"/>
        <v>83633</v>
      </c>
      <c r="M162" s="17">
        <f t="shared" si="124"/>
        <v>394962.3</v>
      </c>
      <c r="N162" s="53">
        <f t="shared" si="124"/>
        <v>-109685.13000000082</v>
      </c>
      <c r="O162" s="113">
        <f t="shared" si="124"/>
        <v>-109685.13000000082</v>
      </c>
      <c r="P162" s="17">
        <v>615900</v>
      </c>
      <c r="Q162" s="17">
        <f t="shared" si="124"/>
        <v>83633</v>
      </c>
      <c r="R162" s="17">
        <f t="shared" si="110"/>
        <v>699533</v>
      </c>
      <c r="S162" s="17">
        <f t="shared" si="124"/>
        <v>304570.7</v>
      </c>
      <c r="T162" s="113">
        <v>56153.829999999987</v>
      </c>
      <c r="U162" s="17">
        <f t="shared" si="124"/>
        <v>28020140.470000003</v>
      </c>
      <c r="V162" s="17">
        <f t="shared" si="124"/>
        <v>-777471.20999999903</v>
      </c>
      <c r="W162" s="17">
        <f t="shared" si="124"/>
        <v>363215.37999999814</v>
      </c>
      <c r="X162" s="17">
        <f t="shared" si="124"/>
        <v>449707.90999999782</v>
      </c>
      <c r="Y162" s="17">
        <f t="shared" si="109"/>
        <v>-472900.50999999896</v>
      </c>
      <c r="Z162" s="17">
        <f t="shared" si="124"/>
        <v>0</v>
      </c>
      <c r="AA162" s="17" t="e">
        <f t="shared" si="124"/>
        <v>#REF!</v>
      </c>
      <c r="AB162" s="68" t="e">
        <f t="shared" si="107"/>
        <v>#DIV/0!</v>
      </c>
    </row>
    <row r="163" spans="1:28" ht="49.5">
      <c r="A163" s="19" t="s">
        <v>181</v>
      </c>
      <c r="B163" s="20" t="s">
        <v>629</v>
      </c>
      <c r="C163" s="21" t="s">
        <v>55</v>
      </c>
      <c r="D163" s="21" t="s">
        <v>5</v>
      </c>
      <c r="E163" s="271">
        <f>VLOOKUP($A163,publ_fin!$A:$I,8,FALSE)</f>
        <v>18045154.739999998</v>
      </c>
      <c r="F163" s="114">
        <v>1</v>
      </c>
      <c r="G163" s="115"/>
      <c r="H163" s="22">
        <v>0</v>
      </c>
      <c r="I163" s="115">
        <f>F163*H163</f>
        <v>0</v>
      </c>
      <c r="J163" s="117">
        <v>18155403.039999999</v>
      </c>
      <c r="K163" s="117">
        <v>195120.72</v>
      </c>
      <c r="L163" s="117">
        <v>0</v>
      </c>
      <c r="M163" s="23">
        <f t="shared" si="106"/>
        <v>195120.72</v>
      </c>
      <c r="N163" s="54">
        <f>E163-J163</f>
        <v>-110248.30000000075</v>
      </c>
      <c r="O163" s="117">
        <f>H163+N163</f>
        <v>-110248.30000000075</v>
      </c>
      <c r="P163" s="23">
        <v>254774</v>
      </c>
      <c r="Q163" s="23">
        <f>IFERROR(VLOOKUP(A163,lauzti_līg!A:H,8,FALSE),0)</f>
        <v>0</v>
      </c>
      <c r="R163" s="23">
        <f t="shared" si="110"/>
        <v>254774</v>
      </c>
      <c r="S163" s="23">
        <f>R163-M163</f>
        <v>59653.279999999999</v>
      </c>
      <c r="T163" s="117">
        <v>23903.01999999999</v>
      </c>
      <c r="U163" s="23">
        <f>IFERROR(VLOOKUP(A163,Nosl_līg!A:H,8,FALSE),0)</f>
        <v>17721766.98</v>
      </c>
      <c r="V163" s="23">
        <f>U163-J163</f>
        <v>-433636.05999999866</v>
      </c>
      <c r="W163" s="23">
        <f>O163-S163-V163</f>
        <v>263734.47999999789</v>
      </c>
      <c r="X163" s="23">
        <f>IF(N163&gt;=S163+V163,N163-S163-V163,0)</f>
        <v>263734.47999999789</v>
      </c>
      <c r="Y163" s="23">
        <f t="shared" si="109"/>
        <v>-373982.77999999863</v>
      </c>
      <c r="Z163" s="23">
        <f>IF(H163=0,0, IF(U163-E163+R163-M163&lt;0, 0, U163-E163+R163-M163))</f>
        <v>0</v>
      </c>
      <c r="AA163" s="23" t="e">
        <f>VLOOKUP(A163,#REF!,63,FALSE)/F163+T163</f>
        <v>#REF!</v>
      </c>
      <c r="AB163" s="69" t="e">
        <f t="shared" si="107"/>
        <v>#DIV/0!</v>
      </c>
    </row>
    <row r="164" spans="1:28" ht="49.5">
      <c r="A164" s="19" t="s">
        <v>84</v>
      </c>
      <c r="B164" s="20" t="s">
        <v>544</v>
      </c>
      <c r="C164" s="21" t="s">
        <v>55</v>
      </c>
      <c r="D164" s="21" t="s">
        <v>5</v>
      </c>
      <c r="E164" s="271">
        <f>VLOOKUP($A164,publ_fin!$A:$I,8,FALSE)</f>
        <v>2226541.4</v>
      </c>
      <c r="F164" s="114">
        <v>1</v>
      </c>
      <c r="G164" s="115"/>
      <c r="H164" s="22">
        <v>0</v>
      </c>
      <c r="I164" s="115">
        <f>F164*H164</f>
        <v>0</v>
      </c>
      <c r="J164" s="117">
        <v>2226540</v>
      </c>
      <c r="K164" s="117">
        <v>756.99</v>
      </c>
      <c r="L164" s="117">
        <v>0</v>
      </c>
      <c r="M164" s="23">
        <f t="shared" si="106"/>
        <v>756.99</v>
      </c>
      <c r="N164" s="54">
        <f>E164-J164</f>
        <v>1.3999999999068677</v>
      </c>
      <c r="O164" s="117">
        <f>H164+N164</f>
        <v>1.3999999999068677</v>
      </c>
      <c r="P164" s="23">
        <v>21972</v>
      </c>
      <c r="Q164" s="23">
        <f>IFERROR(VLOOKUP(A164,lauzti_līg!A:H,8,FALSE),0)</f>
        <v>0</v>
      </c>
      <c r="R164" s="23">
        <f t="shared" si="110"/>
        <v>21972</v>
      </c>
      <c r="S164" s="23">
        <f>R164-M164</f>
        <v>21215.01</v>
      </c>
      <c r="T164" s="117">
        <v>2081.5</v>
      </c>
      <c r="U164" s="23">
        <f>IFERROR(VLOOKUP(A164,Nosl_līg!A:H,8,FALSE),0)</f>
        <v>2221041.0099999998</v>
      </c>
      <c r="V164" s="23">
        <f>U164-J164</f>
        <v>-5498.9900000002235</v>
      </c>
      <c r="W164" s="23">
        <f>O164-S164-V164</f>
        <v>-15714.619999999868</v>
      </c>
      <c r="X164" s="23">
        <f>IF(N164&gt;=S164+V164,N164-S164-V164,0)</f>
        <v>0</v>
      </c>
      <c r="Y164" s="23">
        <f t="shared" si="109"/>
        <v>15716.019999999775</v>
      </c>
      <c r="Z164" s="23">
        <f>IF(H164=0,0, IF(U164-E164+R164-M164&lt;0, 0, U164-E164+R164-M164))</f>
        <v>0</v>
      </c>
      <c r="AA164" s="23" t="e">
        <f>VLOOKUP(A164,#REF!,63,FALSE)/F164+T164</f>
        <v>#REF!</v>
      </c>
      <c r="AB164" s="69" t="e">
        <f t="shared" si="107"/>
        <v>#DIV/0!</v>
      </c>
    </row>
    <row r="165" spans="1:28" ht="82.5">
      <c r="A165" s="19" t="s">
        <v>85</v>
      </c>
      <c r="B165" s="20" t="s">
        <v>545</v>
      </c>
      <c r="C165" s="21" t="s">
        <v>55</v>
      </c>
      <c r="D165" s="21" t="s">
        <v>5</v>
      </c>
      <c r="E165" s="269">
        <f t="shared" ref="E165:AA165" si="125">E166+E167</f>
        <v>8416230.4100000001</v>
      </c>
      <c r="F165" s="116"/>
      <c r="G165" s="116">
        <f t="shared" si="125"/>
        <v>0</v>
      </c>
      <c r="H165" s="23">
        <f t="shared" si="125"/>
        <v>0</v>
      </c>
      <c r="I165" s="116">
        <f t="shared" si="125"/>
        <v>0</v>
      </c>
      <c r="J165" s="116">
        <f t="shared" si="125"/>
        <v>8415668.6400000006</v>
      </c>
      <c r="K165" s="116">
        <f t="shared" si="125"/>
        <v>115451.59</v>
      </c>
      <c r="L165" s="116">
        <f t="shared" si="125"/>
        <v>83633</v>
      </c>
      <c r="M165" s="18">
        <f t="shared" si="125"/>
        <v>199084.59</v>
      </c>
      <c r="N165" s="54">
        <f t="shared" si="125"/>
        <v>561.77000000001863</v>
      </c>
      <c r="O165" s="116">
        <f t="shared" si="125"/>
        <v>561.77000000001863</v>
      </c>
      <c r="P165" s="18">
        <v>339154</v>
      </c>
      <c r="Q165" s="18">
        <f t="shared" si="125"/>
        <v>83633</v>
      </c>
      <c r="R165" s="18">
        <f t="shared" si="110"/>
        <v>422787</v>
      </c>
      <c r="S165" s="18">
        <f t="shared" si="125"/>
        <v>223702.41</v>
      </c>
      <c r="T165" s="116">
        <v>30169.309999999998</v>
      </c>
      <c r="U165" s="18">
        <f t="shared" si="125"/>
        <v>8077332.4799999995</v>
      </c>
      <c r="V165" s="18">
        <f t="shared" si="125"/>
        <v>-338336.16000000015</v>
      </c>
      <c r="W165" s="18">
        <f t="shared" si="125"/>
        <v>115195.52000000016</v>
      </c>
      <c r="X165" s="18">
        <f t="shared" si="125"/>
        <v>185973.42999999996</v>
      </c>
      <c r="Y165" s="18">
        <f t="shared" si="109"/>
        <v>-114633.75000000015</v>
      </c>
      <c r="Z165" s="18">
        <f t="shared" si="125"/>
        <v>0</v>
      </c>
      <c r="AA165" s="18" t="e">
        <f t="shared" si="125"/>
        <v>#REF!</v>
      </c>
      <c r="AB165" s="70" t="e">
        <f t="shared" si="107"/>
        <v>#DIV/0!</v>
      </c>
    </row>
    <row r="166" spans="1:28" ht="49.5">
      <c r="A166" s="19" t="s">
        <v>180</v>
      </c>
      <c r="B166" s="20" t="s">
        <v>546</v>
      </c>
      <c r="C166" s="21" t="s">
        <v>55</v>
      </c>
      <c r="D166" s="21" t="s">
        <v>5</v>
      </c>
      <c r="E166" s="271">
        <f>VLOOKUP($A166,publ_fin!$A:$I,8,FALSE)</f>
        <v>5716032.1399999997</v>
      </c>
      <c r="F166" s="114">
        <v>1</v>
      </c>
      <c r="G166" s="115"/>
      <c r="H166" s="22">
        <v>0</v>
      </c>
      <c r="I166" s="115">
        <f>F166*H166</f>
        <v>0</v>
      </c>
      <c r="J166" s="117">
        <v>5715470.4399999995</v>
      </c>
      <c r="K166" s="117">
        <v>89134.720000000001</v>
      </c>
      <c r="L166" s="117">
        <v>0</v>
      </c>
      <c r="M166" s="23">
        <f t="shared" si="106"/>
        <v>89134.720000000001</v>
      </c>
      <c r="N166" s="54">
        <f>E166-J166</f>
        <v>561.70000000018626</v>
      </c>
      <c r="O166" s="117">
        <f>H166+N166</f>
        <v>561.70000000018626</v>
      </c>
      <c r="P166" s="23">
        <v>140192</v>
      </c>
      <c r="Q166" s="23">
        <f>IFERROR(VLOOKUP(A166,lauzti_līg!A:H,8,FALSE),0)</f>
        <v>0</v>
      </c>
      <c r="R166" s="23">
        <f t="shared" si="110"/>
        <v>140192</v>
      </c>
      <c r="S166" s="23">
        <f>R166-M166</f>
        <v>51057.279999999999</v>
      </c>
      <c r="T166" s="117">
        <v>28673.279999999999</v>
      </c>
      <c r="U166" s="23">
        <f>IFERROR(VLOOKUP(A166,Nosl_līg!A:H,8,FALSE),0)</f>
        <v>5479001.4299999997</v>
      </c>
      <c r="V166" s="23">
        <f>U166-J166</f>
        <v>-236469.00999999978</v>
      </c>
      <c r="W166" s="23">
        <f>O166-S166-V166</f>
        <v>185973.42999999996</v>
      </c>
      <c r="X166" s="23">
        <f>IF(N166&gt;=S166+V166,N166-S166-V166,0)</f>
        <v>185973.42999999996</v>
      </c>
      <c r="Y166" s="23">
        <f t="shared" si="109"/>
        <v>-185411.72999999978</v>
      </c>
      <c r="Z166" s="23">
        <f>IF(H166=0,0, IF(U166-E166+R166-M166&lt;0, 0, U166-E166+R166-M166))</f>
        <v>0</v>
      </c>
      <c r="AA166" s="23" t="e">
        <f>VLOOKUP(A166,#REF!,63,FALSE)/F166+T166</f>
        <v>#REF!</v>
      </c>
      <c r="AB166" s="69" t="e">
        <f t="shared" si="107"/>
        <v>#DIV/0!</v>
      </c>
    </row>
    <row r="167" spans="1:28" ht="66">
      <c r="A167" s="19" t="s">
        <v>173</v>
      </c>
      <c r="B167" s="20" t="s">
        <v>547</v>
      </c>
      <c r="C167" s="21" t="s">
        <v>55</v>
      </c>
      <c r="D167" s="21" t="s">
        <v>5</v>
      </c>
      <c r="E167" s="271">
        <f>VLOOKUP($A167,publ_fin!$A:$I,8,FALSE)</f>
        <v>2700198.27</v>
      </c>
      <c r="F167" s="114">
        <v>1</v>
      </c>
      <c r="G167" s="115"/>
      <c r="H167" s="22">
        <v>0</v>
      </c>
      <c r="I167" s="115">
        <f>F167*H167</f>
        <v>0</v>
      </c>
      <c r="J167" s="117">
        <v>2700198.2</v>
      </c>
      <c r="K167" s="117">
        <v>26316.87</v>
      </c>
      <c r="L167" s="117">
        <v>83633</v>
      </c>
      <c r="M167" s="23">
        <f t="shared" si="106"/>
        <v>109949.87</v>
      </c>
      <c r="N167" s="54">
        <f>E167-J167</f>
        <v>6.9999999832361937E-2</v>
      </c>
      <c r="O167" s="117">
        <f>H167+N167</f>
        <v>6.9999999832361937E-2</v>
      </c>
      <c r="P167" s="23">
        <v>198962</v>
      </c>
      <c r="Q167" s="23">
        <f>IFERROR(VLOOKUP(A167,lauzti_līg!A:H,8,FALSE),0)</f>
        <v>83633</v>
      </c>
      <c r="R167" s="23">
        <f t="shared" si="110"/>
        <v>282595</v>
      </c>
      <c r="S167" s="23">
        <f>R167-M167</f>
        <v>172645.13</v>
      </c>
      <c r="T167" s="117">
        <v>1496.0299999999988</v>
      </c>
      <c r="U167" s="23">
        <f>IFERROR(VLOOKUP(A167,Nosl_līg!A:H,8,FALSE),0)</f>
        <v>2598331.0499999998</v>
      </c>
      <c r="V167" s="23">
        <f>U167-J167</f>
        <v>-101867.15000000037</v>
      </c>
      <c r="W167" s="23">
        <f>O167-S167-V167</f>
        <v>-70777.9099999998</v>
      </c>
      <c r="X167" s="23">
        <f>IF(N167&gt;=S167+V167,N167-S167-V167,0)</f>
        <v>0</v>
      </c>
      <c r="Y167" s="23">
        <f t="shared" si="109"/>
        <v>70777.979999999632</v>
      </c>
      <c r="Z167" s="23">
        <f>IF(H167=0,0, IF(U167-E167+R167-M167&lt;0, 0, U167-E167+R167-M167))</f>
        <v>0</v>
      </c>
      <c r="AA167" s="23" t="e">
        <f>VLOOKUP(A167,#REF!,63,FALSE)/F167+T167</f>
        <v>#REF!</v>
      </c>
      <c r="AB167" s="69" t="e">
        <f t="shared" si="107"/>
        <v>#DIV/0!</v>
      </c>
    </row>
    <row r="168" spans="1:28" ht="49.5">
      <c r="A168" s="14" t="s">
        <v>86</v>
      </c>
      <c r="B168" s="15" t="s">
        <v>548</v>
      </c>
      <c r="C168" s="16" t="s">
        <v>55</v>
      </c>
      <c r="D168" s="16" t="s">
        <v>1</v>
      </c>
      <c r="E168" s="270">
        <f t="shared" ref="E168:AA168" si="126">E169+E175+E176+E177</f>
        <v>34919264.43</v>
      </c>
      <c r="F168" s="113"/>
      <c r="G168" s="113">
        <f t="shared" si="126"/>
        <v>0</v>
      </c>
      <c r="H168" s="17">
        <f t="shared" si="126"/>
        <v>9609652</v>
      </c>
      <c r="I168" s="113">
        <f t="shared" si="126"/>
        <v>9543950.792776743</v>
      </c>
      <c r="J168" s="113">
        <f t="shared" si="126"/>
        <v>33688761.99000001</v>
      </c>
      <c r="K168" s="113">
        <f t="shared" si="126"/>
        <v>258637.09</v>
      </c>
      <c r="L168" s="113">
        <f t="shared" si="126"/>
        <v>1151650</v>
      </c>
      <c r="M168" s="17">
        <f t="shared" si="126"/>
        <v>1410287.09</v>
      </c>
      <c r="N168" s="53">
        <f t="shared" si="126"/>
        <v>1230502.4399999911</v>
      </c>
      <c r="O168" s="113">
        <f t="shared" si="126"/>
        <v>10840154.43999999</v>
      </c>
      <c r="P168" s="17">
        <v>1399864</v>
      </c>
      <c r="Q168" s="17">
        <f t="shared" si="126"/>
        <v>1151650</v>
      </c>
      <c r="R168" s="17">
        <f t="shared" si="110"/>
        <v>2551514</v>
      </c>
      <c r="S168" s="17">
        <f t="shared" ref="S168:U168" si="127">S169+S175+S176+S177</f>
        <v>1141226.9099999999</v>
      </c>
      <c r="T168" s="113">
        <v>97203.689999999813</v>
      </c>
      <c r="U168" s="17">
        <f t="shared" si="127"/>
        <v>42417233.890000008</v>
      </c>
      <c r="V168" s="17">
        <f t="shared" si="126"/>
        <v>8728471.8999999929</v>
      </c>
      <c r="W168" s="17">
        <f t="shared" si="126"/>
        <v>970455.62999999756</v>
      </c>
      <c r="X168" s="17">
        <f t="shared" si="126"/>
        <v>1308.7199999998793</v>
      </c>
      <c r="Y168" s="17">
        <f t="shared" si="109"/>
        <v>9869698.8099999931</v>
      </c>
      <c r="Z168" s="17">
        <f t="shared" si="126"/>
        <v>8618310.1800000034</v>
      </c>
      <c r="AA168" s="17" t="e">
        <f t="shared" si="126"/>
        <v>#REF!</v>
      </c>
      <c r="AB168" s="68">
        <f t="shared" si="107"/>
        <v>0.89683894692544575</v>
      </c>
    </row>
    <row r="169" spans="1:28" ht="66">
      <c r="A169" s="19" t="s">
        <v>87</v>
      </c>
      <c r="B169" s="20" t="s">
        <v>549</v>
      </c>
      <c r="C169" s="21" t="s">
        <v>55</v>
      </c>
      <c r="D169" s="21" t="s">
        <v>138</v>
      </c>
      <c r="E169" s="269">
        <f t="shared" ref="E169:G169" si="128">E170+E171+E172+E173+E174</f>
        <v>9581734.5600000005</v>
      </c>
      <c r="F169" s="116"/>
      <c r="G169" s="116">
        <f t="shared" si="128"/>
        <v>0</v>
      </c>
      <c r="H169" s="23">
        <v>438009</v>
      </c>
      <c r="I169" s="116">
        <f t="shared" ref="I169:AA169" si="129">I170+I171+I172+I173+I174</f>
        <v>372307.79277674312</v>
      </c>
      <c r="J169" s="116">
        <f t="shared" si="129"/>
        <v>9580237.8599999994</v>
      </c>
      <c r="K169" s="116">
        <f t="shared" si="129"/>
        <v>14828.76</v>
      </c>
      <c r="L169" s="116">
        <f t="shared" si="129"/>
        <v>0</v>
      </c>
      <c r="M169" s="18">
        <f t="shared" si="129"/>
        <v>14828.76</v>
      </c>
      <c r="N169" s="54">
        <f t="shared" si="129"/>
        <v>1496.6999999996042</v>
      </c>
      <c r="O169" s="116">
        <f t="shared" si="129"/>
        <v>439505.6999999996</v>
      </c>
      <c r="P169" s="18">
        <v>536536</v>
      </c>
      <c r="Q169" s="18">
        <f t="shared" si="129"/>
        <v>0</v>
      </c>
      <c r="R169" s="18">
        <f t="shared" si="110"/>
        <v>536536</v>
      </c>
      <c r="S169" s="18">
        <f t="shared" ref="S169:U169" si="130">S170+S171+S172+S173+S174</f>
        <v>521707.24</v>
      </c>
      <c r="T169" s="116">
        <v>68038.960000000006</v>
      </c>
      <c r="U169" s="18">
        <f t="shared" si="130"/>
        <v>9419552.4600000009</v>
      </c>
      <c r="V169" s="18">
        <f t="shared" si="129"/>
        <v>-160685.39999999979</v>
      </c>
      <c r="W169" s="18">
        <f t="shared" si="129"/>
        <v>78483.859999999389</v>
      </c>
      <c r="X169" s="18">
        <f t="shared" si="129"/>
        <v>1306.3799999998791</v>
      </c>
      <c r="Y169" s="18">
        <f t="shared" si="109"/>
        <v>361021.8400000002</v>
      </c>
      <c r="Z169" s="18">
        <f t="shared" si="129"/>
        <v>360831.52000000048</v>
      </c>
      <c r="AA169" s="18" t="e">
        <f t="shared" si="129"/>
        <v>#REF!</v>
      </c>
      <c r="AB169" s="70">
        <f t="shared" si="107"/>
        <v>0.82379932832430491</v>
      </c>
    </row>
    <row r="170" spans="1:28" ht="82.5">
      <c r="A170" s="19" t="s">
        <v>88</v>
      </c>
      <c r="B170" s="20" t="s">
        <v>550</v>
      </c>
      <c r="C170" s="21" t="s">
        <v>55</v>
      </c>
      <c r="D170" s="21" t="s">
        <v>138</v>
      </c>
      <c r="E170" s="271">
        <f>VLOOKUP($A170,publ_fin!$A:$I,8,FALSE)</f>
        <v>526200.6</v>
      </c>
      <c r="F170" s="114">
        <v>0.84999920182531152</v>
      </c>
      <c r="G170" s="115"/>
      <c r="H170" s="22">
        <v>0</v>
      </c>
      <c r="I170" s="115">
        <f t="shared" ref="I170:I177" si="131">F170*H170</f>
        <v>0</v>
      </c>
      <c r="J170" s="117">
        <v>526200</v>
      </c>
      <c r="K170" s="117">
        <v>0</v>
      </c>
      <c r="L170" s="117">
        <v>0</v>
      </c>
      <c r="M170" s="23">
        <f t="shared" si="106"/>
        <v>0</v>
      </c>
      <c r="N170" s="54">
        <f t="shared" ref="N170:N177" si="132">E170-J170</f>
        <v>0.59999999997671694</v>
      </c>
      <c r="O170" s="117">
        <f t="shared" ref="O170:O177" si="133">H170+N170</f>
        <v>0.59999999997671694</v>
      </c>
      <c r="P170" s="23">
        <v>13598</v>
      </c>
      <c r="Q170" s="23">
        <f>IFERROR(VLOOKUP(A170,lauzti_līg!A:H,8,FALSE),0)</f>
        <v>0</v>
      </c>
      <c r="R170" s="23">
        <f t="shared" si="110"/>
        <v>13598</v>
      </c>
      <c r="S170" s="23">
        <f t="shared" ref="S170:S177" si="134">R170-M170</f>
        <v>13598</v>
      </c>
      <c r="T170" s="117">
        <v>0</v>
      </c>
      <c r="U170" s="23">
        <f>IFERROR(VLOOKUP(A170,Nosl_līg!A:H,8,FALSE),0)</f>
        <v>511302.9</v>
      </c>
      <c r="V170" s="23">
        <f t="shared" ref="V170:V177" si="135">U170-J170</f>
        <v>-14897.099999999977</v>
      </c>
      <c r="W170" s="23">
        <f t="shared" ref="W170:W177" si="136">O170-S170-V170</f>
        <v>1299.6999999999534</v>
      </c>
      <c r="X170" s="23">
        <f t="shared" ref="X170:X177" si="137">IF(N170&gt;=S170+V170,N170-S170-V170,0)</f>
        <v>1299.6999999999534</v>
      </c>
      <c r="Y170" s="23">
        <f t="shared" si="109"/>
        <v>-1299.0999999999767</v>
      </c>
      <c r="Z170" s="23">
        <f t="shared" ref="Z170:Z177" si="138">IF(H170=0,0, IF(U170-E170+R170-M170&lt;0, 0, U170-E170+R170-M170))</f>
        <v>0</v>
      </c>
      <c r="AA170" s="23" t="e">
        <f>VLOOKUP(A170,#REF!,63,FALSE)/F170+T170</f>
        <v>#REF!</v>
      </c>
      <c r="AB170" s="69" t="e">
        <f t="shared" si="107"/>
        <v>#DIV/0!</v>
      </c>
    </row>
    <row r="171" spans="1:28" ht="66">
      <c r="A171" s="19" t="s">
        <v>89</v>
      </c>
      <c r="B171" s="20" t="s">
        <v>551</v>
      </c>
      <c r="C171" s="21" t="s">
        <v>55</v>
      </c>
      <c r="D171" s="21" t="s">
        <v>138</v>
      </c>
      <c r="E171" s="271">
        <f>VLOOKUP($A171,publ_fin!$A:$I,8,FALSE)</f>
        <v>2525392.64</v>
      </c>
      <c r="F171" s="114">
        <v>0.84999985982377779</v>
      </c>
      <c r="G171" s="115"/>
      <c r="H171" s="22">
        <v>0</v>
      </c>
      <c r="I171" s="115">
        <f t="shared" si="131"/>
        <v>0</v>
      </c>
      <c r="J171" s="117">
        <v>2525390.7600000002</v>
      </c>
      <c r="K171" s="117">
        <v>14828.76</v>
      </c>
      <c r="L171" s="117">
        <v>0</v>
      </c>
      <c r="M171" s="23">
        <f t="shared" si="106"/>
        <v>14828.76</v>
      </c>
      <c r="N171" s="54">
        <f t="shared" si="132"/>
        <v>1.8799999998882413</v>
      </c>
      <c r="O171" s="117">
        <f t="shared" si="133"/>
        <v>1.8799999998882413</v>
      </c>
      <c r="P171" s="23">
        <v>14829</v>
      </c>
      <c r="Q171" s="23">
        <f>IFERROR(VLOOKUP(A171,lauzti_līg!A:H,8,FALSE),0)</f>
        <v>0</v>
      </c>
      <c r="R171" s="23">
        <f t="shared" si="110"/>
        <v>14829</v>
      </c>
      <c r="S171" s="23">
        <f t="shared" si="134"/>
        <v>0.23999999999978172</v>
      </c>
      <c r="T171" s="117">
        <v>0</v>
      </c>
      <c r="U171" s="23">
        <f>IFERROR(VLOOKUP(A171,Nosl_līg!A:H,8,FALSE),0)</f>
        <v>2525390.7599999998</v>
      </c>
      <c r="V171" s="23">
        <f t="shared" si="135"/>
        <v>0</v>
      </c>
      <c r="W171" s="23">
        <f t="shared" si="136"/>
        <v>1.6399999998884596</v>
      </c>
      <c r="X171" s="23">
        <f t="shared" si="137"/>
        <v>1.6399999998884596</v>
      </c>
      <c r="Y171" s="23">
        <f t="shared" si="109"/>
        <v>0.23999999999978172</v>
      </c>
      <c r="Z171" s="23">
        <f t="shared" si="138"/>
        <v>0</v>
      </c>
      <c r="AA171" s="23" t="e">
        <f>VLOOKUP(A171,#REF!,63,FALSE)/F171+T171</f>
        <v>#REF!</v>
      </c>
      <c r="AB171" s="69" t="e">
        <f t="shared" si="107"/>
        <v>#DIV/0!</v>
      </c>
    </row>
    <row r="172" spans="1:28" ht="82.5">
      <c r="A172" s="19" t="s">
        <v>90</v>
      </c>
      <c r="B172" s="20" t="s">
        <v>552</v>
      </c>
      <c r="C172" s="21" t="s">
        <v>55</v>
      </c>
      <c r="D172" s="21" t="s">
        <v>138</v>
      </c>
      <c r="E172" s="271">
        <f>VLOOKUP($A172,publ_fin!$A:$I,8,FALSE)</f>
        <v>610841.39</v>
      </c>
      <c r="F172" s="114">
        <v>0.8500004068159166</v>
      </c>
      <c r="G172" s="115"/>
      <c r="H172" s="22">
        <v>0</v>
      </c>
      <c r="I172" s="115">
        <f t="shared" si="131"/>
        <v>0</v>
      </c>
      <c r="J172" s="117">
        <v>610836.35</v>
      </c>
      <c r="K172" s="117">
        <v>0</v>
      </c>
      <c r="L172" s="117">
        <v>0</v>
      </c>
      <c r="M172" s="23">
        <f t="shared" si="106"/>
        <v>0</v>
      </c>
      <c r="N172" s="54">
        <f t="shared" si="132"/>
        <v>5.0400000000372529</v>
      </c>
      <c r="O172" s="117">
        <f t="shared" si="133"/>
        <v>5.0400000000372529</v>
      </c>
      <c r="P172" s="23">
        <v>0</v>
      </c>
      <c r="Q172" s="23">
        <f>IFERROR(VLOOKUP(A172,lauzti_līg!A:H,8,FALSE),0)</f>
        <v>0</v>
      </c>
      <c r="R172" s="23">
        <f t="shared" si="110"/>
        <v>0</v>
      </c>
      <c r="S172" s="23">
        <f t="shared" si="134"/>
        <v>0</v>
      </c>
      <c r="T172" s="117">
        <v>0</v>
      </c>
      <c r="U172" s="23">
        <f>IFERROR(VLOOKUP(A172,Nosl_līg!A:H,8,FALSE),0)</f>
        <v>610836.35</v>
      </c>
      <c r="V172" s="23">
        <f t="shared" si="135"/>
        <v>0</v>
      </c>
      <c r="W172" s="23">
        <f t="shared" si="136"/>
        <v>5.0400000000372529</v>
      </c>
      <c r="X172" s="23">
        <f t="shared" si="137"/>
        <v>5.0400000000372529</v>
      </c>
      <c r="Y172" s="23">
        <f t="shared" si="109"/>
        <v>0</v>
      </c>
      <c r="Z172" s="23">
        <f t="shared" si="138"/>
        <v>0</v>
      </c>
      <c r="AA172" s="23" t="e">
        <f>VLOOKUP(A172,#REF!,63,FALSE)/F172+T172</f>
        <v>#REF!</v>
      </c>
      <c r="AB172" s="69" t="e">
        <f t="shared" si="107"/>
        <v>#DIV/0!</v>
      </c>
    </row>
    <row r="173" spans="1:28" ht="49.5">
      <c r="A173" s="19" t="s">
        <v>91</v>
      </c>
      <c r="B173" s="20" t="s">
        <v>553</v>
      </c>
      <c r="C173" s="21" t="s">
        <v>55</v>
      </c>
      <c r="D173" s="21" t="s">
        <v>138</v>
      </c>
      <c r="E173" s="271">
        <f>VLOOKUP($A173,publ_fin!$A:$I,8,FALSE)</f>
        <v>0</v>
      </c>
      <c r="F173" s="114">
        <v>0</v>
      </c>
      <c r="G173" s="115"/>
      <c r="H173" s="22">
        <v>0</v>
      </c>
      <c r="I173" s="115">
        <f t="shared" si="131"/>
        <v>0</v>
      </c>
      <c r="J173" s="117">
        <v>0</v>
      </c>
      <c r="K173" s="117">
        <v>0</v>
      </c>
      <c r="L173" s="117">
        <v>0</v>
      </c>
      <c r="M173" s="23">
        <f t="shared" si="106"/>
        <v>0</v>
      </c>
      <c r="N173" s="54">
        <f t="shared" si="132"/>
        <v>0</v>
      </c>
      <c r="O173" s="117">
        <f t="shared" si="133"/>
        <v>0</v>
      </c>
      <c r="P173" s="23">
        <v>0</v>
      </c>
      <c r="Q173" s="23">
        <f>IFERROR(VLOOKUP(A173,lauzti_līg!A:H,8,FALSE),0)</f>
        <v>0</v>
      </c>
      <c r="R173" s="23">
        <f t="shared" si="110"/>
        <v>0</v>
      </c>
      <c r="S173" s="23">
        <f t="shared" si="134"/>
        <v>0</v>
      </c>
      <c r="T173" s="117">
        <v>0</v>
      </c>
      <c r="U173" s="23">
        <f>IFERROR(VLOOKUP(A173,Nosl_līg!A:H,8,FALSE),0)</f>
        <v>0</v>
      </c>
      <c r="V173" s="23">
        <f t="shared" si="135"/>
        <v>0</v>
      </c>
      <c r="W173" s="23">
        <f t="shared" si="136"/>
        <v>0</v>
      </c>
      <c r="X173" s="23">
        <f t="shared" si="137"/>
        <v>0</v>
      </c>
      <c r="Y173" s="23">
        <f t="shared" si="109"/>
        <v>0</v>
      </c>
      <c r="Z173" s="23">
        <f t="shared" si="138"/>
        <v>0</v>
      </c>
      <c r="AA173" s="23">
        <v>0</v>
      </c>
      <c r="AB173" s="69" t="e">
        <f t="shared" si="107"/>
        <v>#DIV/0!</v>
      </c>
    </row>
    <row r="174" spans="1:28" ht="82.5">
      <c r="A174" s="19" t="s">
        <v>168</v>
      </c>
      <c r="B174" s="20" t="s">
        <v>554</v>
      </c>
      <c r="C174" s="21" t="s">
        <v>55</v>
      </c>
      <c r="D174" s="21" t="s">
        <v>138</v>
      </c>
      <c r="E174" s="271">
        <f>VLOOKUP($A174,publ_fin!$A:$I,8,FALSE)</f>
        <v>5919299.9299999997</v>
      </c>
      <c r="F174" s="114">
        <v>0.85000032596760144</v>
      </c>
      <c r="G174" s="115"/>
      <c r="H174" s="22">
        <v>438009</v>
      </c>
      <c r="I174" s="115">
        <f t="shared" si="131"/>
        <v>372307.79277674312</v>
      </c>
      <c r="J174" s="117">
        <v>5917810.75</v>
      </c>
      <c r="K174" s="117">
        <v>0</v>
      </c>
      <c r="L174" s="117">
        <v>0</v>
      </c>
      <c r="M174" s="23">
        <f t="shared" si="106"/>
        <v>0</v>
      </c>
      <c r="N174" s="54">
        <f t="shared" si="132"/>
        <v>1489.179999999702</v>
      </c>
      <c r="O174" s="117">
        <f t="shared" si="133"/>
        <v>439498.1799999997</v>
      </c>
      <c r="P174" s="23">
        <v>508109</v>
      </c>
      <c r="Q174" s="23">
        <f>IFERROR(VLOOKUP(A174,lauzti_līg!A:H,8,FALSE),0)</f>
        <v>0</v>
      </c>
      <c r="R174" s="23">
        <f t="shared" si="110"/>
        <v>508109</v>
      </c>
      <c r="S174" s="23">
        <f t="shared" si="134"/>
        <v>508109</v>
      </c>
      <c r="T174" s="117">
        <v>68038.960000000006</v>
      </c>
      <c r="U174" s="23">
        <f>IFERROR(VLOOKUP(A174,Nosl_līg!A:H,8,FALSE),0)</f>
        <v>5772022.4500000002</v>
      </c>
      <c r="V174" s="23">
        <f t="shared" si="135"/>
        <v>-145788.29999999981</v>
      </c>
      <c r="W174" s="23">
        <f t="shared" si="136"/>
        <v>77177.479999999516</v>
      </c>
      <c r="X174" s="23">
        <f t="shared" si="137"/>
        <v>0</v>
      </c>
      <c r="Y174" s="23">
        <f t="shared" si="109"/>
        <v>362320.70000000019</v>
      </c>
      <c r="Z174" s="23">
        <f t="shared" si="138"/>
        <v>360831.52000000048</v>
      </c>
      <c r="AA174" s="23" t="e">
        <f>VLOOKUP(A174,#REF!,63,FALSE)/F174+T174</f>
        <v>#REF!</v>
      </c>
      <c r="AB174" s="69">
        <f t="shared" si="107"/>
        <v>0.82379932832430491</v>
      </c>
    </row>
    <row r="175" spans="1:28" ht="49.5">
      <c r="A175" s="19" t="s">
        <v>174</v>
      </c>
      <c r="B175" s="20" t="s">
        <v>658</v>
      </c>
      <c r="C175" s="21" t="s">
        <v>55</v>
      </c>
      <c r="D175" s="21" t="s">
        <v>138</v>
      </c>
      <c r="E175" s="271">
        <f>VLOOKUP($A175,publ_fin!$A:$I,8,FALSE)</f>
        <v>2439479.0699999998</v>
      </c>
      <c r="F175" s="114">
        <v>0.84999968456380326</v>
      </c>
      <c r="G175" s="115"/>
      <c r="H175" s="22">
        <v>0</v>
      </c>
      <c r="I175" s="115">
        <f t="shared" si="131"/>
        <v>0</v>
      </c>
      <c r="J175" s="117">
        <v>2439476.98</v>
      </c>
      <c r="K175" s="117">
        <v>12226.09</v>
      </c>
      <c r="L175" s="117">
        <v>0</v>
      </c>
      <c r="M175" s="23">
        <f t="shared" si="106"/>
        <v>12226.09</v>
      </c>
      <c r="N175" s="54">
        <f t="shared" si="132"/>
        <v>2.0899999998509884</v>
      </c>
      <c r="O175" s="117">
        <f t="shared" si="133"/>
        <v>2.0899999998509884</v>
      </c>
      <c r="P175" s="23">
        <v>40099</v>
      </c>
      <c r="Q175" s="23">
        <f>IFERROR(VLOOKUP(A175,lauzti_līg!A:H,8,FALSE),0)</f>
        <v>0</v>
      </c>
      <c r="R175" s="23">
        <f t="shared" si="110"/>
        <v>40099</v>
      </c>
      <c r="S175" s="23">
        <f t="shared" si="134"/>
        <v>27872.91</v>
      </c>
      <c r="T175" s="117">
        <v>27873.16</v>
      </c>
      <c r="U175" s="23">
        <f>IFERROR(VLOOKUP(A175,Nosl_līg!A:H,8,FALSE),0)</f>
        <v>2411603.8199999998</v>
      </c>
      <c r="V175" s="23">
        <f t="shared" si="135"/>
        <v>-27873.160000000149</v>
      </c>
      <c r="W175" s="23">
        <f t="shared" si="136"/>
        <v>2.3400000000001455</v>
      </c>
      <c r="X175" s="23">
        <f t="shared" si="137"/>
        <v>2.3400000000001455</v>
      </c>
      <c r="Y175" s="23">
        <f t="shared" si="109"/>
        <v>-0.25000000014915713</v>
      </c>
      <c r="Z175" s="23">
        <f t="shared" si="138"/>
        <v>0</v>
      </c>
      <c r="AA175" s="23" t="e">
        <f>VLOOKUP(A175,#REF!,63,FALSE)/F175+T175</f>
        <v>#REF!</v>
      </c>
      <c r="AB175" s="69" t="e">
        <f t="shared" si="107"/>
        <v>#DIV/0!</v>
      </c>
    </row>
    <row r="176" spans="1:28" ht="66">
      <c r="A176" s="19" t="s">
        <v>328</v>
      </c>
      <c r="B176" s="20" t="s">
        <v>555</v>
      </c>
      <c r="C176" s="21" t="s">
        <v>55</v>
      </c>
      <c r="D176" s="21" t="s">
        <v>628</v>
      </c>
      <c r="E176" s="271">
        <f>VLOOKUP($A176,publ_fin!$A:$I,8,FALSE)</f>
        <v>21093929.739999998</v>
      </c>
      <c r="F176" s="114">
        <v>1</v>
      </c>
      <c r="G176" s="115"/>
      <c r="H176" s="22">
        <v>9171643</v>
      </c>
      <c r="I176" s="115">
        <f t="shared" si="131"/>
        <v>9171643</v>
      </c>
      <c r="J176" s="117">
        <v>19850830.040000007</v>
      </c>
      <c r="K176" s="117">
        <v>212059.83</v>
      </c>
      <c r="L176" s="117">
        <v>970589</v>
      </c>
      <c r="M176" s="23">
        <f t="shared" si="106"/>
        <v>1182648.83</v>
      </c>
      <c r="N176" s="54">
        <f t="shared" si="132"/>
        <v>1243099.6999999918</v>
      </c>
      <c r="O176" s="117">
        <f t="shared" si="133"/>
        <v>10414742.699999992</v>
      </c>
      <c r="P176" s="23">
        <v>729416</v>
      </c>
      <c r="Q176" s="23">
        <f>IFERROR(VLOOKUP(A176,lauzti_līg!A:H,8,FALSE),0)</f>
        <v>970589</v>
      </c>
      <c r="R176" s="23">
        <f t="shared" si="110"/>
        <v>1700005</v>
      </c>
      <c r="S176" s="23">
        <f t="shared" si="134"/>
        <v>517356.16999999993</v>
      </c>
      <c r="T176" s="117">
        <v>728.02999999979511</v>
      </c>
      <c r="U176" s="23">
        <f>IFERROR(VLOOKUP(A176,Nosl_līg!A:H,8,FALSE),0)</f>
        <v>28834052.23</v>
      </c>
      <c r="V176" s="23">
        <f t="shared" si="135"/>
        <v>8983222.1899999939</v>
      </c>
      <c r="W176" s="23">
        <f t="shared" si="136"/>
        <v>914164.33999999799</v>
      </c>
      <c r="X176" s="23">
        <f t="shared" si="137"/>
        <v>0</v>
      </c>
      <c r="Y176" s="23">
        <f t="shared" si="109"/>
        <v>9500578.3599999938</v>
      </c>
      <c r="Z176" s="23">
        <f t="shared" si="138"/>
        <v>8257478.660000002</v>
      </c>
      <c r="AA176" s="23" t="e">
        <f>VLOOKUP(A176,#REF!,63,FALSE)/F176+T176</f>
        <v>#REF!</v>
      </c>
      <c r="AB176" s="69">
        <f t="shared" si="107"/>
        <v>0.90032709079496465</v>
      </c>
    </row>
    <row r="177" spans="1:28" ht="49.5">
      <c r="A177" s="19" t="s">
        <v>208</v>
      </c>
      <c r="B177" s="20" t="s">
        <v>556</v>
      </c>
      <c r="C177" s="21" t="s">
        <v>55</v>
      </c>
      <c r="D177" s="21" t="s">
        <v>628</v>
      </c>
      <c r="E177" s="271">
        <f>VLOOKUP($A177,publ_fin!$A:$I,8,FALSE)</f>
        <v>1804121.06</v>
      </c>
      <c r="F177" s="114">
        <v>1</v>
      </c>
      <c r="G177" s="115"/>
      <c r="H177" s="22">
        <v>0</v>
      </c>
      <c r="I177" s="115">
        <f t="shared" si="131"/>
        <v>0</v>
      </c>
      <c r="J177" s="117">
        <v>1818217.1100000003</v>
      </c>
      <c r="K177" s="117">
        <v>19522.41</v>
      </c>
      <c r="L177" s="117">
        <v>181061</v>
      </c>
      <c r="M177" s="23">
        <f t="shared" si="106"/>
        <v>200583.41</v>
      </c>
      <c r="N177" s="54">
        <f t="shared" si="132"/>
        <v>-14096.050000000279</v>
      </c>
      <c r="O177" s="117">
        <f t="shared" si="133"/>
        <v>-14096.050000000279</v>
      </c>
      <c r="P177" s="23">
        <v>93813</v>
      </c>
      <c r="Q177" s="23">
        <f>IFERROR(VLOOKUP(A177,lauzti_līg!A:H,8,FALSE),0)</f>
        <v>181061</v>
      </c>
      <c r="R177" s="23">
        <f t="shared" si="110"/>
        <v>274874</v>
      </c>
      <c r="S177" s="23">
        <f t="shared" si="134"/>
        <v>74290.59</v>
      </c>
      <c r="T177" s="117">
        <v>563.54000000000815</v>
      </c>
      <c r="U177" s="23">
        <f>IFERROR(VLOOKUP(A177,Nosl_līg!A:H,8,FALSE),0)</f>
        <v>1752025.38</v>
      </c>
      <c r="V177" s="23">
        <f t="shared" si="135"/>
        <v>-66191.730000000447</v>
      </c>
      <c r="W177" s="23">
        <f t="shared" si="136"/>
        <v>-22194.909999999829</v>
      </c>
      <c r="X177" s="23">
        <f t="shared" si="137"/>
        <v>0</v>
      </c>
      <c r="Y177" s="23">
        <f t="shared" si="109"/>
        <v>8098.8599999995495</v>
      </c>
      <c r="Z177" s="23">
        <f t="shared" si="138"/>
        <v>0</v>
      </c>
      <c r="AA177" s="23" t="e">
        <f>VLOOKUP(A177,#REF!,63,FALSE)/F177+T177</f>
        <v>#REF!</v>
      </c>
      <c r="AB177" s="69" t="e">
        <f t="shared" si="107"/>
        <v>#DIV/0!</v>
      </c>
    </row>
    <row r="178" spans="1:28" ht="33">
      <c r="A178" s="14" t="s">
        <v>92</v>
      </c>
      <c r="B178" s="15" t="s">
        <v>557</v>
      </c>
      <c r="C178" s="16" t="s">
        <v>55</v>
      </c>
      <c r="D178" s="16" t="s">
        <v>626</v>
      </c>
      <c r="E178" s="270">
        <f t="shared" ref="E178:AA178" si="139">E179+E182+E183</f>
        <v>158825860.71000001</v>
      </c>
      <c r="F178" s="113"/>
      <c r="G178" s="113">
        <f t="shared" si="139"/>
        <v>0</v>
      </c>
      <c r="H178" s="17">
        <f t="shared" si="139"/>
        <v>10600000</v>
      </c>
      <c r="I178" s="113">
        <f t="shared" si="139"/>
        <v>9456695.8962930851</v>
      </c>
      <c r="J178" s="113">
        <f t="shared" si="139"/>
        <v>157393054.84999996</v>
      </c>
      <c r="K178" s="113">
        <f t="shared" si="139"/>
        <v>169311.68</v>
      </c>
      <c r="L178" s="113">
        <f t="shared" si="139"/>
        <v>7937295.29</v>
      </c>
      <c r="M178" s="17">
        <f t="shared" si="139"/>
        <v>8106606.9699999997</v>
      </c>
      <c r="N178" s="53">
        <f t="shared" si="139"/>
        <v>1432805.8600000506</v>
      </c>
      <c r="O178" s="113">
        <f t="shared" si="139"/>
        <v>12032805.860000052</v>
      </c>
      <c r="P178" s="17">
        <v>1710099</v>
      </c>
      <c r="Q178" s="17">
        <f t="shared" si="139"/>
        <v>8026748.1299999999</v>
      </c>
      <c r="R178" s="17">
        <f t="shared" si="110"/>
        <v>9736847.129999999</v>
      </c>
      <c r="S178" s="17">
        <f t="shared" ref="S178:U178" si="140">S179+S182+S183</f>
        <v>1630240.16</v>
      </c>
      <c r="T178" s="113">
        <v>427617.6599999998</v>
      </c>
      <c r="U178" s="17">
        <f t="shared" si="140"/>
        <v>168029383.52000001</v>
      </c>
      <c r="V178" s="17">
        <f t="shared" si="139"/>
        <v>10636328.670000048</v>
      </c>
      <c r="W178" s="17">
        <f t="shared" si="139"/>
        <v>-233762.96999999776</v>
      </c>
      <c r="X178" s="17">
        <f t="shared" si="139"/>
        <v>621219.21000000078</v>
      </c>
      <c r="Y178" s="17">
        <f t="shared" si="109"/>
        <v>12266568.830000049</v>
      </c>
      <c r="Z178" s="17">
        <f t="shared" si="139"/>
        <v>10600000</v>
      </c>
      <c r="AA178" s="17" t="e">
        <f t="shared" si="139"/>
        <v>#REF!</v>
      </c>
      <c r="AB178" s="68">
        <f t="shared" si="107"/>
        <v>1</v>
      </c>
    </row>
    <row r="179" spans="1:28" ht="33">
      <c r="A179" s="19" t="s">
        <v>93</v>
      </c>
      <c r="B179" s="20" t="s">
        <v>659</v>
      </c>
      <c r="C179" s="21" t="s">
        <v>55</v>
      </c>
      <c r="D179" s="21" t="s">
        <v>626</v>
      </c>
      <c r="E179" s="269">
        <f t="shared" ref="E179:AA179" si="141">E180+E181</f>
        <v>7472614.8300000001</v>
      </c>
      <c r="F179" s="116"/>
      <c r="G179" s="116">
        <f t="shared" si="141"/>
        <v>0</v>
      </c>
      <c r="H179" s="23">
        <f t="shared" si="141"/>
        <v>0</v>
      </c>
      <c r="I179" s="116">
        <f t="shared" si="141"/>
        <v>0</v>
      </c>
      <c r="J179" s="116">
        <f t="shared" si="141"/>
        <v>6328354.1799999997</v>
      </c>
      <c r="K179" s="116">
        <f t="shared" si="141"/>
        <v>6934.13</v>
      </c>
      <c r="L179" s="116">
        <f t="shared" si="141"/>
        <v>258889.29</v>
      </c>
      <c r="M179" s="18">
        <f t="shared" si="141"/>
        <v>265823.42000000004</v>
      </c>
      <c r="N179" s="54">
        <f t="shared" si="141"/>
        <v>1144260.6499999994</v>
      </c>
      <c r="O179" s="116">
        <f t="shared" si="141"/>
        <v>1144260.6499999994</v>
      </c>
      <c r="P179" s="18">
        <v>39901</v>
      </c>
      <c r="Q179" s="18">
        <f t="shared" si="141"/>
        <v>348342.13</v>
      </c>
      <c r="R179" s="18">
        <f t="shared" si="110"/>
        <v>388243.13</v>
      </c>
      <c r="S179" s="18">
        <f t="shared" ref="S179:U179" si="142">S180+S181</f>
        <v>122419.70999999999</v>
      </c>
      <c r="T179" s="116">
        <v>42079.09</v>
      </c>
      <c r="U179" s="18">
        <f t="shared" si="142"/>
        <v>6728976.6199999992</v>
      </c>
      <c r="V179" s="18">
        <f t="shared" si="141"/>
        <v>400622.43999999948</v>
      </c>
      <c r="W179" s="18">
        <f t="shared" si="141"/>
        <v>621218.49999999988</v>
      </c>
      <c r="X179" s="18">
        <f t="shared" si="141"/>
        <v>621218.49999999988</v>
      </c>
      <c r="Y179" s="18">
        <f t="shared" si="109"/>
        <v>523042.14999999956</v>
      </c>
      <c r="Z179" s="18">
        <f t="shared" si="141"/>
        <v>0</v>
      </c>
      <c r="AA179" s="18" t="e">
        <f t="shared" si="141"/>
        <v>#REF!</v>
      </c>
      <c r="AB179" s="70" t="e">
        <f t="shared" si="107"/>
        <v>#DIV/0!</v>
      </c>
    </row>
    <row r="180" spans="1:28" ht="33">
      <c r="A180" s="19" t="s">
        <v>189</v>
      </c>
      <c r="B180" s="20" t="s">
        <v>660</v>
      </c>
      <c r="C180" s="21" t="s">
        <v>55</v>
      </c>
      <c r="D180" s="21" t="s">
        <v>626</v>
      </c>
      <c r="E180" s="271">
        <f>VLOOKUP($A180,publ_fin!$A:$I,8,FALSE)</f>
        <v>3552899.82</v>
      </c>
      <c r="F180" s="114">
        <v>1</v>
      </c>
      <c r="G180" s="115"/>
      <c r="H180" s="22">
        <v>0</v>
      </c>
      <c r="I180" s="115">
        <f>F180*H180</f>
        <v>0</v>
      </c>
      <c r="J180" s="117">
        <v>2354009.84</v>
      </c>
      <c r="K180" s="117">
        <v>0</v>
      </c>
      <c r="L180" s="117">
        <v>59522.69</v>
      </c>
      <c r="M180" s="23">
        <f t="shared" si="106"/>
        <v>59522.69</v>
      </c>
      <c r="N180" s="54">
        <f>E180-J180</f>
        <v>1198889.98</v>
      </c>
      <c r="O180" s="117">
        <f>H180+N180</f>
        <v>1198889.98</v>
      </c>
      <c r="P180" s="23">
        <v>19193</v>
      </c>
      <c r="Q180" s="23">
        <f>IFERROR(VLOOKUP(A180,lauzti_līg!A:H,8,FALSE),0)</f>
        <v>148975.53</v>
      </c>
      <c r="R180" s="23">
        <f t="shared" si="110"/>
        <v>168168.53</v>
      </c>
      <c r="S180" s="23">
        <f>R180-M180</f>
        <v>108645.84</v>
      </c>
      <c r="T180" s="117">
        <v>28305.130000000005</v>
      </c>
      <c r="U180" s="23">
        <f>IFERROR(VLOOKUP(A180,Nosl_līg!A:H,8,FALSE),0)</f>
        <v>2823036.76</v>
      </c>
      <c r="V180" s="23">
        <f>U180-J180</f>
        <v>469026.91999999993</v>
      </c>
      <c r="W180" s="23">
        <f>O180-S180-V180</f>
        <v>621217.22</v>
      </c>
      <c r="X180" s="23">
        <f>IF(N180&gt;=S180+V180,N180-S180-V180,0)</f>
        <v>621217.22</v>
      </c>
      <c r="Y180" s="23">
        <f t="shared" si="109"/>
        <v>577672.76</v>
      </c>
      <c r="Z180" s="23">
        <f>IF(H180=0,0, IF(U180-E180+R180-M180&lt;0, 0, U180-E180+R180-M180))</f>
        <v>0</v>
      </c>
      <c r="AA180" s="23" t="e">
        <f>VLOOKUP(A180,#REF!,63,FALSE)/F180+T180</f>
        <v>#REF!</v>
      </c>
      <c r="AB180" s="69" t="e">
        <f t="shared" si="107"/>
        <v>#DIV/0!</v>
      </c>
    </row>
    <row r="181" spans="1:28" ht="33">
      <c r="A181" s="19" t="s">
        <v>197</v>
      </c>
      <c r="B181" s="20" t="s">
        <v>332</v>
      </c>
      <c r="C181" s="21" t="s">
        <v>55</v>
      </c>
      <c r="D181" s="21" t="s">
        <v>626</v>
      </c>
      <c r="E181" s="271">
        <f>VLOOKUP($A181,publ_fin!$A:$I,8,FALSE)</f>
        <v>3919715.01</v>
      </c>
      <c r="F181" s="114">
        <v>1</v>
      </c>
      <c r="G181" s="115"/>
      <c r="H181" s="22">
        <v>0</v>
      </c>
      <c r="I181" s="115">
        <f>F181*H181</f>
        <v>0</v>
      </c>
      <c r="J181" s="117">
        <v>3974344.3400000003</v>
      </c>
      <c r="K181" s="117">
        <v>6934.13</v>
      </c>
      <c r="L181" s="117">
        <v>199366.6</v>
      </c>
      <c r="M181" s="23">
        <f t="shared" si="106"/>
        <v>206300.73</v>
      </c>
      <c r="N181" s="54">
        <f>E181-J181</f>
        <v>-54629.33000000054</v>
      </c>
      <c r="O181" s="117">
        <f>H181+N181</f>
        <v>-54629.33000000054</v>
      </c>
      <c r="P181" s="23">
        <v>20708</v>
      </c>
      <c r="Q181" s="23">
        <f>IFERROR(VLOOKUP(A181,lauzti_līg!A:H,8,FALSE),0)</f>
        <v>199366.6</v>
      </c>
      <c r="R181" s="23">
        <f t="shared" si="110"/>
        <v>220074.6</v>
      </c>
      <c r="S181" s="23">
        <f>R181-M181</f>
        <v>13773.869999999995</v>
      </c>
      <c r="T181" s="117">
        <v>13773.959999999992</v>
      </c>
      <c r="U181" s="23">
        <f>IFERROR(VLOOKUP(A181,Nosl_līg!A:H,8,FALSE),0)</f>
        <v>3905939.86</v>
      </c>
      <c r="V181" s="23">
        <f>U181-J181</f>
        <v>-68404.480000000447</v>
      </c>
      <c r="W181" s="23">
        <f>O181-S181-V181</f>
        <v>1.2799999999115244</v>
      </c>
      <c r="X181" s="23">
        <f>IF(N181&gt;=S181+V181,N181-S181-V181,0)</f>
        <v>1.2799999999115244</v>
      </c>
      <c r="Y181" s="23">
        <f t="shared" si="109"/>
        <v>-54630.610000000452</v>
      </c>
      <c r="Z181" s="23">
        <f>IF(H181=0,0, IF(U181-E181+R181-M181&lt;0, 0, U181-E181+R181-M181))</f>
        <v>0</v>
      </c>
      <c r="AA181" s="23" t="e">
        <f>VLOOKUP(A181,#REF!,63,FALSE)/F181+T181</f>
        <v>#REF!</v>
      </c>
      <c r="AB181" s="69" t="e">
        <f t="shared" si="107"/>
        <v>#DIV/0!</v>
      </c>
    </row>
    <row r="182" spans="1:28" ht="33">
      <c r="A182" s="19" t="s">
        <v>157</v>
      </c>
      <c r="B182" s="20" t="s">
        <v>558</v>
      </c>
      <c r="C182" s="21" t="s">
        <v>55</v>
      </c>
      <c r="D182" s="21" t="s">
        <v>626</v>
      </c>
      <c r="E182" s="271">
        <f>VLOOKUP($A182,publ_fin!$A:$I,8,FALSE)</f>
        <v>10678405.380000001</v>
      </c>
      <c r="F182" s="114">
        <v>0.89214112229180043</v>
      </c>
      <c r="G182" s="115"/>
      <c r="H182" s="22">
        <v>10600000</v>
      </c>
      <c r="I182" s="115">
        <f>F182*H182</f>
        <v>9456695.8962930851</v>
      </c>
      <c r="J182" s="117">
        <v>10678404</v>
      </c>
      <c r="K182" s="117">
        <v>0</v>
      </c>
      <c r="L182" s="117">
        <v>7678406</v>
      </c>
      <c r="M182" s="23">
        <f t="shared" si="106"/>
        <v>7678406</v>
      </c>
      <c r="N182" s="54">
        <f>E182-J182</f>
        <v>1.3800000008195639</v>
      </c>
      <c r="O182" s="117">
        <f>H182+N182</f>
        <v>10600001.380000001</v>
      </c>
      <c r="P182" s="23">
        <v>199961</v>
      </c>
      <c r="Q182" s="23">
        <f>IFERROR(VLOOKUP(A182,lauzti_līg!A:H,8,FALSE),0)</f>
        <v>7678406</v>
      </c>
      <c r="R182" s="23">
        <f t="shared" si="110"/>
        <v>7878367</v>
      </c>
      <c r="S182" s="23">
        <f>R182-M182</f>
        <v>199961</v>
      </c>
      <c r="T182" s="117">
        <v>50178.009999999776</v>
      </c>
      <c r="U182" s="23">
        <f>IFERROR(VLOOKUP(A182,Nosl_līg!A:H,8,FALSE),0)</f>
        <v>21278404</v>
      </c>
      <c r="V182" s="23">
        <f>U182-J182</f>
        <v>10600000</v>
      </c>
      <c r="W182" s="23">
        <f>O182-S182-V182</f>
        <v>-199959.61999999918</v>
      </c>
      <c r="X182" s="23">
        <f>IF(N182&gt;=S182+V182,N182-S182-V182,0)</f>
        <v>0</v>
      </c>
      <c r="Y182" s="23">
        <f t="shared" si="109"/>
        <v>10799961</v>
      </c>
      <c r="Z182" s="23">
        <v>10600000</v>
      </c>
      <c r="AA182" s="23" t="e">
        <f>VLOOKUP(A182,#REF!,63,FALSE)/F182+T182</f>
        <v>#REF!</v>
      </c>
      <c r="AB182" s="69">
        <f t="shared" si="107"/>
        <v>1</v>
      </c>
    </row>
    <row r="183" spans="1:28" ht="33">
      <c r="A183" s="19" t="s">
        <v>94</v>
      </c>
      <c r="B183" s="20" t="s">
        <v>559</v>
      </c>
      <c r="C183" s="21" t="s">
        <v>55</v>
      </c>
      <c r="D183" s="21" t="s">
        <v>626</v>
      </c>
      <c r="E183" s="269">
        <f t="shared" ref="E183:AA183" si="143">E184+E185</f>
        <v>140674840.5</v>
      </c>
      <c r="F183" s="116"/>
      <c r="G183" s="116">
        <f t="shared" si="143"/>
        <v>0</v>
      </c>
      <c r="H183" s="23">
        <f t="shared" si="143"/>
        <v>0</v>
      </c>
      <c r="I183" s="116">
        <f t="shared" si="143"/>
        <v>0</v>
      </c>
      <c r="J183" s="116">
        <f t="shared" si="143"/>
        <v>140386296.66999996</v>
      </c>
      <c r="K183" s="116">
        <f t="shared" si="143"/>
        <v>162377.54999999999</v>
      </c>
      <c r="L183" s="116">
        <f t="shared" si="143"/>
        <v>0</v>
      </c>
      <c r="M183" s="18">
        <f t="shared" si="143"/>
        <v>162377.54999999999</v>
      </c>
      <c r="N183" s="54">
        <f t="shared" si="143"/>
        <v>288543.83000005037</v>
      </c>
      <c r="O183" s="116">
        <f t="shared" si="143"/>
        <v>288543.83000005037</v>
      </c>
      <c r="P183" s="18">
        <v>1470237</v>
      </c>
      <c r="Q183" s="18">
        <f t="shared" si="143"/>
        <v>0</v>
      </c>
      <c r="R183" s="18">
        <f t="shared" si="110"/>
        <v>1470237</v>
      </c>
      <c r="S183" s="18">
        <f t="shared" si="143"/>
        <v>1307859.45</v>
      </c>
      <c r="T183" s="116">
        <v>335360.56</v>
      </c>
      <c r="U183" s="18">
        <f t="shared" si="143"/>
        <v>140022002.90000001</v>
      </c>
      <c r="V183" s="18">
        <f t="shared" si="143"/>
        <v>-364293.76999995112</v>
      </c>
      <c r="W183" s="18">
        <f t="shared" si="143"/>
        <v>-655021.84999999846</v>
      </c>
      <c r="X183" s="18">
        <f t="shared" si="143"/>
        <v>0.71000000089406967</v>
      </c>
      <c r="Y183" s="18">
        <f t="shared" si="109"/>
        <v>943565.68000004883</v>
      </c>
      <c r="Z183" s="18">
        <f t="shared" si="143"/>
        <v>0</v>
      </c>
      <c r="AA183" s="18" t="e">
        <f t="shared" si="143"/>
        <v>#REF!</v>
      </c>
      <c r="AB183" s="70" t="e">
        <f t="shared" si="107"/>
        <v>#DIV/0!</v>
      </c>
    </row>
    <row r="184" spans="1:28" ht="33">
      <c r="A184" s="19" t="s">
        <v>159</v>
      </c>
      <c r="B184" s="20" t="s">
        <v>334</v>
      </c>
      <c r="C184" s="21" t="s">
        <v>55</v>
      </c>
      <c r="D184" s="21" t="s">
        <v>626</v>
      </c>
      <c r="E184" s="271">
        <f>VLOOKUP($A184,publ_fin!$A:$I,8,FALSE)</f>
        <v>130960495.26000001</v>
      </c>
      <c r="F184" s="114">
        <v>0.91817788712511494</v>
      </c>
      <c r="G184" s="115"/>
      <c r="H184" s="22">
        <v>0</v>
      </c>
      <c r="I184" s="115">
        <f>F184*H184</f>
        <v>0</v>
      </c>
      <c r="J184" s="117">
        <v>130671952.63999996</v>
      </c>
      <c r="K184" s="117">
        <v>154815.04999999999</v>
      </c>
      <c r="L184" s="117">
        <v>0</v>
      </c>
      <c r="M184" s="23">
        <f t="shared" si="106"/>
        <v>154815.04999999999</v>
      </c>
      <c r="N184" s="54">
        <f>E184-J184</f>
        <v>288542.62000004947</v>
      </c>
      <c r="O184" s="117">
        <f>H184+N184</f>
        <v>288542.62000004947</v>
      </c>
      <c r="P184" s="23">
        <v>1462674</v>
      </c>
      <c r="Q184" s="23">
        <f>IFERROR(VLOOKUP(A184,lauzti_līg!A:H,8,FALSE),0)</f>
        <v>0</v>
      </c>
      <c r="R184" s="23">
        <f t="shared" si="110"/>
        <v>1462674</v>
      </c>
      <c r="S184" s="23">
        <f>R184-M184</f>
        <v>1307858.95</v>
      </c>
      <c r="T184" s="117">
        <v>335360.56</v>
      </c>
      <c r="U184" s="23">
        <f>IFERROR(VLOOKUP(A184,Nosl_līg!A:H,8,FALSE),0)</f>
        <v>130307658.87</v>
      </c>
      <c r="V184" s="23">
        <f>U184-J184</f>
        <v>-364293.76999995112</v>
      </c>
      <c r="W184" s="23">
        <f>O184-S184-V184</f>
        <v>-655022.55999999936</v>
      </c>
      <c r="X184" s="23">
        <f>IF(N184&gt;=S184+V184,N184-S184-V184,0)</f>
        <v>0</v>
      </c>
      <c r="Y184" s="23">
        <f t="shared" si="109"/>
        <v>943565.18000004883</v>
      </c>
      <c r="Z184" s="23">
        <f>IF(H184=0,0, IF(U184-E184+R184-M184&lt;0, 0, U184-E184+R184-M184))</f>
        <v>0</v>
      </c>
      <c r="AA184" s="23" t="e">
        <f>VLOOKUP(A184,#REF!,63,FALSE)/F184+T184</f>
        <v>#REF!</v>
      </c>
      <c r="AB184" s="69" t="e">
        <f t="shared" si="107"/>
        <v>#DIV/0!</v>
      </c>
    </row>
    <row r="185" spans="1:28" ht="33">
      <c r="A185" s="19" t="s">
        <v>160</v>
      </c>
      <c r="B185" s="20" t="s">
        <v>335</v>
      </c>
      <c r="C185" s="21" t="s">
        <v>55</v>
      </c>
      <c r="D185" s="21" t="s">
        <v>626</v>
      </c>
      <c r="E185" s="271">
        <f>VLOOKUP($A185,publ_fin!$A:$I,8,FALSE)</f>
        <v>9714345.2400000002</v>
      </c>
      <c r="F185" s="114">
        <v>0.84999994194153217</v>
      </c>
      <c r="G185" s="115"/>
      <c r="H185" s="22">
        <v>0</v>
      </c>
      <c r="I185" s="115">
        <f>F185*H185</f>
        <v>0</v>
      </c>
      <c r="J185" s="117">
        <v>9714344.0299999993</v>
      </c>
      <c r="K185" s="117">
        <v>7562.5</v>
      </c>
      <c r="L185" s="117">
        <v>0</v>
      </c>
      <c r="M185" s="23">
        <f t="shared" si="106"/>
        <v>7562.5</v>
      </c>
      <c r="N185" s="54">
        <f>E185-J185</f>
        <v>1.2100000008940697</v>
      </c>
      <c r="O185" s="117">
        <f>H185+N185</f>
        <v>1.2100000008940697</v>
      </c>
      <c r="P185" s="23">
        <v>7563</v>
      </c>
      <c r="Q185" s="23">
        <f>IFERROR(VLOOKUP(A185,lauzti_līg!A:H,8,FALSE),0)</f>
        <v>0</v>
      </c>
      <c r="R185" s="23">
        <f t="shared" si="110"/>
        <v>7563</v>
      </c>
      <c r="S185" s="23">
        <f>R185-M185</f>
        <v>0.5</v>
      </c>
      <c r="T185" s="117">
        <v>0</v>
      </c>
      <c r="U185" s="23">
        <f>IFERROR(VLOOKUP(A185,Nosl_līg!A:H,8,FALSE),0)</f>
        <v>9714344.0299999993</v>
      </c>
      <c r="V185" s="23">
        <f>U185-J185</f>
        <v>0</v>
      </c>
      <c r="W185" s="23">
        <f>O185-S185-V185</f>
        <v>0.71000000089406967</v>
      </c>
      <c r="X185" s="23">
        <f>IF(N185&gt;=S185+V185,N185-S185-V185,0)</f>
        <v>0.71000000089406967</v>
      </c>
      <c r="Y185" s="23">
        <f t="shared" si="109"/>
        <v>0.5</v>
      </c>
      <c r="Z185" s="23">
        <f>IF(H185=0,0, IF(U185-E185+R185-M185&lt;0, 0, U185-E185+R185-M185))</f>
        <v>0</v>
      </c>
      <c r="AA185" s="23" t="e">
        <f>VLOOKUP(A185,#REF!,63,FALSE)/F185+T185</f>
        <v>#REF!</v>
      </c>
      <c r="AB185" s="69" t="e">
        <f t="shared" si="107"/>
        <v>#DIV/0!</v>
      </c>
    </row>
    <row r="186" spans="1:28" ht="49.5">
      <c r="A186" s="14" t="s">
        <v>95</v>
      </c>
      <c r="B186" s="15" t="s">
        <v>560</v>
      </c>
      <c r="C186" s="16" t="s">
        <v>55</v>
      </c>
      <c r="D186" s="16" t="s">
        <v>131</v>
      </c>
      <c r="E186" s="270">
        <f t="shared" ref="E186:AA186" si="144">E187+E195</f>
        <v>382433257.82999998</v>
      </c>
      <c r="F186" s="113"/>
      <c r="G186" s="113">
        <f t="shared" si="144"/>
        <v>0</v>
      </c>
      <c r="H186" s="17">
        <f t="shared" si="144"/>
        <v>30966017</v>
      </c>
      <c r="I186" s="113">
        <f t="shared" si="144"/>
        <v>30966017</v>
      </c>
      <c r="J186" s="113">
        <f t="shared" si="144"/>
        <v>304120529.00999999</v>
      </c>
      <c r="K186" s="113">
        <f t="shared" si="144"/>
        <v>607404.22</v>
      </c>
      <c r="L186" s="113">
        <f t="shared" si="144"/>
        <v>1552349.04</v>
      </c>
      <c r="M186" s="17">
        <f t="shared" si="144"/>
        <v>2159753.2599999998</v>
      </c>
      <c r="N186" s="53">
        <f t="shared" si="144"/>
        <v>78312728.820000008</v>
      </c>
      <c r="O186" s="113">
        <f t="shared" si="144"/>
        <v>109278745.81999999</v>
      </c>
      <c r="P186" s="17">
        <v>3048220</v>
      </c>
      <c r="Q186" s="17">
        <f t="shared" si="144"/>
        <v>1701950.0200000003</v>
      </c>
      <c r="R186" s="17">
        <f t="shared" si="110"/>
        <v>4750170.0200000005</v>
      </c>
      <c r="S186" s="17">
        <f t="shared" ref="S186:U186" si="145">S187+S195</f>
        <v>2590416.7599999998</v>
      </c>
      <c r="T186" s="113">
        <v>715819.25000000012</v>
      </c>
      <c r="U186" s="17">
        <f t="shared" si="145"/>
        <v>380595438.43000001</v>
      </c>
      <c r="V186" s="17">
        <f t="shared" si="144"/>
        <v>76474909.420000032</v>
      </c>
      <c r="W186" s="17">
        <f t="shared" si="144"/>
        <v>30213419.639999971</v>
      </c>
      <c r="X186" s="17">
        <f t="shared" si="144"/>
        <v>22568875.299999986</v>
      </c>
      <c r="Y186" s="17">
        <f t="shared" si="109"/>
        <v>79065326.180000022</v>
      </c>
      <c r="Z186" s="17">
        <f t="shared" si="144"/>
        <v>23271128.520000011</v>
      </c>
      <c r="AA186" s="17" t="e">
        <f t="shared" si="144"/>
        <v>#REF!</v>
      </c>
      <c r="AB186" s="68">
        <f t="shared" si="107"/>
        <v>0.75150538475774942</v>
      </c>
    </row>
    <row r="187" spans="1:28" ht="33">
      <c r="A187" s="14" t="s">
        <v>96</v>
      </c>
      <c r="B187" s="15" t="s">
        <v>561</v>
      </c>
      <c r="C187" s="16" t="s">
        <v>55</v>
      </c>
      <c r="D187" s="16" t="s">
        <v>140</v>
      </c>
      <c r="E187" s="270">
        <f t="shared" ref="E187:AA187" si="146">E188+E189+E190+E193+E194</f>
        <v>254549725.63</v>
      </c>
      <c r="F187" s="113"/>
      <c r="G187" s="113">
        <f t="shared" si="146"/>
        <v>0</v>
      </c>
      <c r="H187" s="17">
        <f t="shared" si="146"/>
        <v>21295426</v>
      </c>
      <c r="I187" s="113">
        <f t="shared" si="146"/>
        <v>21295426</v>
      </c>
      <c r="J187" s="113">
        <f t="shared" si="146"/>
        <v>222669677.00999999</v>
      </c>
      <c r="K187" s="113">
        <f t="shared" si="146"/>
        <v>384358.86</v>
      </c>
      <c r="L187" s="113">
        <f t="shared" si="146"/>
        <v>1552349.04</v>
      </c>
      <c r="M187" s="17">
        <f t="shared" si="146"/>
        <v>1936707.9</v>
      </c>
      <c r="N187" s="53">
        <f t="shared" si="146"/>
        <v>31880048.620000005</v>
      </c>
      <c r="O187" s="113">
        <f t="shared" si="146"/>
        <v>53175474.619999997</v>
      </c>
      <c r="P187" s="17">
        <v>944821</v>
      </c>
      <c r="Q187" s="17">
        <f t="shared" si="146"/>
        <v>1697560.4100000001</v>
      </c>
      <c r="R187" s="17">
        <f t="shared" si="110"/>
        <v>2642381.41</v>
      </c>
      <c r="S187" s="17">
        <f t="shared" ref="S187:U187" si="147">S188+S189+S190+S193+S194</f>
        <v>705673.51</v>
      </c>
      <c r="T187" s="113">
        <v>98802.020000000135</v>
      </c>
      <c r="U187" s="17">
        <f t="shared" si="147"/>
        <v>255124170.13999999</v>
      </c>
      <c r="V187" s="17">
        <f t="shared" si="146"/>
        <v>32454493.130000018</v>
      </c>
      <c r="W187" s="17">
        <f t="shared" si="146"/>
        <v>20015307.979999986</v>
      </c>
      <c r="X187" s="17">
        <f t="shared" si="146"/>
        <v>18713405.699999984</v>
      </c>
      <c r="Y187" s="17">
        <f t="shared" si="109"/>
        <v>33160166.640000012</v>
      </c>
      <c r="Z187" s="17">
        <f t="shared" si="146"/>
        <v>19943179.579999998</v>
      </c>
      <c r="AA187" s="17" t="e">
        <f t="shared" si="146"/>
        <v>#REF!</v>
      </c>
      <c r="AB187" s="68">
        <f t="shared" si="107"/>
        <v>0.93650061661128536</v>
      </c>
    </row>
    <row r="188" spans="1:28" ht="49.5">
      <c r="A188" s="19" t="s">
        <v>336</v>
      </c>
      <c r="B188" s="20" t="s">
        <v>643</v>
      </c>
      <c r="C188" s="21" t="s">
        <v>55</v>
      </c>
      <c r="D188" s="21" t="s">
        <v>140</v>
      </c>
      <c r="E188" s="271">
        <f>VLOOKUP($A188,publ_fin!$A:$I,8,FALSE)</f>
        <v>154442770.84999999</v>
      </c>
      <c r="F188" s="114">
        <v>0.84999999888308142</v>
      </c>
      <c r="G188" s="115"/>
      <c r="H188" s="22">
        <v>0</v>
      </c>
      <c r="I188" s="115">
        <f>F188*H188</f>
        <v>0</v>
      </c>
      <c r="J188" s="117">
        <v>145224771.26999998</v>
      </c>
      <c r="K188" s="117">
        <v>0</v>
      </c>
      <c r="L188" s="117">
        <v>0</v>
      </c>
      <c r="M188" s="23">
        <f t="shared" si="106"/>
        <v>0</v>
      </c>
      <c r="N188" s="54">
        <f>E188-J188</f>
        <v>9217999.5800000131</v>
      </c>
      <c r="O188" s="117">
        <f>H188+N188</f>
        <v>9217999.5800000131</v>
      </c>
      <c r="P188" s="23">
        <v>24695</v>
      </c>
      <c r="Q188" s="23">
        <f>IFERROR(VLOOKUP(A188,lauzti_līg!A:H,8,FALSE),0)-19016000</f>
        <v>0</v>
      </c>
      <c r="R188" s="23">
        <f t="shared" si="110"/>
        <v>24695</v>
      </c>
      <c r="S188" s="23">
        <f>R188-M188</f>
        <v>24695</v>
      </c>
      <c r="T188" s="117">
        <v>0</v>
      </c>
      <c r="U188" s="23">
        <f>IFERROR(VLOOKUP(A188,Nosl_līg!A:H,8,FALSE),0)</f>
        <v>135704671.02000001</v>
      </c>
      <c r="V188" s="23">
        <f>U188-J188</f>
        <v>-9520100.2499999702</v>
      </c>
      <c r="W188" s="23">
        <f>O188-S188-V188</f>
        <v>18713404.829999983</v>
      </c>
      <c r="X188" s="23">
        <f>IF(N188&gt;=S188+V188,N188-S188-V188,0)</f>
        <v>18713404.829999983</v>
      </c>
      <c r="Y188" s="23">
        <f t="shared" si="109"/>
        <v>-9495405.2499999702</v>
      </c>
      <c r="Z188" s="23">
        <f>IF(H188=0,0, IF(U188-E188+R188-M188&lt;0, 0, U188-E188+R188-M188))</f>
        <v>0</v>
      </c>
      <c r="AA188" s="23" t="e">
        <f>VLOOKUP(A188,#REF!,63,FALSE)/F188+T188</f>
        <v>#REF!</v>
      </c>
      <c r="AB188" s="69" t="e">
        <f t="shared" si="107"/>
        <v>#DIV/0!</v>
      </c>
    </row>
    <row r="189" spans="1:28" ht="33">
      <c r="A189" s="19" t="s">
        <v>198</v>
      </c>
      <c r="B189" s="20" t="s">
        <v>562</v>
      </c>
      <c r="C189" s="21" t="s">
        <v>55</v>
      </c>
      <c r="D189" s="21" t="s">
        <v>140</v>
      </c>
      <c r="E189" s="271">
        <f>VLOOKUP($A189,publ_fin!$A:$I,8,FALSE)</f>
        <v>64233387.939999998</v>
      </c>
      <c r="F189" s="114">
        <v>1</v>
      </c>
      <c r="G189" s="115"/>
      <c r="H189" s="22">
        <v>20616189</v>
      </c>
      <c r="I189" s="115">
        <f>F189*H189</f>
        <v>20616189</v>
      </c>
      <c r="J189" s="117">
        <v>45510119.040000007</v>
      </c>
      <c r="K189" s="117">
        <v>307260.92</v>
      </c>
      <c r="L189" s="117">
        <v>1552349.04</v>
      </c>
      <c r="M189" s="23">
        <f t="shared" si="106"/>
        <v>1859609.96</v>
      </c>
      <c r="N189" s="54">
        <f>E189-J189</f>
        <v>18723268.899999991</v>
      </c>
      <c r="O189" s="117">
        <f>H189+N189</f>
        <v>39339457.899999991</v>
      </c>
      <c r="P189" s="23">
        <v>742986</v>
      </c>
      <c r="Q189" s="23">
        <f>IFERROR(VLOOKUP(A189,lauzti_līg!A:H,8,FALSE),0)</f>
        <v>1552349.04</v>
      </c>
      <c r="R189" s="23">
        <f t="shared" si="110"/>
        <v>2295335.04</v>
      </c>
      <c r="S189" s="23">
        <f>R189-M189</f>
        <v>435725.08000000007</v>
      </c>
      <c r="T189" s="117">
        <v>-73613.839999999851</v>
      </c>
      <c r="U189" s="23">
        <f>IFERROR(VLOOKUP(A189,Nosl_līg!A:H,8,FALSE),0)</f>
        <v>83061606.409999996</v>
      </c>
      <c r="V189" s="23">
        <f>U189-J189</f>
        <v>37551487.36999999</v>
      </c>
      <c r="W189" s="23">
        <f>O189-S189-V189</f>
        <v>1352245.450000003</v>
      </c>
      <c r="X189" s="23">
        <f>IF(N189&gt;=S189+V189,N189-S189-V189,0)</f>
        <v>0</v>
      </c>
      <c r="Y189" s="23">
        <f t="shared" si="109"/>
        <v>37987212.449999988</v>
      </c>
      <c r="Z189" s="23">
        <f>IF(H189=0,0, IF(U189-E189+R189-M189&lt;0, 0, U189-E189+R189-M189))</f>
        <v>19263943.549999997</v>
      </c>
      <c r="AA189" s="23" t="e">
        <f>VLOOKUP(A189,#REF!,63,FALSE)/F189+T189</f>
        <v>#REF!</v>
      </c>
      <c r="AB189" s="69">
        <f t="shared" si="107"/>
        <v>0.93440856358078583</v>
      </c>
    </row>
    <row r="190" spans="1:28" ht="49.5">
      <c r="A190" s="19" t="s">
        <v>199</v>
      </c>
      <c r="B190" s="20" t="s">
        <v>563</v>
      </c>
      <c r="C190" s="21" t="s">
        <v>55</v>
      </c>
      <c r="D190" s="21" t="s">
        <v>140</v>
      </c>
      <c r="E190" s="269">
        <f t="shared" ref="E190:G190" si="148">E191+E192</f>
        <v>18343908.289999999</v>
      </c>
      <c r="F190" s="116"/>
      <c r="G190" s="116">
        <f t="shared" si="148"/>
        <v>0</v>
      </c>
      <c r="H190" s="23">
        <v>679237</v>
      </c>
      <c r="I190" s="116">
        <f t="shared" ref="I190:AA190" si="149">I191+I192</f>
        <v>679237</v>
      </c>
      <c r="J190" s="116">
        <f t="shared" si="149"/>
        <v>14405129.160000002</v>
      </c>
      <c r="K190" s="116">
        <f t="shared" si="149"/>
        <v>77097.94</v>
      </c>
      <c r="L190" s="116">
        <f t="shared" si="149"/>
        <v>0</v>
      </c>
      <c r="M190" s="18">
        <f t="shared" si="149"/>
        <v>77097.94</v>
      </c>
      <c r="N190" s="54">
        <f t="shared" si="149"/>
        <v>3938779.129999999</v>
      </c>
      <c r="O190" s="116">
        <f t="shared" si="149"/>
        <v>4618016.129999999</v>
      </c>
      <c r="P190" s="18">
        <v>173813</v>
      </c>
      <c r="Q190" s="18">
        <f t="shared" si="149"/>
        <v>145211.37</v>
      </c>
      <c r="R190" s="18">
        <f t="shared" si="110"/>
        <v>319024.37</v>
      </c>
      <c r="S190" s="18">
        <f t="shared" si="149"/>
        <v>241926.43</v>
      </c>
      <c r="T190" s="116">
        <v>172415.86</v>
      </c>
      <c r="U190" s="18">
        <f t="shared" si="149"/>
        <v>18831561.890000001</v>
      </c>
      <c r="V190" s="18">
        <f t="shared" si="149"/>
        <v>4426432.7299999986</v>
      </c>
      <c r="W190" s="18">
        <f t="shared" si="149"/>
        <v>-50343.02999999962</v>
      </c>
      <c r="X190" s="18">
        <f t="shared" si="149"/>
        <v>0</v>
      </c>
      <c r="Y190" s="18">
        <f t="shared" si="109"/>
        <v>4668359.1599999983</v>
      </c>
      <c r="Z190" s="18">
        <f t="shared" si="149"/>
        <v>679236.02999999933</v>
      </c>
      <c r="AA190" s="18" t="e">
        <f t="shared" si="149"/>
        <v>#REF!</v>
      </c>
      <c r="AB190" s="70">
        <f t="shared" si="107"/>
        <v>0.9999985719270289</v>
      </c>
    </row>
    <row r="191" spans="1:28" ht="49.5">
      <c r="A191" s="19" t="s">
        <v>339</v>
      </c>
      <c r="B191" s="20" t="s">
        <v>641</v>
      </c>
      <c r="C191" s="21" t="s">
        <v>55</v>
      </c>
      <c r="D191" s="21" t="s">
        <v>140</v>
      </c>
      <c r="E191" s="271">
        <f>VLOOKUP($A191,publ_fin!$A:$I,8,FALSE)</f>
        <v>9343036.3200000003</v>
      </c>
      <c r="F191" s="114">
        <v>1</v>
      </c>
      <c r="G191" s="115"/>
      <c r="H191" s="22">
        <v>0</v>
      </c>
      <c r="I191" s="115">
        <f>F191*H191</f>
        <v>0</v>
      </c>
      <c r="J191" s="117">
        <v>9414556.410000002</v>
      </c>
      <c r="K191" s="117">
        <v>77097.94</v>
      </c>
      <c r="L191" s="117">
        <v>0</v>
      </c>
      <c r="M191" s="23">
        <f t="shared" si="106"/>
        <v>77097.94</v>
      </c>
      <c r="N191" s="54">
        <f>E191-J191</f>
        <v>-71520.090000001714</v>
      </c>
      <c r="O191" s="117">
        <f>H191+N191</f>
        <v>-71520.090000001714</v>
      </c>
      <c r="P191" s="23">
        <v>173813</v>
      </c>
      <c r="Q191" s="23">
        <f>IFERROR(VLOOKUP(A191,lauzti_līg!A:H,8,FALSE),0)</f>
        <v>145211.37</v>
      </c>
      <c r="R191" s="23">
        <f t="shared" si="110"/>
        <v>319024.37</v>
      </c>
      <c r="S191" s="23">
        <f>R191-M191</f>
        <v>241926.43</v>
      </c>
      <c r="T191" s="117">
        <v>172415.86</v>
      </c>
      <c r="U191" s="23">
        <f>IFERROR(VLOOKUP(A191,Nosl_līg!A:H,8,FALSE),0)</f>
        <v>9151453.8900000006</v>
      </c>
      <c r="V191" s="23">
        <f>U191-J191</f>
        <v>-263102.52000000142</v>
      </c>
      <c r="W191" s="23">
        <f>O191-S191-V191</f>
        <v>-50344.000000000291</v>
      </c>
      <c r="X191" s="23">
        <f>IF(N191&gt;=S191+V191,N191-S191-V191,0)</f>
        <v>0</v>
      </c>
      <c r="Y191" s="23">
        <f t="shared" si="109"/>
        <v>-21176.090000001423</v>
      </c>
      <c r="Z191" s="23">
        <f>IF(H191=0,0, IF(U191-E191+R191-M191&lt;0, 0, U191-E191+R191-M191))</f>
        <v>0</v>
      </c>
      <c r="AA191" s="23" t="e">
        <f>VLOOKUP(A191,#REF!,63,FALSE)/F191+T191</f>
        <v>#REF!</v>
      </c>
      <c r="AB191" s="69" t="e">
        <f t="shared" si="107"/>
        <v>#DIV/0!</v>
      </c>
    </row>
    <row r="192" spans="1:28" ht="33">
      <c r="A192" s="19" t="s">
        <v>97</v>
      </c>
      <c r="B192" s="20" t="s">
        <v>564</v>
      </c>
      <c r="C192" s="21" t="s">
        <v>55</v>
      </c>
      <c r="D192" s="21" t="s">
        <v>140</v>
      </c>
      <c r="E192" s="271">
        <f>VLOOKUP($A192,publ_fin!$A:$I,8,FALSE)</f>
        <v>9000871.9700000007</v>
      </c>
      <c r="F192" s="114">
        <v>1</v>
      </c>
      <c r="G192" s="115"/>
      <c r="H192" s="22">
        <v>679237</v>
      </c>
      <c r="I192" s="115">
        <f>F192*H192</f>
        <v>679237</v>
      </c>
      <c r="J192" s="117">
        <v>4990572.75</v>
      </c>
      <c r="K192" s="117">
        <v>0</v>
      </c>
      <c r="L192" s="117">
        <v>0</v>
      </c>
      <c r="M192" s="23">
        <f t="shared" si="106"/>
        <v>0</v>
      </c>
      <c r="N192" s="54">
        <f>E192-J192</f>
        <v>4010299.2200000007</v>
      </c>
      <c r="O192" s="117">
        <f>H192+N192</f>
        <v>4689536.2200000007</v>
      </c>
      <c r="P192" s="23">
        <v>0</v>
      </c>
      <c r="Q192" s="23">
        <f>IFERROR(VLOOKUP(A192,lauzti_līg!A:H,8,FALSE),0)</f>
        <v>0</v>
      </c>
      <c r="R192" s="23">
        <f t="shared" si="110"/>
        <v>0</v>
      </c>
      <c r="S192" s="23">
        <f>R192-M192</f>
        <v>0</v>
      </c>
      <c r="T192" s="117">
        <v>0</v>
      </c>
      <c r="U192" s="23">
        <f>IFERROR(VLOOKUP(A192,Nosl_līg!A:H,8,FALSE),0)</f>
        <v>9680108</v>
      </c>
      <c r="V192" s="23">
        <f>U192-J192</f>
        <v>4689535.25</v>
      </c>
      <c r="W192" s="23">
        <f>O192-S192-V192</f>
        <v>0.97000000067055225</v>
      </c>
      <c r="X192" s="23">
        <f>IF(N192&gt;=S192+V192,N192-S192-V192,0)</f>
        <v>0</v>
      </c>
      <c r="Y192" s="23">
        <f t="shared" si="109"/>
        <v>4689535.25</v>
      </c>
      <c r="Z192" s="23">
        <f>IF(H192=0,0, IF(U192-E192+R192-M192&lt;0, 0, U192-E192+R192-M192))</f>
        <v>679236.02999999933</v>
      </c>
      <c r="AA192" s="23" t="e">
        <f>VLOOKUP(A192,#REF!,63,FALSE)/F192+T192</f>
        <v>#REF!</v>
      </c>
      <c r="AB192" s="69">
        <f t="shared" si="107"/>
        <v>0.9999985719270289</v>
      </c>
    </row>
    <row r="193" spans="1:28" ht="33">
      <c r="A193" s="19" t="s">
        <v>342</v>
      </c>
      <c r="B193" s="20" t="s">
        <v>565</v>
      </c>
      <c r="C193" s="21" t="s">
        <v>55</v>
      </c>
      <c r="D193" s="21" t="s">
        <v>140</v>
      </c>
      <c r="E193" s="271">
        <f>VLOOKUP($A193,publ_fin!$A:$I,8,FALSE)</f>
        <v>3473578.55</v>
      </c>
      <c r="F193" s="114">
        <v>1</v>
      </c>
      <c r="G193" s="115"/>
      <c r="H193" s="22">
        <v>0</v>
      </c>
      <c r="I193" s="115">
        <f>F193*H193</f>
        <v>0</v>
      </c>
      <c r="J193" s="117">
        <v>3473577.6799999997</v>
      </c>
      <c r="K193" s="117">
        <v>0</v>
      </c>
      <c r="L193" s="117">
        <v>0</v>
      </c>
      <c r="M193" s="23">
        <f t="shared" si="106"/>
        <v>0</v>
      </c>
      <c r="N193" s="54">
        <f>E193-J193</f>
        <v>0.87000000011175871</v>
      </c>
      <c r="O193" s="117">
        <f>H193+N193</f>
        <v>0.87000000011175871</v>
      </c>
      <c r="P193" s="23">
        <v>0</v>
      </c>
      <c r="Q193" s="23">
        <f>IFERROR(VLOOKUP(A193,lauzti_līg!A:H,8,FALSE),0)</f>
        <v>0</v>
      </c>
      <c r="R193" s="23">
        <f t="shared" si="110"/>
        <v>0</v>
      </c>
      <c r="S193" s="23">
        <f>R193-M193</f>
        <v>0</v>
      </c>
      <c r="T193" s="117">
        <v>0</v>
      </c>
      <c r="U193" s="23">
        <f>IFERROR(VLOOKUP(A193,Nosl_līg!A:H,8,FALSE),0)</f>
        <v>3473577.68</v>
      </c>
      <c r="V193" s="23">
        <f>U193-J193</f>
        <v>0</v>
      </c>
      <c r="W193" s="23">
        <f>O193-S193-V193</f>
        <v>0.87000000011175871</v>
      </c>
      <c r="X193" s="23">
        <f>IF(N193&gt;=S193+V193,N193-S193-V193,0)</f>
        <v>0.87000000011175871</v>
      </c>
      <c r="Y193" s="23">
        <f t="shared" si="109"/>
        <v>0</v>
      </c>
      <c r="Z193" s="23">
        <f>IF(H193=0,0, IF(U193-E193+R193-M193&lt;0, 0, U193-E193+R193-M193))</f>
        <v>0</v>
      </c>
      <c r="AA193" s="23" t="e">
        <f>VLOOKUP(A193,#REF!,63,FALSE)/F193+T193</f>
        <v>#REF!</v>
      </c>
      <c r="AB193" s="69" t="e">
        <f t="shared" si="107"/>
        <v>#DIV/0!</v>
      </c>
    </row>
    <row r="194" spans="1:28" ht="33">
      <c r="A194" s="19" t="s">
        <v>98</v>
      </c>
      <c r="B194" s="20" t="s">
        <v>566</v>
      </c>
      <c r="C194" s="21" t="s">
        <v>55</v>
      </c>
      <c r="D194" s="21" t="s">
        <v>140</v>
      </c>
      <c r="E194" s="271">
        <f>VLOOKUP($A194,publ_fin!$A:$I,8,FALSE)</f>
        <v>14056080</v>
      </c>
      <c r="F194" s="114">
        <v>1</v>
      </c>
      <c r="G194" s="115"/>
      <c r="H194" s="22">
        <v>0</v>
      </c>
      <c r="I194" s="115">
        <f>F194*H194</f>
        <v>0</v>
      </c>
      <c r="J194" s="117">
        <v>14056079.859999999</v>
      </c>
      <c r="K194" s="117">
        <v>0</v>
      </c>
      <c r="L194" s="117">
        <v>0</v>
      </c>
      <c r="M194" s="23">
        <f t="shared" si="106"/>
        <v>0</v>
      </c>
      <c r="N194" s="54">
        <f>E194-J194</f>
        <v>0.14000000059604645</v>
      </c>
      <c r="O194" s="117">
        <f>H194+N194</f>
        <v>0.14000000059604645</v>
      </c>
      <c r="P194" s="23">
        <v>3327</v>
      </c>
      <c r="Q194" s="23">
        <f>IFERROR(VLOOKUP(A194,lauzti_līg!A:H,8,FALSE),0)</f>
        <v>0</v>
      </c>
      <c r="R194" s="23">
        <f t="shared" si="110"/>
        <v>3327</v>
      </c>
      <c r="S194" s="23">
        <f>R194-M194</f>
        <v>3327</v>
      </c>
      <c r="T194" s="117">
        <v>0</v>
      </c>
      <c r="U194" s="23">
        <f>IFERROR(VLOOKUP(A194,Nosl_līg!A:H,8,FALSE),0)</f>
        <v>14052753.140000001</v>
      </c>
      <c r="V194" s="23">
        <f>U194-J194</f>
        <v>-3326.7199999988079</v>
      </c>
      <c r="W194" s="23">
        <f>O194-S194-V194</f>
        <v>-0.14000000059604645</v>
      </c>
      <c r="X194" s="23">
        <f>IF(N194&gt;=S194+V194,N194-S194-V194,0)</f>
        <v>0</v>
      </c>
      <c r="Y194" s="23">
        <f t="shared" si="109"/>
        <v>0.2800000011920929</v>
      </c>
      <c r="Z194" s="23">
        <f>IF(H194=0,0, IF(U194-E194+R194-M194&lt;0, 0, U194-E194+R194-M194))</f>
        <v>0</v>
      </c>
      <c r="AA194" s="23" t="e">
        <f>VLOOKUP(A194,#REF!,63,FALSE)/F194+T194</f>
        <v>#REF!</v>
      </c>
      <c r="AB194" s="69" t="e">
        <f t="shared" si="107"/>
        <v>#DIV/0!</v>
      </c>
    </row>
    <row r="195" spans="1:28" ht="33">
      <c r="A195" s="14" t="s">
        <v>99</v>
      </c>
      <c r="B195" s="15" t="s">
        <v>567</v>
      </c>
      <c r="C195" s="16" t="s">
        <v>55</v>
      </c>
      <c r="D195" s="16" t="s">
        <v>131</v>
      </c>
      <c r="E195" s="270">
        <f t="shared" ref="E195:AA195" si="150">E196+E199+E200+E201</f>
        <v>127883532.2</v>
      </c>
      <c r="F195" s="113"/>
      <c r="G195" s="113">
        <f t="shared" si="150"/>
        <v>0</v>
      </c>
      <c r="H195" s="17">
        <f t="shared" si="150"/>
        <v>9670591</v>
      </c>
      <c r="I195" s="113">
        <f t="shared" si="150"/>
        <v>9670591</v>
      </c>
      <c r="J195" s="113">
        <f t="shared" si="150"/>
        <v>81450851.999999985</v>
      </c>
      <c r="K195" s="113">
        <f t="shared" si="150"/>
        <v>223045.36</v>
      </c>
      <c r="L195" s="113">
        <f t="shared" si="150"/>
        <v>0</v>
      </c>
      <c r="M195" s="17">
        <f t="shared" si="150"/>
        <v>223045.36</v>
      </c>
      <c r="N195" s="53">
        <f t="shared" si="150"/>
        <v>46432680.200000003</v>
      </c>
      <c r="O195" s="113">
        <f t="shared" si="150"/>
        <v>56103271.200000003</v>
      </c>
      <c r="P195" s="17">
        <v>2103399</v>
      </c>
      <c r="Q195" s="17">
        <f t="shared" si="150"/>
        <v>4389.6099999999997</v>
      </c>
      <c r="R195" s="17">
        <f t="shared" si="110"/>
        <v>2107788.61</v>
      </c>
      <c r="S195" s="17">
        <f t="shared" ref="S195:U195" si="151">S196+S199+S200+S201</f>
        <v>1884743.25</v>
      </c>
      <c r="T195" s="113">
        <v>617017.23</v>
      </c>
      <c r="U195" s="17">
        <f t="shared" si="151"/>
        <v>125471268.29000001</v>
      </c>
      <c r="V195" s="17">
        <f t="shared" si="150"/>
        <v>44020416.290000014</v>
      </c>
      <c r="W195" s="17">
        <f t="shared" si="150"/>
        <v>10198111.659999987</v>
      </c>
      <c r="X195" s="17">
        <f t="shared" si="150"/>
        <v>3855469.6000000006</v>
      </c>
      <c r="Y195" s="17">
        <f t="shared" si="109"/>
        <v>45905159.540000014</v>
      </c>
      <c r="Z195" s="17">
        <f t="shared" si="150"/>
        <v>3327948.9400000125</v>
      </c>
      <c r="AA195" s="17" t="e">
        <f t="shared" si="150"/>
        <v>#REF!</v>
      </c>
      <c r="AB195" s="68">
        <f t="shared" si="107"/>
        <v>0.34413087473144222</v>
      </c>
    </row>
    <row r="196" spans="1:28" ht="49.5">
      <c r="A196" s="19" t="s">
        <v>100</v>
      </c>
      <c r="B196" s="20" t="s">
        <v>568</v>
      </c>
      <c r="C196" s="21" t="s">
        <v>55</v>
      </c>
      <c r="D196" s="21" t="s">
        <v>1</v>
      </c>
      <c r="E196" s="269">
        <f t="shared" ref="E196:AA196" si="152">E197+E198</f>
        <v>109144798.45999999</v>
      </c>
      <c r="F196" s="116"/>
      <c r="G196" s="116">
        <f t="shared" si="152"/>
        <v>0</v>
      </c>
      <c r="H196" s="23">
        <f t="shared" si="152"/>
        <v>9670591</v>
      </c>
      <c r="I196" s="116">
        <f t="shared" si="152"/>
        <v>9670591</v>
      </c>
      <c r="J196" s="116">
        <f t="shared" si="152"/>
        <v>81450851.999999985</v>
      </c>
      <c r="K196" s="116">
        <f t="shared" si="152"/>
        <v>223045.36</v>
      </c>
      <c r="L196" s="116">
        <f t="shared" si="152"/>
        <v>0</v>
      </c>
      <c r="M196" s="18">
        <f t="shared" si="152"/>
        <v>223045.36</v>
      </c>
      <c r="N196" s="54">
        <f t="shared" si="152"/>
        <v>27693946.460000005</v>
      </c>
      <c r="O196" s="116">
        <f t="shared" si="152"/>
        <v>37364537.460000008</v>
      </c>
      <c r="P196" s="18">
        <v>2103399</v>
      </c>
      <c r="Q196" s="18">
        <f t="shared" si="152"/>
        <v>4389.6099999999997</v>
      </c>
      <c r="R196" s="18">
        <f t="shared" si="110"/>
        <v>2107788.61</v>
      </c>
      <c r="S196" s="18">
        <f t="shared" ref="S196:U196" si="153">S197+S198</f>
        <v>1884743.25</v>
      </c>
      <c r="T196" s="116">
        <v>617017.23</v>
      </c>
      <c r="U196" s="18">
        <f t="shared" si="153"/>
        <v>109282535.29000001</v>
      </c>
      <c r="V196" s="18">
        <f t="shared" si="152"/>
        <v>27831683.290000014</v>
      </c>
      <c r="W196" s="18">
        <f t="shared" si="152"/>
        <v>7648110.9199999887</v>
      </c>
      <c r="X196" s="18">
        <f t="shared" si="152"/>
        <v>1305468.8600000013</v>
      </c>
      <c r="Y196" s="18">
        <f t="shared" si="109"/>
        <v>29716426.540000021</v>
      </c>
      <c r="Z196" s="18">
        <f t="shared" si="152"/>
        <v>3327948.9400000125</v>
      </c>
      <c r="AA196" s="18" t="e">
        <f t="shared" si="152"/>
        <v>#REF!</v>
      </c>
      <c r="AB196" s="70">
        <f t="shared" si="107"/>
        <v>0.34413087473144222</v>
      </c>
    </row>
    <row r="197" spans="1:28" ht="49.5">
      <c r="A197" s="19" t="s">
        <v>156</v>
      </c>
      <c r="B197" s="20" t="s">
        <v>569</v>
      </c>
      <c r="C197" s="21" t="s">
        <v>55</v>
      </c>
      <c r="D197" s="21" t="s">
        <v>628</v>
      </c>
      <c r="E197" s="271">
        <f>VLOOKUP($A197,publ_fin!$A:$I,8,FALSE)</f>
        <v>96944797.819999993</v>
      </c>
      <c r="F197" s="114">
        <v>1</v>
      </c>
      <c r="G197" s="115"/>
      <c r="H197" s="22">
        <v>9670591</v>
      </c>
      <c r="I197" s="115">
        <f>F197*H197</f>
        <v>9670591</v>
      </c>
      <c r="J197" s="117">
        <v>71030119.519999996</v>
      </c>
      <c r="K197" s="117">
        <v>214258</v>
      </c>
      <c r="L197" s="117">
        <v>0</v>
      </c>
      <c r="M197" s="23">
        <f t="shared" si="106"/>
        <v>214258</v>
      </c>
      <c r="N197" s="54">
        <f>E197-J197</f>
        <v>25914678.299999997</v>
      </c>
      <c r="O197" s="117">
        <f>H197+N197</f>
        <v>35585269.299999997</v>
      </c>
      <c r="P197" s="23">
        <v>2041919</v>
      </c>
      <c r="Q197" s="23">
        <f>IFERROR(VLOOKUP(A197,lauzti_līg!A:H,8,FALSE),0)</f>
        <v>0</v>
      </c>
      <c r="R197" s="23">
        <f t="shared" si="110"/>
        <v>2041919</v>
      </c>
      <c r="S197" s="23">
        <f>R197-M197</f>
        <v>1827661</v>
      </c>
      <c r="T197" s="117">
        <v>582771.78</v>
      </c>
      <c r="U197" s="23">
        <f>IFERROR(VLOOKUP(A197,Nosl_līg!A:H,8,FALSE),0)</f>
        <v>98445085.760000005</v>
      </c>
      <c r="V197" s="23">
        <f>U197-J197</f>
        <v>27414966.24000001</v>
      </c>
      <c r="W197" s="23">
        <f>O197-S197-V197</f>
        <v>6342642.0599999875</v>
      </c>
      <c r="X197" s="23">
        <f>IF(N197&gt;=S197+V197,N197-S197-V197,0)</f>
        <v>0</v>
      </c>
      <c r="Y197" s="23">
        <f t="shared" si="109"/>
        <v>29242627.24000001</v>
      </c>
      <c r="Z197" s="23">
        <f>IF(H197=0,0, IF(U197-E197+R197-M197&lt;0, 0, U197-E197+R197-M197))</f>
        <v>3327948.9400000125</v>
      </c>
      <c r="AA197" s="23" t="e">
        <f>VLOOKUP(A197,#REF!,63,FALSE)/F197+T197</f>
        <v>#REF!</v>
      </c>
      <c r="AB197" s="69">
        <f t="shared" si="107"/>
        <v>0.34413087473144222</v>
      </c>
    </row>
    <row r="198" spans="1:28" ht="33">
      <c r="A198" s="19" t="s">
        <v>176</v>
      </c>
      <c r="B198" s="20" t="s">
        <v>570</v>
      </c>
      <c r="C198" s="21" t="s">
        <v>55</v>
      </c>
      <c r="D198" s="21" t="s">
        <v>5</v>
      </c>
      <c r="E198" s="271">
        <f>VLOOKUP($A198,publ_fin!$A:$I,8,FALSE)</f>
        <v>12200000.640000001</v>
      </c>
      <c r="F198" s="114">
        <v>1</v>
      </c>
      <c r="G198" s="115"/>
      <c r="H198" s="22">
        <v>0</v>
      </c>
      <c r="I198" s="115">
        <f>F198*H198</f>
        <v>0</v>
      </c>
      <c r="J198" s="117">
        <v>10420732.479999993</v>
      </c>
      <c r="K198" s="117">
        <v>8787.36</v>
      </c>
      <c r="L198" s="117">
        <v>0</v>
      </c>
      <c r="M198" s="23">
        <f t="shared" si="106"/>
        <v>8787.36</v>
      </c>
      <c r="N198" s="54">
        <f>E198-J198</f>
        <v>1779268.1600000076</v>
      </c>
      <c r="O198" s="117">
        <f>H198+N198</f>
        <v>1779268.1600000076</v>
      </c>
      <c r="P198" s="23">
        <v>61480</v>
      </c>
      <c r="Q198" s="23">
        <f>IFERROR(VLOOKUP(A198,lauzti_līg!A:H,8,FALSE),0)</f>
        <v>4389.6099999999997</v>
      </c>
      <c r="R198" s="23">
        <f t="shared" si="110"/>
        <v>65869.61</v>
      </c>
      <c r="S198" s="23">
        <f>R198-M198</f>
        <v>57082.25</v>
      </c>
      <c r="T198" s="117">
        <v>34245.449999999997</v>
      </c>
      <c r="U198" s="23">
        <f>IFERROR(VLOOKUP(A198,Nosl_līg!A:H,8,FALSE),0)</f>
        <v>10837449.529999999</v>
      </c>
      <c r="V198" s="23">
        <f>U198-J198</f>
        <v>416717.05000000633</v>
      </c>
      <c r="W198" s="23">
        <f>O198-S198-V198</f>
        <v>1305468.8600000013</v>
      </c>
      <c r="X198" s="23">
        <f>IF(N198&gt;=S198+V198,N198-S198-V198,0)</f>
        <v>1305468.8600000013</v>
      </c>
      <c r="Y198" s="23">
        <f t="shared" si="109"/>
        <v>473799.30000000633</v>
      </c>
      <c r="Z198" s="23">
        <f>IF(H198=0,0, IF(U198-E198+R198-M198&lt;0, 0, U198-E198+R198-M198))</f>
        <v>0</v>
      </c>
      <c r="AA198" s="23" t="e">
        <f>VLOOKUP(A198,#REF!,63,FALSE)/F198+T198</f>
        <v>#REF!</v>
      </c>
      <c r="AB198" s="69" t="e">
        <f t="shared" si="107"/>
        <v>#DIV/0!</v>
      </c>
    </row>
    <row r="199" spans="1:28" ht="33">
      <c r="A199" s="19" t="s">
        <v>101</v>
      </c>
      <c r="B199" s="20" t="s">
        <v>571</v>
      </c>
      <c r="C199" s="21" t="s">
        <v>55</v>
      </c>
      <c r="D199" s="21" t="s">
        <v>628</v>
      </c>
      <c r="E199" s="271">
        <f>VLOOKUP($A199,publ_fin!$A:$I,8,FALSE)</f>
        <v>2550000.62</v>
      </c>
      <c r="F199" s="114">
        <v>1</v>
      </c>
      <c r="G199" s="115"/>
      <c r="H199" s="22">
        <v>0</v>
      </c>
      <c r="I199" s="115">
        <f>F199*H199</f>
        <v>0</v>
      </c>
      <c r="J199" s="117">
        <v>0</v>
      </c>
      <c r="K199" s="117">
        <v>0</v>
      </c>
      <c r="L199" s="117">
        <v>0</v>
      </c>
      <c r="M199" s="23">
        <f t="shared" si="106"/>
        <v>0</v>
      </c>
      <c r="N199" s="54">
        <f>E199-J199</f>
        <v>2550000.62</v>
      </c>
      <c r="O199" s="117">
        <f>H199+N199</f>
        <v>2550000.62</v>
      </c>
      <c r="P199" s="23">
        <v>0</v>
      </c>
      <c r="Q199" s="23">
        <f>IFERROR(VLOOKUP(A199,lauzti_līg!A:H,8,FALSE),0)</f>
        <v>0</v>
      </c>
      <c r="R199" s="23">
        <f t="shared" si="110"/>
        <v>0</v>
      </c>
      <c r="S199" s="23">
        <f>R199-M199</f>
        <v>0</v>
      </c>
      <c r="T199" s="117">
        <v>0</v>
      </c>
      <c r="U199" s="23">
        <f>IFERROR(VLOOKUP(A199,Nosl_līg!A:H,8,FALSE),0)</f>
        <v>0</v>
      </c>
      <c r="V199" s="23">
        <f>U199-J199</f>
        <v>0</v>
      </c>
      <c r="W199" s="23">
        <f>O199-S199-V199</f>
        <v>2550000.62</v>
      </c>
      <c r="X199" s="23">
        <f>IF(N199&gt;=S199+V199,N199-S199-V199,0)</f>
        <v>2550000.62</v>
      </c>
      <c r="Y199" s="23">
        <f t="shared" si="109"/>
        <v>0</v>
      </c>
      <c r="Z199" s="23">
        <f>IF(H199=0,0, IF(U199-E199+R199-M199&lt;0, 0, U199-E199+R199-M199))</f>
        <v>0</v>
      </c>
      <c r="AA199" s="23" t="e">
        <f>VLOOKUP(A199,#REF!,63,FALSE)/F199+T199</f>
        <v>#REF!</v>
      </c>
      <c r="AB199" s="69" t="e">
        <f t="shared" si="107"/>
        <v>#DIV/0!</v>
      </c>
    </row>
    <row r="200" spans="1:28" ht="82.5">
      <c r="A200" s="19" t="s">
        <v>102</v>
      </c>
      <c r="B200" s="20" t="s">
        <v>572</v>
      </c>
      <c r="C200" s="21" t="s">
        <v>55</v>
      </c>
      <c r="D200" s="21" t="s">
        <v>140</v>
      </c>
      <c r="E200" s="271">
        <f>VLOOKUP($A200,publ_fin!$A:$I,8,FALSE)</f>
        <v>16188733.119999999</v>
      </c>
      <c r="F200" s="114">
        <v>1</v>
      </c>
      <c r="G200" s="115"/>
      <c r="H200" s="22">
        <v>0</v>
      </c>
      <c r="I200" s="115">
        <f>F200*H200</f>
        <v>0</v>
      </c>
      <c r="J200" s="117">
        <v>0</v>
      </c>
      <c r="K200" s="117">
        <v>0</v>
      </c>
      <c r="L200" s="117">
        <v>0</v>
      </c>
      <c r="M200" s="23">
        <f t="shared" si="106"/>
        <v>0</v>
      </c>
      <c r="N200" s="54">
        <f>E200-J200</f>
        <v>16188733.119999999</v>
      </c>
      <c r="O200" s="117">
        <f>H200+N200</f>
        <v>16188733.119999999</v>
      </c>
      <c r="P200" s="23">
        <v>0</v>
      </c>
      <c r="Q200" s="23">
        <f>IFERROR(VLOOKUP(A200,lauzti_līg!A:H,8,FALSE),0)</f>
        <v>0</v>
      </c>
      <c r="R200" s="23">
        <f t="shared" si="110"/>
        <v>0</v>
      </c>
      <c r="S200" s="23">
        <f>R200-M200</f>
        <v>0</v>
      </c>
      <c r="T200" s="117">
        <v>0</v>
      </c>
      <c r="U200" s="23">
        <f>IFERROR(VLOOKUP(A200,Nosl_līg!A:H,8,FALSE),0)</f>
        <v>16188733</v>
      </c>
      <c r="V200" s="23">
        <f>U200-J200</f>
        <v>16188733</v>
      </c>
      <c r="W200" s="23">
        <f>O200-S200-V200</f>
        <v>0.11999999918043613</v>
      </c>
      <c r="X200" s="23">
        <f>IF(N200&gt;=S200+V200,N200-S200-V200,0)</f>
        <v>0.11999999918043613</v>
      </c>
      <c r="Y200" s="23">
        <f t="shared" si="109"/>
        <v>16188733</v>
      </c>
      <c r="Z200" s="23">
        <f>IF(H200=0,0, IF(U200-E200+R200-M200&lt;0, 0, U200-E200+R200-M200))</f>
        <v>0</v>
      </c>
      <c r="AA200" s="23" t="e">
        <f>VLOOKUP(A200,#REF!,63,FALSE)/F200+T200</f>
        <v>#REF!</v>
      </c>
      <c r="AB200" s="69" t="e">
        <f t="shared" si="107"/>
        <v>#DIV/0!</v>
      </c>
    </row>
    <row r="201" spans="1:28" ht="82.5">
      <c r="A201" s="19" t="s">
        <v>103</v>
      </c>
      <c r="B201" s="20" t="s">
        <v>573</v>
      </c>
      <c r="C201" s="21" t="s">
        <v>55</v>
      </c>
      <c r="D201" s="21" t="s">
        <v>140</v>
      </c>
      <c r="E201" s="270">
        <f t="shared" ref="E201:AA201" si="154">E202+E203</f>
        <v>0</v>
      </c>
      <c r="F201" s="113"/>
      <c r="G201" s="113">
        <f t="shared" si="154"/>
        <v>0</v>
      </c>
      <c r="H201" s="17">
        <f t="shared" si="154"/>
        <v>0</v>
      </c>
      <c r="I201" s="113">
        <f t="shared" si="154"/>
        <v>0</v>
      </c>
      <c r="J201" s="113">
        <f t="shared" si="154"/>
        <v>0</v>
      </c>
      <c r="K201" s="113">
        <f t="shared" si="154"/>
        <v>0</v>
      </c>
      <c r="L201" s="113">
        <f t="shared" si="154"/>
        <v>0</v>
      </c>
      <c r="M201" s="17">
        <f t="shared" si="154"/>
        <v>0</v>
      </c>
      <c r="N201" s="53">
        <f t="shared" si="154"/>
        <v>0</v>
      </c>
      <c r="O201" s="113">
        <f t="shared" si="154"/>
        <v>0</v>
      </c>
      <c r="P201" s="17">
        <v>0</v>
      </c>
      <c r="Q201" s="17">
        <f t="shared" si="154"/>
        <v>0</v>
      </c>
      <c r="R201" s="17">
        <f t="shared" si="110"/>
        <v>0</v>
      </c>
      <c r="S201" s="17">
        <f t="shared" si="154"/>
        <v>0</v>
      </c>
      <c r="T201" s="113">
        <v>0</v>
      </c>
      <c r="U201" s="17">
        <f t="shared" si="154"/>
        <v>0</v>
      </c>
      <c r="V201" s="17">
        <f t="shared" si="154"/>
        <v>0</v>
      </c>
      <c r="W201" s="17">
        <f t="shared" si="154"/>
        <v>0</v>
      </c>
      <c r="X201" s="17">
        <f t="shared" si="154"/>
        <v>0</v>
      </c>
      <c r="Y201" s="17">
        <f t="shared" si="109"/>
        <v>0</v>
      </c>
      <c r="Z201" s="17">
        <f t="shared" si="154"/>
        <v>0</v>
      </c>
      <c r="AA201" s="17">
        <f t="shared" si="154"/>
        <v>0</v>
      </c>
      <c r="AB201" s="68" t="e">
        <f t="shared" si="107"/>
        <v>#DIV/0!</v>
      </c>
    </row>
    <row r="202" spans="1:28" ht="49.5">
      <c r="A202" s="19" t="s">
        <v>104</v>
      </c>
      <c r="B202" s="20" t="s">
        <v>574</v>
      </c>
      <c r="C202" s="21" t="s">
        <v>55</v>
      </c>
      <c r="D202" s="21" t="s">
        <v>140</v>
      </c>
      <c r="E202" s="271">
        <f>VLOOKUP($A202,publ_fin!$A:$I,8,FALSE)</f>
        <v>0</v>
      </c>
      <c r="F202" s="114">
        <v>0</v>
      </c>
      <c r="G202" s="115"/>
      <c r="H202" s="22">
        <v>0</v>
      </c>
      <c r="I202" s="115">
        <f>F202*H202</f>
        <v>0</v>
      </c>
      <c r="J202" s="117">
        <v>0</v>
      </c>
      <c r="K202" s="117">
        <v>0</v>
      </c>
      <c r="L202" s="117">
        <v>0</v>
      </c>
      <c r="M202" s="23">
        <f t="shared" si="106"/>
        <v>0</v>
      </c>
      <c r="N202" s="54">
        <f>E202-J202</f>
        <v>0</v>
      </c>
      <c r="O202" s="117">
        <f>H202+N202</f>
        <v>0</v>
      </c>
      <c r="P202" s="23">
        <v>0</v>
      </c>
      <c r="Q202" s="23">
        <f>IFERROR(VLOOKUP(A202,lauzti_līg!A:H,8,FALSE),0)</f>
        <v>0</v>
      </c>
      <c r="R202" s="23">
        <f t="shared" si="110"/>
        <v>0</v>
      </c>
      <c r="S202" s="23">
        <f>R202-M202</f>
        <v>0</v>
      </c>
      <c r="T202" s="117">
        <v>0</v>
      </c>
      <c r="U202" s="23">
        <f>IFERROR(VLOOKUP(A202,Nosl_līg!A:H,8,FALSE),0)</f>
        <v>0</v>
      </c>
      <c r="V202" s="23">
        <f>U202-J202</f>
        <v>0</v>
      </c>
      <c r="W202" s="23">
        <f>O202-S202-V202</f>
        <v>0</v>
      </c>
      <c r="X202" s="23">
        <f>IF(N202&gt;=S202+V202,N202-S202-V202,0)</f>
        <v>0</v>
      </c>
      <c r="Y202" s="23">
        <f t="shared" si="109"/>
        <v>0</v>
      </c>
      <c r="Z202" s="23">
        <f>IF(H202=0,0, IF(U202-E202+R202-M202&lt;0, 0, U202-E202+R202-M202))</f>
        <v>0</v>
      </c>
      <c r="AA202" s="23">
        <v>0</v>
      </c>
      <c r="AB202" s="69" t="e">
        <f t="shared" si="107"/>
        <v>#DIV/0!</v>
      </c>
    </row>
    <row r="203" spans="1:28" ht="49.5">
      <c r="A203" s="19" t="s">
        <v>105</v>
      </c>
      <c r="B203" s="20" t="s">
        <v>575</v>
      </c>
      <c r="C203" s="21" t="s">
        <v>55</v>
      </c>
      <c r="D203" s="21" t="s">
        <v>140</v>
      </c>
      <c r="E203" s="271">
        <f>VLOOKUP($A203,publ_fin!$A:$I,8,FALSE)</f>
        <v>0</v>
      </c>
      <c r="F203" s="114">
        <v>0</v>
      </c>
      <c r="G203" s="115"/>
      <c r="H203" s="22">
        <v>0</v>
      </c>
      <c r="I203" s="115">
        <f>F203*H203</f>
        <v>0</v>
      </c>
      <c r="J203" s="117">
        <v>0</v>
      </c>
      <c r="K203" s="117">
        <v>0</v>
      </c>
      <c r="L203" s="117">
        <v>0</v>
      </c>
      <c r="M203" s="23">
        <f t="shared" si="106"/>
        <v>0</v>
      </c>
      <c r="N203" s="54">
        <f>E203-J203</f>
        <v>0</v>
      </c>
      <c r="O203" s="117">
        <f>H203+N203</f>
        <v>0</v>
      </c>
      <c r="P203" s="23">
        <v>0</v>
      </c>
      <c r="Q203" s="23">
        <f>IFERROR(VLOOKUP(A203,lauzti_līg!A:H,8,FALSE),0)</f>
        <v>0</v>
      </c>
      <c r="R203" s="23">
        <f t="shared" si="110"/>
        <v>0</v>
      </c>
      <c r="S203" s="23">
        <f>R203-M203</f>
        <v>0</v>
      </c>
      <c r="T203" s="117">
        <v>0</v>
      </c>
      <c r="U203" s="23">
        <f>IFERROR(VLOOKUP(A203,Nosl_līg!A:H,8,FALSE),0)</f>
        <v>0</v>
      </c>
      <c r="V203" s="23">
        <f>U203-J203</f>
        <v>0</v>
      </c>
      <c r="W203" s="23">
        <f>O203-S203-V203</f>
        <v>0</v>
      </c>
      <c r="X203" s="23">
        <f>IF(N203&gt;=S203+V203,N203-S203-V203,0)</f>
        <v>0</v>
      </c>
      <c r="Y203" s="23">
        <f t="shared" si="109"/>
        <v>0</v>
      </c>
      <c r="Z203" s="23">
        <f>IF(H203=0,0, IF(U203-E203+R203-M203&lt;0, 0, U203-E203+R203-M203))</f>
        <v>0</v>
      </c>
      <c r="AA203" s="23">
        <v>0</v>
      </c>
      <c r="AB203" s="69" t="e">
        <f t="shared" si="107"/>
        <v>#DIV/0!</v>
      </c>
    </row>
    <row r="204" spans="1:28" ht="66">
      <c r="A204" s="14" t="s">
        <v>202</v>
      </c>
      <c r="B204" s="15" t="s">
        <v>576</v>
      </c>
      <c r="C204" s="16" t="s">
        <v>142</v>
      </c>
      <c r="D204" s="16" t="s">
        <v>140</v>
      </c>
      <c r="E204" s="270">
        <f t="shared" ref="E204:AA204" si="155">E205+E212</f>
        <v>653601744.07000005</v>
      </c>
      <c r="F204" s="113"/>
      <c r="G204" s="113">
        <f t="shared" si="155"/>
        <v>0</v>
      </c>
      <c r="H204" s="17">
        <f t="shared" si="155"/>
        <v>31087535</v>
      </c>
      <c r="I204" s="113">
        <f t="shared" si="155"/>
        <v>26556140.524756763</v>
      </c>
      <c r="J204" s="113">
        <f t="shared" si="155"/>
        <v>618213763.5</v>
      </c>
      <c r="K204" s="113">
        <f t="shared" si="155"/>
        <v>66153.53</v>
      </c>
      <c r="L204" s="113">
        <f t="shared" si="155"/>
        <v>0</v>
      </c>
      <c r="M204" s="17">
        <f t="shared" si="155"/>
        <v>66153.53</v>
      </c>
      <c r="N204" s="53">
        <f t="shared" si="155"/>
        <v>35387980.570000008</v>
      </c>
      <c r="O204" s="113">
        <f t="shared" si="155"/>
        <v>66475515.569999993</v>
      </c>
      <c r="P204" s="17">
        <v>2829491</v>
      </c>
      <c r="Q204" s="17">
        <f t="shared" si="155"/>
        <v>0</v>
      </c>
      <c r="R204" s="17">
        <f t="shared" si="110"/>
        <v>2829491</v>
      </c>
      <c r="S204" s="17">
        <f t="shared" ref="S204:U204" si="156">S205+S212</f>
        <v>2763337.4699999997</v>
      </c>
      <c r="T204" s="113">
        <v>38077.989999999991</v>
      </c>
      <c r="U204" s="17">
        <f t="shared" si="156"/>
        <v>574730756.8599999</v>
      </c>
      <c r="V204" s="17">
        <f t="shared" si="155"/>
        <v>-43483006.639999993</v>
      </c>
      <c r="W204" s="17">
        <f t="shared" si="155"/>
        <v>107195184.73999999</v>
      </c>
      <c r="X204" s="17">
        <f t="shared" si="155"/>
        <v>98674701.939999998</v>
      </c>
      <c r="Y204" s="17">
        <f t="shared" si="109"/>
        <v>-40719669.170000002</v>
      </c>
      <c r="Z204" s="17">
        <f t="shared" si="155"/>
        <v>22567052.200000007</v>
      </c>
      <c r="AA204" s="17" t="e">
        <f t="shared" si="155"/>
        <v>#REF!</v>
      </c>
      <c r="AB204" s="68">
        <f t="shared" si="107"/>
        <v>0.72591963949537996</v>
      </c>
    </row>
    <row r="205" spans="1:28" ht="49.5">
      <c r="A205" s="14" t="s">
        <v>201</v>
      </c>
      <c r="B205" s="15" t="s">
        <v>577</v>
      </c>
      <c r="C205" s="16" t="s">
        <v>142</v>
      </c>
      <c r="D205" s="16" t="s">
        <v>1</v>
      </c>
      <c r="E205" s="270">
        <f t="shared" ref="E205:AA205" si="157">E206+E207+E208+E209+E210+E211</f>
        <v>632101820.63</v>
      </c>
      <c r="F205" s="113"/>
      <c r="G205" s="113">
        <f t="shared" si="157"/>
        <v>0</v>
      </c>
      <c r="H205" s="17">
        <f t="shared" si="157"/>
        <v>31087535</v>
      </c>
      <c r="I205" s="113">
        <f t="shared" si="157"/>
        <v>26556140.524756763</v>
      </c>
      <c r="J205" s="113">
        <f t="shared" si="157"/>
        <v>518134474.49999994</v>
      </c>
      <c r="K205" s="113">
        <f t="shared" si="157"/>
        <v>66153.53</v>
      </c>
      <c r="L205" s="113">
        <f t="shared" si="157"/>
        <v>0</v>
      </c>
      <c r="M205" s="17">
        <f t="shared" si="157"/>
        <v>66153.53</v>
      </c>
      <c r="N205" s="53">
        <f t="shared" si="157"/>
        <v>113967346.13000001</v>
      </c>
      <c r="O205" s="113">
        <f t="shared" si="157"/>
        <v>145054881.13</v>
      </c>
      <c r="P205" s="17">
        <v>2829491</v>
      </c>
      <c r="Q205" s="17">
        <f t="shared" si="157"/>
        <v>0</v>
      </c>
      <c r="R205" s="17">
        <f t="shared" si="110"/>
        <v>2829491</v>
      </c>
      <c r="S205" s="17">
        <f t="shared" ref="S205:U205" si="158">S206+S207+S208+S209+S210+S211</f>
        <v>2763337.4699999997</v>
      </c>
      <c r="T205" s="113">
        <v>38077.989999999991</v>
      </c>
      <c r="U205" s="17">
        <f t="shared" si="158"/>
        <v>574730756.8599999</v>
      </c>
      <c r="V205" s="17">
        <f t="shared" si="157"/>
        <v>56596282.360000007</v>
      </c>
      <c r="W205" s="17">
        <f t="shared" si="157"/>
        <v>85695261.299999997</v>
      </c>
      <c r="X205" s="17">
        <f t="shared" si="157"/>
        <v>77174778.5</v>
      </c>
      <c r="Y205" s="17">
        <f t="shared" si="109"/>
        <v>59359619.829999998</v>
      </c>
      <c r="Z205" s="17">
        <f t="shared" si="157"/>
        <v>22567052.200000007</v>
      </c>
      <c r="AA205" s="17" t="e">
        <f t="shared" si="157"/>
        <v>#REF!</v>
      </c>
      <c r="AB205" s="68">
        <f t="shared" ref="AB205:AB262" si="159">Z205/H205</f>
        <v>0.72591963949537996</v>
      </c>
    </row>
    <row r="206" spans="1:28" ht="33">
      <c r="A206" s="19" t="s">
        <v>200</v>
      </c>
      <c r="B206" s="20" t="s">
        <v>578</v>
      </c>
      <c r="C206" s="21" t="s">
        <v>142</v>
      </c>
      <c r="D206" s="21" t="s">
        <v>140</v>
      </c>
      <c r="E206" s="271">
        <f>VLOOKUP($A206,publ_fin!$A:$I,8,FALSE)</f>
        <v>254987851.53999999</v>
      </c>
      <c r="F206" s="114">
        <v>0.8500000024746277</v>
      </c>
      <c r="G206" s="115"/>
      <c r="H206" s="22">
        <v>30209297</v>
      </c>
      <c r="I206" s="115">
        <f t="shared" ref="I206:I211" si="160">F206*H206</f>
        <v>25677902.524756763</v>
      </c>
      <c r="J206" s="117">
        <v>244231536.41999999</v>
      </c>
      <c r="K206" s="117">
        <v>9221.7000000000007</v>
      </c>
      <c r="L206" s="117">
        <f>126321000-126321000</f>
        <v>0</v>
      </c>
      <c r="M206" s="23">
        <f t="shared" ref="M206:M262" si="161">K206+L206</f>
        <v>9221.7000000000007</v>
      </c>
      <c r="N206" s="54">
        <f t="shared" ref="N206:N211" si="162">E206-J206</f>
        <v>10756315.120000005</v>
      </c>
      <c r="O206" s="117">
        <f t="shared" ref="O206:O211" si="163">H206+N206</f>
        <v>40965612.120000005</v>
      </c>
      <c r="P206" s="23">
        <v>273360</v>
      </c>
      <c r="Q206" s="23">
        <f>IF(IFERROR(VLOOKUP(A206,lauzti_līg!A:H,8,FALSE),0)-126330222&lt;0,0,IFERROR(VLOOKUP(A206,lauzti_līg!A:H,8,FALSE),0)-126330222)</f>
        <v>0</v>
      </c>
      <c r="R206" s="23">
        <f t="shared" si="110"/>
        <v>273360</v>
      </c>
      <c r="S206" s="23">
        <f t="shared" ref="S206:S211" si="164">R206-M206</f>
        <v>264138.3</v>
      </c>
      <c r="T206" s="117">
        <v>242.19999999999891</v>
      </c>
      <c r="U206" s="23">
        <v>277290765.44</v>
      </c>
      <c r="V206" s="23">
        <f t="shared" ref="V206:V211" si="165">U206-J206</f>
        <v>33059229.020000011</v>
      </c>
      <c r="W206" s="23">
        <f t="shared" ref="W206:W211" si="166">O206-S206-V206</f>
        <v>7642244.799999997</v>
      </c>
      <c r="X206" s="23">
        <f t="shared" ref="X206:X211" si="167">IF(N206&gt;=S206+V206,N206-S206-V206,0)</f>
        <v>0</v>
      </c>
      <c r="Y206" s="23">
        <f t="shared" si="109"/>
        <v>33323367.320000008</v>
      </c>
      <c r="Z206" s="23">
        <f t="shared" ref="Z206:Z211" si="168">IF(H206=0,0, IF(U206-E206+R206-M206&lt;0, 0, U206-E206+R206-M206))</f>
        <v>22567052.200000007</v>
      </c>
      <c r="AA206" s="23" t="e">
        <f>VLOOKUP(A206,#REF!,63,FALSE)/F206+T206</f>
        <v>#REF!</v>
      </c>
      <c r="AB206" s="69">
        <f t="shared" si="159"/>
        <v>0.7470234146792627</v>
      </c>
    </row>
    <row r="207" spans="1:28" ht="82.5">
      <c r="A207" s="19" t="s">
        <v>106</v>
      </c>
      <c r="B207" s="20" t="s">
        <v>579</v>
      </c>
      <c r="C207" s="21" t="s">
        <v>142</v>
      </c>
      <c r="D207" s="21" t="s">
        <v>140</v>
      </c>
      <c r="E207" s="271">
        <f>VLOOKUP($A207,publ_fin!$A:$I,8,FALSE)</f>
        <v>175110887.81</v>
      </c>
      <c r="F207" s="114">
        <v>0.95008604207576997</v>
      </c>
      <c r="G207" s="115"/>
      <c r="H207" s="22">
        <v>0</v>
      </c>
      <c r="I207" s="115">
        <f t="shared" si="160"/>
        <v>0</v>
      </c>
      <c r="J207" s="117">
        <v>96531521</v>
      </c>
      <c r="K207" s="117">
        <v>0</v>
      </c>
      <c r="L207" s="117">
        <v>0</v>
      </c>
      <c r="M207" s="23">
        <f t="shared" si="161"/>
        <v>0</v>
      </c>
      <c r="N207" s="54">
        <f t="shared" si="162"/>
        <v>78579366.810000002</v>
      </c>
      <c r="O207" s="117">
        <f t="shared" si="163"/>
        <v>78579366.810000002</v>
      </c>
      <c r="P207" s="23">
        <v>2273193</v>
      </c>
      <c r="Q207" s="23">
        <f>IFERROR(VLOOKUP(A207,lauzti_līg!A:H,8,FALSE),0)</f>
        <v>0</v>
      </c>
      <c r="R207" s="23">
        <f t="shared" si="110"/>
        <v>2273193</v>
      </c>
      <c r="S207" s="23">
        <f t="shared" si="164"/>
        <v>2273193</v>
      </c>
      <c r="T207" s="117">
        <v>0</v>
      </c>
      <c r="U207" s="23">
        <f>IFERROR(VLOOKUP(A207,Nosl_līg!A:H,8,FALSE),0)</f>
        <v>96531521</v>
      </c>
      <c r="V207" s="23">
        <f t="shared" si="165"/>
        <v>0</v>
      </c>
      <c r="W207" s="23">
        <f t="shared" si="166"/>
        <v>76306173.810000002</v>
      </c>
      <c r="X207" s="23">
        <f t="shared" si="167"/>
        <v>76306173.810000002</v>
      </c>
      <c r="Y207" s="23">
        <f t="shared" si="109"/>
        <v>2273193</v>
      </c>
      <c r="Z207" s="23">
        <f t="shared" si="168"/>
        <v>0</v>
      </c>
      <c r="AA207" s="23" t="e">
        <f>VLOOKUP(A207,#REF!,63,FALSE)/F207+T207</f>
        <v>#REF!</v>
      </c>
      <c r="AB207" s="69" t="e">
        <f t="shared" si="159"/>
        <v>#DIV/0!</v>
      </c>
    </row>
    <row r="208" spans="1:28" ht="49.5">
      <c r="A208" s="19" t="s">
        <v>144</v>
      </c>
      <c r="B208" s="20" t="s">
        <v>580</v>
      </c>
      <c r="C208" s="21" t="s">
        <v>142</v>
      </c>
      <c r="D208" s="21" t="s">
        <v>140</v>
      </c>
      <c r="E208" s="271">
        <f>VLOOKUP($A208,publ_fin!$A:$I,8,FALSE)</f>
        <v>116805655.13</v>
      </c>
      <c r="F208" s="114">
        <v>1</v>
      </c>
      <c r="G208" s="115"/>
      <c r="H208" s="22">
        <v>878238</v>
      </c>
      <c r="I208" s="115">
        <f t="shared" si="160"/>
        <v>878238</v>
      </c>
      <c r="J208" s="117">
        <v>115864042.66</v>
      </c>
      <c r="K208" s="117">
        <v>0</v>
      </c>
      <c r="L208" s="117">
        <v>0</v>
      </c>
      <c r="M208" s="23">
        <f t="shared" si="161"/>
        <v>0</v>
      </c>
      <c r="N208" s="54">
        <f t="shared" si="162"/>
        <v>941612.46999999881</v>
      </c>
      <c r="O208" s="117">
        <f t="shared" si="163"/>
        <v>1819850.4699999988</v>
      </c>
      <c r="P208" s="23">
        <v>183153</v>
      </c>
      <c r="Q208" s="23">
        <f>IFERROR(VLOOKUP(A208,lauzti_līg!A:H,8,FALSE),0)</f>
        <v>0</v>
      </c>
      <c r="R208" s="23">
        <f t="shared" si="110"/>
        <v>183153</v>
      </c>
      <c r="S208" s="23">
        <f t="shared" si="164"/>
        <v>183153</v>
      </c>
      <c r="T208" s="117">
        <v>0</v>
      </c>
      <c r="U208" s="23">
        <f>IFERROR(VLOOKUP(A208,Nosl_līg!A:H,8,FALSE),0)</f>
        <v>115839963.59999999</v>
      </c>
      <c r="V208" s="23">
        <f t="shared" si="165"/>
        <v>-24079.060000002384</v>
      </c>
      <c r="W208" s="23">
        <f t="shared" si="166"/>
        <v>1660776.5300000012</v>
      </c>
      <c r="X208" s="23">
        <f t="shared" si="167"/>
        <v>782538.53000000119</v>
      </c>
      <c r="Y208" s="23">
        <f t="shared" ref="Y208:Y262" si="169">O208-W208</f>
        <v>159073.93999999762</v>
      </c>
      <c r="Z208" s="23">
        <f t="shared" si="168"/>
        <v>0</v>
      </c>
      <c r="AA208" s="23" t="e">
        <f>VLOOKUP(A208,#REF!,63,FALSE)/F208+T208</f>
        <v>#REF!</v>
      </c>
      <c r="AB208" s="69">
        <f t="shared" si="159"/>
        <v>0</v>
      </c>
    </row>
    <row r="209" spans="1:28" ht="33">
      <c r="A209" s="19" t="s">
        <v>107</v>
      </c>
      <c r="B209" s="20" t="s">
        <v>581</v>
      </c>
      <c r="C209" s="21" t="s">
        <v>142</v>
      </c>
      <c r="D209" s="21" t="s">
        <v>140</v>
      </c>
      <c r="E209" s="271">
        <f>VLOOKUP($A209,publ_fin!$A:$I,8,FALSE)</f>
        <v>53679435.090000004</v>
      </c>
      <c r="F209" s="114">
        <v>0.84620093325948598</v>
      </c>
      <c r="G209" s="115"/>
      <c r="H209" s="22">
        <v>0</v>
      </c>
      <c r="I209" s="115">
        <f t="shared" si="160"/>
        <v>0</v>
      </c>
      <c r="J209" s="117">
        <v>41114034</v>
      </c>
      <c r="K209" s="117">
        <v>0</v>
      </c>
      <c r="L209" s="117">
        <v>0</v>
      </c>
      <c r="M209" s="23">
        <f t="shared" si="161"/>
        <v>0</v>
      </c>
      <c r="N209" s="54">
        <f t="shared" si="162"/>
        <v>12565401.090000004</v>
      </c>
      <c r="O209" s="117">
        <f t="shared" si="163"/>
        <v>12565401.090000004</v>
      </c>
      <c r="P209" s="23">
        <v>0</v>
      </c>
      <c r="Q209" s="23">
        <f>IFERROR(VLOOKUP(A209,lauzti_līg!A:H,8,FALSE),0)</f>
        <v>0</v>
      </c>
      <c r="R209" s="23">
        <f t="shared" si="110"/>
        <v>0</v>
      </c>
      <c r="S209" s="23">
        <f t="shared" si="164"/>
        <v>0</v>
      </c>
      <c r="T209" s="117">
        <v>0</v>
      </c>
      <c r="U209" s="23">
        <f>IFERROR(VLOOKUP(A209,Nosl_līg!A:H,8,FALSE),0)</f>
        <v>53679435</v>
      </c>
      <c r="V209" s="23">
        <f t="shared" si="165"/>
        <v>12565401</v>
      </c>
      <c r="W209" s="23">
        <f t="shared" si="166"/>
        <v>9.0000003576278687E-2</v>
      </c>
      <c r="X209" s="23">
        <f t="shared" si="167"/>
        <v>9.0000003576278687E-2</v>
      </c>
      <c r="Y209" s="23">
        <f t="shared" si="169"/>
        <v>12565401</v>
      </c>
      <c r="Z209" s="23">
        <f t="shared" si="168"/>
        <v>0</v>
      </c>
      <c r="AA209" s="23" t="e">
        <f>VLOOKUP(A209,#REF!,63,FALSE)/F209+T209</f>
        <v>#REF!</v>
      </c>
      <c r="AB209" s="69" t="e">
        <f t="shared" si="159"/>
        <v>#DIV/0!</v>
      </c>
    </row>
    <row r="210" spans="1:28" ht="33">
      <c r="A210" s="19" t="s">
        <v>166</v>
      </c>
      <c r="B210" s="20" t="s">
        <v>582</v>
      </c>
      <c r="C210" s="21" t="s">
        <v>142</v>
      </c>
      <c r="D210" s="21" t="s">
        <v>140</v>
      </c>
      <c r="E210" s="271">
        <f>VLOOKUP($A210,publ_fin!$A:$I,8,FALSE)</f>
        <v>20448828.059999999</v>
      </c>
      <c r="F210" s="114">
        <v>1</v>
      </c>
      <c r="G210" s="115"/>
      <c r="H210" s="22">
        <v>0</v>
      </c>
      <c r="I210" s="115">
        <f t="shared" si="160"/>
        <v>0</v>
      </c>
      <c r="J210" s="117">
        <v>20393340.420000002</v>
      </c>
      <c r="K210" s="117">
        <v>56931.83</v>
      </c>
      <c r="L210" s="117">
        <v>0</v>
      </c>
      <c r="M210" s="23">
        <f t="shared" si="161"/>
        <v>56931.83</v>
      </c>
      <c r="N210" s="54">
        <f t="shared" si="162"/>
        <v>55487.639999996871</v>
      </c>
      <c r="O210" s="117">
        <f t="shared" si="163"/>
        <v>55487.639999996871</v>
      </c>
      <c r="P210" s="23">
        <v>99785</v>
      </c>
      <c r="Q210" s="23">
        <f>IFERROR(VLOOKUP(A210,lauzti_līg!A:H,8,FALSE),0)</f>
        <v>0</v>
      </c>
      <c r="R210" s="23">
        <f t="shared" ref="R210:R262" si="170">P210+Q210</f>
        <v>99785</v>
      </c>
      <c r="S210" s="23">
        <f t="shared" si="164"/>
        <v>42853.17</v>
      </c>
      <c r="T210" s="117">
        <v>37835.789999999994</v>
      </c>
      <c r="U210" s="23">
        <f>IFERROR(VLOOKUP(A210,Nosl_līg!A:H,8,FALSE),0)</f>
        <v>20319909.420000002</v>
      </c>
      <c r="V210" s="23">
        <f t="shared" si="165"/>
        <v>-73431</v>
      </c>
      <c r="W210" s="23">
        <f t="shared" si="166"/>
        <v>86065.469999996873</v>
      </c>
      <c r="X210" s="23">
        <f t="shared" si="167"/>
        <v>86065.469999996873</v>
      </c>
      <c r="Y210" s="23">
        <f t="shared" si="169"/>
        <v>-30577.83</v>
      </c>
      <c r="Z210" s="23">
        <f t="shared" si="168"/>
        <v>0</v>
      </c>
      <c r="AA210" s="23" t="e">
        <f>VLOOKUP(A210,#REF!,63,FALSE)/F210+T210</f>
        <v>#REF!</v>
      </c>
      <c r="AB210" s="69" t="e">
        <f t="shared" si="159"/>
        <v>#DIV/0!</v>
      </c>
    </row>
    <row r="211" spans="1:28" ht="49.5">
      <c r="A211" s="19" t="s">
        <v>136</v>
      </c>
      <c r="B211" s="20" t="s">
        <v>583</v>
      </c>
      <c r="C211" s="21" t="s">
        <v>142</v>
      </c>
      <c r="D211" s="21" t="s">
        <v>628</v>
      </c>
      <c r="E211" s="271">
        <f>VLOOKUP($A211,publ_fin!$A:$I,8,FALSE)</f>
        <v>11069163</v>
      </c>
      <c r="F211" s="114">
        <v>1</v>
      </c>
      <c r="G211" s="115"/>
      <c r="H211" s="22">
        <v>0</v>
      </c>
      <c r="I211" s="115">
        <f t="shared" si="160"/>
        <v>0</v>
      </c>
      <c r="J211" s="117">
        <v>0</v>
      </c>
      <c r="K211" s="117">
        <v>0</v>
      </c>
      <c r="L211" s="117">
        <v>0</v>
      </c>
      <c r="M211" s="23">
        <f t="shared" si="161"/>
        <v>0</v>
      </c>
      <c r="N211" s="54">
        <f t="shared" si="162"/>
        <v>11069163</v>
      </c>
      <c r="O211" s="117">
        <f t="shared" si="163"/>
        <v>11069163</v>
      </c>
      <c r="P211" s="23">
        <v>0</v>
      </c>
      <c r="Q211" s="23">
        <f>IFERROR(VLOOKUP(A211,lauzti_līg!A:H,8,FALSE),0)</f>
        <v>0</v>
      </c>
      <c r="R211" s="23">
        <f t="shared" si="170"/>
        <v>0</v>
      </c>
      <c r="S211" s="23">
        <f t="shared" si="164"/>
        <v>0</v>
      </c>
      <c r="T211" s="117">
        <v>0</v>
      </c>
      <c r="U211" s="23">
        <f>IFERROR(VLOOKUP(A211,Nosl_līg!A:H,8,FALSE),0)</f>
        <v>11069162.4</v>
      </c>
      <c r="V211" s="23">
        <f t="shared" si="165"/>
        <v>11069162.4</v>
      </c>
      <c r="W211" s="23">
        <f t="shared" si="166"/>
        <v>0.59999999962747097</v>
      </c>
      <c r="X211" s="23">
        <f t="shared" si="167"/>
        <v>0.59999999962747097</v>
      </c>
      <c r="Y211" s="23">
        <f t="shared" si="169"/>
        <v>11069162.4</v>
      </c>
      <c r="Z211" s="23">
        <f t="shared" si="168"/>
        <v>0</v>
      </c>
      <c r="AA211" s="23" t="e">
        <f>VLOOKUP(A211,#REF!,63,FALSE)/F211+T211</f>
        <v>#REF!</v>
      </c>
      <c r="AB211" s="69" t="e">
        <f t="shared" si="159"/>
        <v>#DIV/0!</v>
      </c>
    </row>
    <row r="212" spans="1:28" ht="33">
      <c r="A212" s="14" t="s">
        <v>108</v>
      </c>
      <c r="B212" s="15" t="s">
        <v>584</v>
      </c>
      <c r="C212" s="16" t="s">
        <v>142</v>
      </c>
      <c r="D212" s="16" t="s">
        <v>140</v>
      </c>
      <c r="E212" s="270">
        <f t="shared" ref="E212:AA212" si="171">E213</f>
        <v>21499923.440000001</v>
      </c>
      <c r="F212" s="113"/>
      <c r="G212" s="113">
        <f t="shared" si="171"/>
        <v>0</v>
      </c>
      <c r="H212" s="17">
        <f t="shared" si="171"/>
        <v>0</v>
      </c>
      <c r="I212" s="113">
        <f t="shared" si="171"/>
        <v>0</v>
      </c>
      <c r="J212" s="113">
        <f t="shared" si="171"/>
        <v>100079289</v>
      </c>
      <c r="K212" s="113">
        <f t="shared" si="171"/>
        <v>0</v>
      </c>
      <c r="L212" s="113">
        <f t="shared" si="171"/>
        <v>0</v>
      </c>
      <c r="M212" s="17">
        <f t="shared" si="171"/>
        <v>0</v>
      </c>
      <c r="N212" s="53">
        <f t="shared" si="171"/>
        <v>-78579365.560000002</v>
      </c>
      <c r="O212" s="113">
        <f t="shared" si="171"/>
        <v>-78579365.560000002</v>
      </c>
      <c r="P212" s="17">
        <v>0</v>
      </c>
      <c r="Q212" s="17">
        <f t="shared" si="171"/>
        <v>0</v>
      </c>
      <c r="R212" s="17">
        <f t="shared" si="170"/>
        <v>0</v>
      </c>
      <c r="S212" s="17">
        <f t="shared" si="171"/>
        <v>0</v>
      </c>
      <c r="T212" s="113">
        <v>0</v>
      </c>
      <c r="U212" s="17">
        <f t="shared" si="171"/>
        <v>0</v>
      </c>
      <c r="V212" s="17">
        <f t="shared" si="171"/>
        <v>-100079289</v>
      </c>
      <c r="W212" s="17">
        <f t="shared" si="171"/>
        <v>21499923.439999998</v>
      </c>
      <c r="X212" s="17">
        <f t="shared" si="171"/>
        <v>21499923.439999998</v>
      </c>
      <c r="Y212" s="17">
        <f t="shared" si="169"/>
        <v>-100079289</v>
      </c>
      <c r="Z212" s="17">
        <f t="shared" si="171"/>
        <v>0</v>
      </c>
      <c r="AA212" s="17" t="e">
        <f t="shared" si="171"/>
        <v>#REF!</v>
      </c>
      <c r="AB212" s="68" t="e">
        <f t="shared" si="159"/>
        <v>#DIV/0!</v>
      </c>
    </row>
    <row r="213" spans="1:28" ht="33">
      <c r="A213" s="19" t="s">
        <v>109</v>
      </c>
      <c r="B213" s="20" t="s">
        <v>585</v>
      </c>
      <c r="C213" s="21" t="s">
        <v>142</v>
      </c>
      <c r="D213" s="21" t="s">
        <v>140</v>
      </c>
      <c r="E213" s="271">
        <f>VLOOKUP($A213,publ_fin!$A:$I,8,FALSE)</f>
        <v>21499923.440000001</v>
      </c>
      <c r="F213" s="114">
        <v>1</v>
      </c>
      <c r="G213" s="115"/>
      <c r="H213" s="22">
        <v>0</v>
      </c>
      <c r="I213" s="115">
        <f>F213*H213</f>
        <v>0</v>
      </c>
      <c r="J213" s="117">
        <v>100079289</v>
      </c>
      <c r="K213" s="117">
        <v>0</v>
      </c>
      <c r="L213" s="117">
        <v>0</v>
      </c>
      <c r="M213" s="23">
        <f t="shared" si="161"/>
        <v>0</v>
      </c>
      <c r="N213" s="54">
        <f>E213-J213</f>
        <v>-78579365.560000002</v>
      </c>
      <c r="O213" s="117">
        <f>H213+N213</f>
        <v>-78579365.560000002</v>
      </c>
      <c r="P213" s="23">
        <v>0</v>
      </c>
      <c r="Q213" s="23">
        <v>0</v>
      </c>
      <c r="R213" s="23">
        <f t="shared" si="170"/>
        <v>0</v>
      </c>
      <c r="S213" s="23">
        <f>R213-M213</f>
        <v>0</v>
      </c>
      <c r="T213" s="117">
        <v>0</v>
      </c>
      <c r="U213" s="23">
        <f>IFERROR(VLOOKUP(A213,Nosl_līg!A:H,8,FALSE),0)</f>
        <v>0</v>
      </c>
      <c r="V213" s="23">
        <f>U213-J213</f>
        <v>-100079289</v>
      </c>
      <c r="W213" s="23">
        <f>O213-S213-V213</f>
        <v>21499923.439999998</v>
      </c>
      <c r="X213" s="23">
        <f>IF(N213&gt;=S213+V213,N213-S213-V213,0)</f>
        <v>21499923.439999998</v>
      </c>
      <c r="Y213" s="23">
        <f t="shared" si="169"/>
        <v>-100079289</v>
      </c>
      <c r="Z213" s="23">
        <f>IF(H213=0,0, IF(U213-E213+R213-M213&lt;0, 0, U213-E213+R213-M213))</f>
        <v>0</v>
      </c>
      <c r="AA213" s="23" t="e">
        <f>VLOOKUP(A213,#REF!,63,FALSE)/F213+T213</f>
        <v>#REF!</v>
      </c>
      <c r="AB213" s="69" t="e">
        <f t="shared" si="159"/>
        <v>#DIV/0!</v>
      </c>
    </row>
    <row r="214" spans="1:28" ht="49.5">
      <c r="A214" s="14" t="s">
        <v>110</v>
      </c>
      <c r="B214" s="15" t="s">
        <v>633</v>
      </c>
      <c r="C214" s="16" t="s">
        <v>55</v>
      </c>
      <c r="D214" s="16" t="s">
        <v>131</v>
      </c>
      <c r="E214" s="270">
        <f t="shared" ref="E214:AA214" si="172">E215+E222+E228+E232</f>
        <v>238915120.44</v>
      </c>
      <c r="F214" s="113"/>
      <c r="G214" s="113">
        <f t="shared" si="172"/>
        <v>0</v>
      </c>
      <c r="H214" s="17">
        <f t="shared" si="172"/>
        <v>29242015</v>
      </c>
      <c r="I214" s="113">
        <f t="shared" si="172"/>
        <v>26513554.352118678</v>
      </c>
      <c r="J214" s="113">
        <f t="shared" si="172"/>
        <v>164832508.44999999</v>
      </c>
      <c r="K214" s="113">
        <f t="shared" si="172"/>
        <v>982956.83000000007</v>
      </c>
      <c r="L214" s="113">
        <f t="shared" si="172"/>
        <v>5837329.3399999999</v>
      </c>
      <c r="M214" s="17">
        <f t="shared" si="172"/>
        <v>6820286.1699999999</v>
      </c>
      <c r="N214" s="53">
        <f t="shared" si="172"/>
        <v>74082611.99000001</v>
      </c>
      <c r="O214" s="113">
        <f t="shared" si="172"/>
        <v>103324626.99000002</v>
      </c>
      <c r="P214" s="17">
        <v>6709510</v>
      </c>
      <c r="Q214" s="17">
        <f t="shared" si="172"/>
        <v>11927564.16</v>
      </c>
      <c r="R214" s="17">
        <f t="shared" si="170"/>
        <v>18637074.16</v>
      </c>
      <c r="S214" s="17">
        <f t="shared" ref="S214:U214" si="173">S215+S222+S228+S232</f>
        <v>11816787.989999998</v>
      </c>
      <c r="T214" s="113">
        <v>4242268.75</v>
      </c>
      <c r="U214" s="17">
        <f t="shared" si="173"/>
        <v>244403233.83000013</v>
      </c>
      <c r="V214" s="17">
        <f t="shared" si="172"/>
        <v>79570725.380000129</v>
      </c>
      <c r="W214" s="17">
        <f t="shared" si="172"/>
        <v>11937113.619999895</v>
      </c>
      <c r="X214" s="17">
        <f t="shared" si="172"/>
        <v>5327186.7899998957</v>
      </c>
      <c r="Y214" s="17">
        <f t="shared" si="169"/>
        <v>91387513.370000124</v>
      </c>
      <c r="Z214" s="17">
        <f t="shared" si="172"/>
        <v>22687121.410000004</v>
      </c>
      <c r="AA214" s="17" t="e">
        <f t="shared" si="172"/>
        <v>#REF!</v>
      </c>
      <c r="AB214" s="68">
        <f t="shared" si="159"/>
        <v>0.77583988004930593</v>
      </c>
    </row>
    <row r="215" spans="1:28" ht="16.5">
      <c r="A215" s="14" t="s">
        <v>111</v>
      </c>
      <c r="B215" s="15" t="s">
        <v>632</v>
      </c>
      <c r="C215" s="16" t="s">
        <v>55</v>
      </c>
      <c r="D215" s="16" t="s">
        <v>628</v>
      </c>
      <c r="E215" s="270">
        <f t="shared" ref="E215:AA215" si="174">E216+E217+E218+E219</f>
        <v>148858532.03</v>
      </c>
      <c r="F215" s="113"/>
      <c r="G215" s="113">
        <f t="shared" si="174"/>
        <v>0</v>
      </c>
      <c r="H215" s="17">
        <f t="shared" si="174"/>
        <v>9242015</v>
      </c>
      <c r="I215" s="113">
        <f t="shared" si="174"/>
        <v>6513554.3521186784</v>
      </c>
      <c r="J215" s="113">
        <f t="shared" si="174"/>
        <v>96607259.079999998</v>
      </c>
      <c r="K215" s="113">
        <f t="shared" si="174"/>
        <v>696910.41</v>
      </c>
      <c r="L215" s="113">
        <f t="shared" si="174"/>
        <v>2772501.93</v>
      </c>
      <c r="M215" s="17">
        <f t="shared" si="174"/>
        <v>3469412.3400000003</v>
      </c>
      <c r="N215" s="53">
        <f t="shared" si="174"/>
        <v>52251272.949999988</v>
      </c>
      <c r="O215" s="113">
        <f t="shared" si="174"/>
        <v>61493287.949999988</v>
      </c>
      <c r="P215" s="17">
        <v>4832611</v>
      </c>
      <c r="Q215" s="17">
        <f t="shared" si="174"/>
        <v>5972261.9699999997</v>
      </c>
      <c r="R215" s="17">
        <f t="shared" si="170"/>
        <v>10804872.969999999</v>
      </c>
      <c r="S215" s="17">
        <f t="shared" ref="S215:U215" si="175">S216+S217+S218+S219</f>
        <v>7335460.629999999</v>
      </c>
      <c r="T215" s="113">
        <v>2850669.71</v>
      </c>
      <c r="U215" s="17">
        <f t="shared" si="175"/>
        <v>137349728.48000011</v>
      </c>
      <c r="V215" s="17">
        <f t="shared" si="174"/>
        <v>40742469.400000103</v>
      </c>
      <c r="W215" s="17">
        <f t="shared" si="174"/>
        <v>13415357.919999896</v>
      </c>
      <c r="X215" s="17">
        <f t="shared" si="174"/>
        <v>4207901.2699998962</v>
      </c>
      <c r="Y215" s="17">
        <f t="shared" si="169"/>
        <v>48077930.030000091</v>
      </c>
      <c r="Z215" s="17">
        <f t="shared" si="174"/>
        <v>0</v>
      </c>
      <c r="AA215" s="17" t="e">
        <f t="shared" si="174"/>
        <v>#REF!</v>
      </c>
      <c r="AB215" s="68">
        <f t="shared" si="159"/>
        <v>0</v>
      </c>
    </row>
    <row r="216" spans="1:28" ht="66">
      <c r="A216" s="19" t="s">
        <v>353</v>
      </c>
      <c r="B216" s="20" t="s">
        <v>586</v>
      </c>
      <c r="C216" s="21" t="s">
        <v>55</v>
      </c>
      <c r="D216" s="21" t="s">
        <v>628</v>
      </c>
      <c r="E216" s="271">
        <f>VLOOKUP($A216,publ_fin!$A:$I,8,FALSE)</f>
        <v>102955000.52</v>
      </c>
      <c r="F216" s="114">
        <v>0.97953477490789098</v>
      </c>
      <c r="G216" s="115"/>
      <c r="H216" s="22">
        <v>157919</v>
      </c>
      <c r="I216" s="115">
        <f>F216*H216</f>
        <v>154687.15211867922</v>
      </c>
      <c r="J216" s="117">
        <v>63226476.700000003</v>
      </c>
      <c r="K216" s="117">
        <v>696668.48</v>
      </c>
      <c r="L216" s="117">
        <v>2772501.93</v>
      </c>
      <c r="M216" s="23">
        <f t="shared" si="161"/>
        <v>3469170.41</v>
      </c>
      <c r="N216" s="54">
        <f>E216-J216</f>
        <v>39728523.819999993</v>
      </c>
      <c r="O216" s="117">
        <f>H216+N216</f>
        <v>39886442.819999993</v>
      </c>
      <c r="P216" s="23">
        <v>4797810</v>
      </c>
      <c r="Q216" s="23">
        <f>IFERROR(VLOOKUP(A216,lauzti_līg!A:H,8,FALSE),0)</f>
        <v>5972261.9699999997</v>
      </c>
      <c r="R216" s="23">
        <f t="shared" si="170"/>
        <v>10770071.969999999</v>
      </c>
      <c r="S216" s="23">
        <f>R216-M216</f>
        <v>7300901.5599999987</v>
      </c>
      <c r="T216" s="117">
        <v>2850669.71</v>
      </c>
      <c r="U216" s="23">
        <f>IFERROR(VLOOKUP(A216,Nosl_līg!A:H,8,FALSE),0)</f>
        <v>95176226.940000102</v>
      </c>
      <c r="V216" s="23">
        <f>U216-J216</f>
        <v>31949750.240000099</v>
      </c>
      <c r="W216" s="23">
        <f>O216-S216-V216</f>
        <v>635791.01999989524</v>
      </c>
      <c r="X216" s="23">
        <f>IF(N216&gt;=S216+V216,N216-S216-V216,0)</f>
        <v>477872.01999989524</v>
      </c>
      <c r="Y216" s="23">
        <f t="shared" si="169"/>
        <v>39250651.800000101</v>
      </c>
      <c r="Z216" s="23">
        <f>IF(H216=0,0, IF(U216-E216+R216-M216&lt;0, 0, U216-E216+R216-M216))</f>
        <v>0</v>
      </c>
      <c r="AA216" s="23" t="e">
        <f>VLOOKUP(A216,#REF!,63,FALSE)/F216+T216</f>
        <v>#REF!</v>
      </c>
      <c r="AB216" s="69">
        <f t="shared" si="159"/>
        <v>0</v>
      </c>
    </row>
    <row r="217" spans="1:28" ht="49.5">
      <c r="A217" s="19" t="s">
        <v>112</v>
      </c>
      <c r="B217" s="20" t="s">
        <v>587</v>
      </c>
      <c r="C217" s="21" t="s">
        <v>55</v>
      </c>
      <c r="D217" s="21" t="s">
        <v>628</v>
      </c>
      <c r="E217" s="271">
        <f>VLOOKUP($A217,publ_fin!$A:$I,8,FALSE)</f>
        <v>2124999.58</v>
      </c>
      <c r="F217" s="114">
        <v>1</v>
      </c>
      <c r="G217" s="115"/>
      <c r="H217" s="22">
        <v>0</v>
      </c>
      <c r="I217" s="115">
        <f>F217*H217</f>
        <v>0</v>
      </c>
      <c r="J217" s="117">
        <v>2124999</v>
      </c>
      <c r="K217" s="117">
        <v>0</v>
      </c>
      <c r="L217" s="117">
        <v>0</v>
      </c>
      <c r="M217" s="23">
        <f t="shared" si="161"/>
        <v>0</v>
      </c>
      <c r="N217" s="54">
        <f>E217-J217</f>
        <v>0.58000000007450581</v>
      </c>
      <c r="O217" s="117">
        <f>H217+N217</f>
        <v>0.58000000007450581</v>
      </c>
      <c r="P217" s="23">
        <v>0</v>
      </c>
      <c r="Q217" s="23">
        <f>IFERROR(VLOOKUP(A217,lauzti_līg!A:H,8,FALSE),0)</f>
        <v>0</v>
      </c>
      <c r="R217" s="23">
        <f t="shared" si="170"/>
        <v>0</v>
      </c>
      <c r="S217" s="23">
        <f>R217-M217</f>
        <v>0</v>
      </c>
      <c r="T217" s="117">
        <v>0</v>
      </c>
      <c r="U217" s="23">
        <f>IFERROR(VLOOKUP(A217,Nosl_līg!A:H,8,FALSE),0)</f>
        <v>2124999</v>
      </c>
      <c r="V217" s="23">
        <f>U217-J217</f>
        <v>0</v>
      </c>
      <c r="W217" s="23">
        <f>O217-S217-V217</f>
        <v>0.58000000007450581</v>
      </c>
      <c r="X217" s="23">
        <f>IF(N217&gt;=S217+V217,N217-S217-V217,0)</f>
        <v>0.58000000007450581</v>
      </c>
      <c r="Y217" s="23">
        <f t="shared" si="169"/>
        <v>0</v>
      </c>
      <c r="Z217" s="23">
        <f>IF(H217=0,0, IF(U217-E217+R217-M217&lt;0, 0, U217-E217+R217-M217))</f>
        <v>0</v>
      </c>
      <c r="AA217" s="23" t="e">
        <f>VLOOKUP(A217,#REF!,63,FALSE)/F217+T217</f>
        <v>#REF!</v>
      </c>
      <c r="AB217" s="69" t="e">
        <f t="shared" si="159"/>
        <v>#DIV/0!</v>
      </c>
    </row>
    <row r="218" spans="1:28" ht="33">
      <c r="A218" s="19" t="s">
        <v>113</v>
      </c>
      <c r="B218" s="20" t="s">
        <v>588</v>
      </c>
      <c r="C218" s="21" t="s">
        <v>55</v>
      </c>
      <c r="D218" s="21" t="s">
        <v>628</v>
      </c>
      <c r="E218" s="271">
        <f>VLOOKUP($A218,publ_fin!$A:$I,8,FALSE)</f>
        <v>32564689</v>
      </c>
      <c r="F218" s="114">
        <v>0.7</v>
      </c>
      <c r="G218" s="115"/>
      <c r="H218" s="22">
        <v>9084096</v>
      </c>
      <c r="I218" s="115">
        <f>F218*H218</f>
        <v>6358867.1999999993</v>
      </c>
      <c r="J218" s="117">
        <v>25943484.5</v>
      </c>
      <c r="K218" s="117">
        <v>0</v>
      </c>
      <c r="L218" s="117">
        <v>0</v>
      </c>
      <c r="M218" s="23">
        <f t="shared" si="161"/>
        <v>0</v>
      </c>
      <c r="N218" s="54">
        <f>E218-J218</f>
        <v>6621204.5</v>
      </c>
      <c r="O218" s="117">
        <f>H218+N218</f>
        <v>15705300.5</v>
      </c>
      <c r="P218" s="23">
        <v>0</v>
      </c>
      <c r="Q218" s="23">
        <f>IFERROR(VLOOKUP(A218,lauzti_līg!A:H,8,FALSE),0)</f>
        <v>0</v>
      </c>
      <c r="R218" s="23">
        <f t="shared" si="170"/>
        <v>0</v>
      </c>
      <c r="S218" s="23">
        <f>R218-M218</f>
        <v>0</v>
      </c>
      <c r="T218" s="117">
        <v>0</v>
      </c>
      <c r="U218" s="23">
        <f>IFERROR(VLOOKUP(A218,Nosl_līg!A:H,8,FALSE),0)</f>
        <v>28834660.949999999</v>
      </c>
      <c r="V218" s="23">
        <f>U218-J218</f>
        <v>2891176.4499999993</v>
      </c>
      <c r="W218" s="23">
        <f>O218-S218-V218</f>
        <v>12814124.050000001</v>
      </c>
      <c r="X218" s="23">
        <f>IF(N218&gt;=S218+V218,N218-S218-V218,0)</f>
        <v>3730028.0500000007</v>
      </c>
      <c r="Y218" s="23">
        <f t="shared" si="169"/>
        <v>2891176.4499999993</v>
      </c>
      <c r="Z218" s="23">
        <f>IF(H218=0,0, IF(U218-E218+R218-M218&lt;0, 0, U218-E218+R218-M218))</f>
        <v>0</v>
      </c>
      <c r="AA218" s="23" t="e">
        <f>VLOOKUP(A218,#REF!,63,FALSE)/F218+T218</f>
        <v>#REF!</v>
      </c>
      <c r="AB218" s="69">
        <f t="shared" si="159"/>
        <v>0</v>
      </c>
    </row>
    <row r="219" spans="1:28" ht="33">
      <c r="A219" s="19" t="s">
        <v>210</v>
      </c>
      <c r="B219" s="20" t="s">
        <v>589</v>
      </c>
      <c r="C219" s="21" t="s">
        <v>55</v>
      </c>
      <c r="D219" s="21" t="s">
        <v>628</v>
      </c>
      <c r="E219" s="269">
        <f t="shared" ref="E219:AA219" si="176">E220+E221</f>
        <v>11213842.93</v>
      </c>
      <c r="F219" s="116"/>
      <c r="G219" s="116">
        <f t="shared" si="176"/>
        <v>0</v>
      </c>
      <c r="H219" s="23">
        <f t="shared" si="176"/>
        <v>0</v>
      </c>
      <c r="I219" s="116">
        <f t="shared" si="176"/>
        <v>0</v>
      </c>
      <c r="J219" s="116">
        <f t="shared" si="176"/>
        <v>5312298.8800000008</v>
      </c>
      <c r="K219" s="116">
        <f t="shared" si="176"/>
        <v>241.93</v>
      </c>
      <c r="L219" s="116">
        <f t="shared" si="176"/>
        <v>0</v>
      </c>
      <c r="M219" s="18">
        <f t="shared" si="176"/>
        <v>241.93</v>
      </c>
      <c r="N219" s="54">
        <f t="shared" si="176"/>
        <v>5901544.0499999989</v>
      </c>
      <c r="O219" s="116">
        <f t="shared" si="176"/>
        <v>5901544.0499999989</v>
      </c>
      <c r="P219" s="18">
        <v>34801</v>
      </c>
      <c r="Q219" s="18">
        <f t="shared" si="176"/>
        <v>0</v>
      </c>
      <c r="R219" s="18">
        <f t="shared" si="170"/>
        <v>34801</v>
      </c>
      <c r="S219" s="18">
        <f t="shared" si="176"/>
        <v>34559.07</v>
      </c>
      <c r="T219" s="116">
        <v>0</v>
      </c>
      <c r="U219" s="18">
        <f t="shared" si="176"/>
        <v>11213841.59</v>
      </c>
      <c r="V219" s="18">
        <f t="shared" si="176"/>
        <v>5901542.709999999</v>
      </c>
      <c r="W219" s="18">
        <f t="shared" si="176"/>
        <v>-34557.729999999981</v>
      </c>
      <c r="X219" s="18">
        <f t="shared" si="176"/>
        <v>0.62000000011175871</v>
      </c>
      <c r="Y219" s="18">
        <f t="shared" si="169"/>
        <v>5936101.7799999993</v>
      </c>
      <c r="Z219" s="18">
        <f t="shared" si="176"/>
        <v>0</v>
      </c>
      <c r="AA219" s="18" t="e">
        <f t="shared" si="176"/>
        <v>#REF!</v>
      </c>
      <c r="AB219" s="70" t="e">
        <f t="shared" si="159"/>
        <v>#DIV/0!</v>
      </c>
    </row>
    <row r="220" spans="1:28" ht="49.5">
      <c r="A220" s="19" t="s">
        <v>209</v>
      </c>
      <c r="B220" s="20" t="s">
        <v>590</v>
      </c>
      <c r="C220" s="21" t="s">
        <v>55</v>
      </c>
      <c r="D220" s="21" t="s">
        <v>628</v>
      </c>
      <c r="E220" s="271">
        <f>VLOOKUP($A220,publ_fin!$A:$I,8,FALSE)</f>
        <v>6881321.9299999997</v>
      </c>
      <c r="F220" s="114">
        <v>1</v>
      </c>
      <c r="G220" s="115"/>
      <c r="H220" s="22">
        <v>0</v>
      </c>
      <c r="I220" s="115">
        <f>F220*H220</f>
        <v>0</v>
      </c>
      <c r="J220" s="117">
        <v>3132321.31</v>
      </c>
      <c r="K220" s="117">
        <v>0</v>
      </c>
      <c r="L220" s="117">
        <v>0</v>
      </c>
      <c r="M220" s="23">
        <f t="shared" si="161"/>
        <v>0</v>
      </c>
      <c r="N220" s="54">
        <f>E220-J220</f>
        <v>3749000.6199999996</v>
      </c>
      <c r="O220" s="117">
        <f>H220+N220</f>
        <v>3749000.6199999996</v>
      </c>
      <c r="P220" s="23">
        <v>0</v>
      </c>
      <c r="Q220" s="23">
        <f>IFERROR(VLOOKUP(A220,lauzti_līg!A:H,8,FALSE),0)</f>
        <v>0</v>
      </c>
      <c r="R220" s="23">
        <f t="shared" si="170"/>
        <v>0</v>
      </c>
      <c r="S220" s="23">
        <f>R220-M220</f>
        <v>0</v>
      </c>
      <c r="T220" s="117">
        <v>0</v>
      </c>
      <c r="U220" s="23">
        <f>IFERROR(VLOOKUP(A220,Nosl_līg!A:H,8,FALSE),0)</f>
        <v>6881321.3099999996</v>
      </c>
      <c r="V220" s="23">
        <f>U220-J220</f>
        <v>3748999.9999999995</v>
      </c>
      <c r="W220" s="23">
        <f>O220-S220-V220</f>
        <v>0.62000000011175871</v>
      </c>
      <c r="X220" s="23">
        <f>IF(N220&gt;=S220+V220,N220-S220-V220,0)</f>
        <v>0.62000000011175871</v>
      </c>
      <c r="Y220" s="23">
        <f t="shared" si="169"/>
        <v>3748999.9999999995</v>
      </c>
      <c r="Z220" s="23">
        <f>IF(H220=0,0, IF(U220-E220+R220-M220&lt;0, 0, U220-E220+R220-M220))</f>
        <v>0</v>
      </c>
      <c r="AA220" s="23" t="e">
        <f>VLOOKUP(A220,#REF!,63,FALSE)/F220+T220</f>
        <v>#REF!</v>
      </c>
      <c r="AB220" s="69" t="e">
        <f t="shared" si="159"/>
        <v>#DIV/0!</v>
      </c>
    </row>
    <row r="221" spans="1:28" ht="66">
      <c r="A221" s="19" t="s">
        <v>114</v>
      </c>
      <c r="B221" s="20" t="s">
        <v>591</v>
      </c>
      <c r="C221" s="21" t="s">
        <v>55</v>
      </c>
      <c r="D221" s="21" t="s">
        <v>628</v>
      </c>
      <c r="E221" s="271">
        <f>VLOOKUP($A221,publ_fin!$A:$I,8,FALSE)</f>
        <v>4332521</v>
      </c>
      <c r="F221" s="114">
        <v>1</v>
      </c>
      <c r="G221" s="115"/>
      <c r="H221" s="22">
        <v>0</v>
      </c>
      <c r="I221" s="115">
        <f>F221*H221</f>
        <v>0</v>
      </c>
      <c r="J221" s="117">
        <v>2179977.5700000003</v>
      </c>
      <c r="K221" s="117">
        <v>241.93</v>
      </c>
      <c r="L221" s="117">
        <v>0</v>
      </c>
      <c r="M221" s="23">
        <f t="shared" si="161"/>
        <v>241.93</v>
      </c>
      <c r="N221" s="54">
        <f>E221-J221</f>
        <v>2152543.4299999997</v>
      </c>
      <c r="O221" s="117">
        <f>H221+N221</f>
        <v>2152543.4299999997</v>
      </c>
      <c r="P221" s="23">
        <v>34801</v>
      </c>
      <c r="Q221" s="23">
        <f>IFERROR(VLOOKUP(A221,lauzti_līg!A:H,8,FALSE),0)</f>
        <v>0</v>
      </c>
      <c r="R221" s="23">
        <f t="shared" si="170"/>
        <v>34801</v>
      </c>
      <c r="S221" s="23">
        <f>R221-M221</f>
        <v>34559.07</v>
      </c>
      <c r="T221" s="117">
        <v>0</v>
      </c>
      <c r="U221" s="23">
        <f>IFERROR(VLOOKUP(A221,Nosl_līg!A:H,8,FALSE),0)</f>
        <v>4332520.28</v>
      </c>
      <c r="V221" s="23">
        <f>U221-J221</f>
        <v>2152542.71</v>
      </c>
      <c r="W221" s="23">
        <f>O221-S221-V221</f>
        <v>-34558.350000000093</v>
      </c>
      <c r="X221" s="23">
        <f>IF(N221&gt;=S221+V221,N221-S221-V221,0)</f>
        <v>0</v>
      </c>
      <c r="Y221" s="23">
        <f t="shared" si="169"/>
        <v>2187101.7799999998</v>
      </c>
      <c r="Z221" s="23">
        <f>IF(H221=0,0, IF(U221-E221+R221-M221&lt;0, 0, U221-E221+R221-M221))</f>
        <v>0</v>
      </c>
      <c r="AA221" s="23" t="e">
        <f>VLOOKUP(A221,#REF!,63,FALSE)/F221+T221</f>
        <v>#REF!</v>
      </c>
      <c r="AB221" s="69" t="e">
        <f t="shared" si="159"/>
        <v>#DIV/0!</v>
      </c>
    </row>
    <row r="222" spans="1:28" ht="16.5">
      <c r="A222" s="14" t="s">
        <v>115</v>
      </c>
      <c r="B222" s="15" t="s">
        <v>592</v>
      </c>
      <c r="C222" s="16" t="s">
        <v>55</v>
      </c>
      <c r="D222" s="16" t="s">
        <v>137</v>
      </c>
      <c r="E222" s="270">
        <f t="shared" ref="E222:AA222" si="177">E223+E227</f>
        <v>12109723.359999999</v>
      </c>
      <c r="F222" s="113"/>
      <c r="G222" s="113">
        <f t="shared" si="177"/>
        <v>0</v>
      </c>
      <c r="H222" s="17">
        <f t="shared" si="177"/>
        <v>0</v>
      </c>
      <c r="I222" s="113">
        <f t="shared" si="177"/>
        <v>0</v>
      </c>
      <c r="J222" s="113">
        <f t="shared" si="177"/>
        <v>11916148.390000001</v>
      </c>
      <c r="K222" s="113">
        <f t="shared" si="177"/>
        <v>99024.6</v>
      </c>
      <c r="L222" s="113">
        <f t="shared" si="177"/>
        <v>1382545.9300000002</v>
      </c>
      <c r="M222" s="17">
        <f t="shared" si="177"/>
        <v>1481570.5300000003</v>
      </c>
      <c r="N222" s="53">
        <f t="shared" si="177"/>
        <v>193574.96999999881</v>
      </c>
      <c r="O222" s="113">
        <f t="shared" si="177"/>
        <v>193574.96999999881</v>
      </c>
      <c r="P222" s="17">
        <v>737893</v>
      </c>
      <c r="Q222" s="17">
        <f t="shared" si="177"/>
        <v>1382545.9300000002</v>
      </c>
      <c r="R222" s="17">
        <f t="shared" si="170"/>
        <v>2120438.9300000002</v>
      </c>
      <c r="S222" s="17">
        <f t="shared" ref="S222:U222" si="178">S223+S227</f>
        <v>638868.39999999991</v>
      </c>
      <c r="T222" s="113">
        <v>181401.95999999996</v>
      </c>
      <c r="U222" s="17">
        <f t="shared" si="178"/>
        <v>10742641.33</v>
      </c>
      <c r="V222" s="17">
        <f t="shared" si="177"/>
        <v>-1173507.060000001</v>
      </c>
      <c r="W222" s="17">
        <f t="shared" si="177"/>
        <v>728213.62999999989</v>
      </c>
      <c r="X222" s="17">
        <f t="shared" si="177"/>
        <v>728213.62999999989</v>
      </c>
      <c r="Y222" s="17">
        <f t="shared" si="169"/>
        <v>-534638.66000000108</v>
      </c>
      <c r="Z222" s="17">
        <f t="shared" si="177"/>
        <v>0</v>
      </c>
      <c r="AA222" s="17" t="e">
        <f t="shared" si="177"/>
        <v>#REF!</v>
      </c>
      <c r="AB222" s="68" t="e">
        <f t="shared" si="159"/>
        <v>#DIV/0!</v>
      </c>
    </row>
    <row r="223" spans="1:28" ht="33">
      <c r="A223" s="19" t="s">
        <v>116</v>
      </c>
      <c r="B223" s="20" t="s">
        <v>637</v>
      </c>
      <c r="C223" s="21" t="s">
        <v>55</v>
      </c>
      <c r="D223" s="21" t="s">
        <v>137</v>
      </c>
      <c r="E223" s="269">
        <f t="shared" ref="E223:AA223" si="179">E224+E225+E226</f>
        <v>12109723.359999999</v>
      </c>
      <c r="F223" s="116"/>
      <c r="G223" s="116">
        <f t="shared" si="179"/>
        <v>0</v>
      </c>
      <c r="H223" s="23">
        <f t="shared" si="179"/>
        <v>0</v>
      </c>
      <c r="I223" s="116">
        <f t="shared" si="179"/>
        <v>0</v>
      </c>
      <c r="J223" s="116">
        <f t="shared" si="179"/>
        <v>11916148.390000001</v>
      </c>
      <c r="K223" s="116">
        <f t="shared" si="179"/>
        <v>99024.6</v>
      </c>
      <c r="L223" s="116">
        <f t="shared" si="179"/>
        <v>1382545.9300000002</v>
      </c>
      <c r="M223" s="18">
        <f t="shared" si="179"/>
        <v>1481570.5300000003</v>
      </c>
      <c r="N223" s="54">
        <f t="shared" si="179"/>
        <v>193574.96999999881</v>
      </c>
      <c r="O223" s="116">
        <f t="shared" si="179"/>
        <v>193574.96999999881</v>
      </c>
      <c r="P223" s="18">
        <v>737893</v>
      </c>
      <c r="Q223" s="18">
        <f t="shared" si="179"/>
        <v>1382545.9300000002</v>
      </c>
      <c r="R223" s="18">
        <f t="shared" si="170"/>
        <v>2120438.9300000002</v>
      </c>
      <c r="S223" s="18">
        <f t="shared" ref="S223:U223" si="180">S224+S225+S226</f>
        <v>638868.39999999991</v>
      </c>
      <c r="T223" s="116">
        <v>181401.95999999996</v>
      </c>
      <c r="U223" s="18">
        <f t="shared" si="180"/>
        <v>10742641.33</v>
      </c>
      <c r="V223" s="18">
        <f t="shared" si="179"/>
        <v>-1173507.060000001</v>
      </c>
      <c r="W223" s="18">
        <f t="shared" si="179"/>
        <v>728213.62999999989</v>
      </c>
      <c r="X223" s="18">
        <f t="shared" si="179"/>
        <v>728213.62999999989</v>
      </c>
      <c r="Y223" s="18">
        <f t="shared" si="169"/>
        <v>-534638.66000000108</v>
      </c>
      <c r="Z223" s="18">
        <f t="shared" si="179"/>
        <v>0</v>
      </c>
      <c r="AA223" s="18" t="e">
        <f t="shared" si="179"/>
        <v>#REF!</v>
      </c>
      <c r="AB223" s="70" t="e">
        <f t="shared" si="159"/>
        <v>#DIV/0!</v>
      </c>
    </row>
    <row r="224" spans="1:28" ht="82.5">
      <c r="A224" s="19" t="s">
        <v>182</v>
      </c>
      <c r="B224" s="20" t="s">
        <v>638</v>
      </c>
      <c r="C224" s="21" t="s">
        <v>55</v>
      </c>
      <c r="D224" s="21" t="s">
        <v>137</v>
      </c>
      <c r="E224" s="271">
        <f>VLOOKUP($A224,publ_fin!$A:$I,8,FALSE)</f>
        <v>7765913.9199999999</v>
      </c>
      <c r="F224" s="114">
        <v>1</v>
      </c>
      <c r="G224" s="115"/>
      <c r="H224" s="22">
        <v>0</v>
      </c>
      <c r="I224" s="115">
        <f>F224*H224</f>
        <v>0</v>
      </c>
      <c r="J224" s="117">
        <v>7626340.620000001</v>
      </c>
      <c r="K224" s="117">
        <v>94312.42</v>
      </c>
      <c r="L224" s="117">
        <v>699991.52</v>
      </c>
      <c r="M224" s="23">
        <f t="shared" si="161"/>
        <v>794303.94000000006</v>
      </c>
      <c r="N224" s="54">
        <f>E224-J224</f>
        <v>139573.29999999888</v>
      </c>
      <c r="O224" s="117">
        <f>H224+N224</f>
        <v>139573.29999999888</v>
      </c>
      <c r="P224" s="23">
        <v>591178</v>
      </c>
      <c r="Q224" s="23">
        <f>IFERROR(VLOOKUP(A224,lauzti_līg!A:H,8,FALSE),0)</f>
        <v>699991.52</v>
      </c>
      <c r="R224" s="23">
        <f t="shared" si="170"/>
        <v>1291169.52</v>
      </c>
      <c r="S224" s="23">
        <f>R224-M224</f>
        <v>496865.57999999996</v>
      </c>
      <c r="T224" s="117">
        <v>132710.37</v>
      </c>
      <c r="U224" s="23">
        <f>IFERROR(VLOOKUP(A224,Nosl_līg!A:H,8,FALSE),0)</f>
        <v>7007412.2300000004</v>
      </c>
      <c r="V224" s="23">
        <f>U224-J224</f>
        <v>-618928.3900000006</v>
      </c>
      <c r="W224" s="23">
        <f>O224-S224-V224</f>
        <v>261636.10999999952</v>
      </c>
      <c r="X224" s="23">
        <f>IF(N224&gt;=S224+V224,N224-S224-V224,0)</f>
        <v>261636.10999999952</v>
      </c>
      <c r="Y224" s="23">
        <f t="shared" si="169"/>
        <v>-122062.81000000064</v>
      </c>
      <c r="Z224" s="23">
        <f>IF(H224=0,0, IF(U224-E224+R224-M224&lt;0, 0, U224-E224+R224-M224))</f>
        <v>0</v>
      </c>
      <c r="AA224" s="23" t="e">
        <f>VLOOKUP(A224,#REF!,63,FALSE)/F224+T224</f>
        <v>#REF!</v>
      </c>
      <c r="AB224" s="69" t="e">
        <f t="shared" si="159"/>
        <v>#DIV/0!</v>
      </c>
    </row>
    <row r="225" spans="1:28" ht="49.5">
      <c r="A225" s="19" t="s">
        <v>164</v>
      </c>
      <c r="B225" s="20" t="s">
        <v>593</v>
      </c>
      <c r="C225" s="21" t="s">
        <v>55</v>
      </c>
      <c r="D225" s="21" t="s">
        <v>137</v>
      </c>
      <c r="E225" s="271">
        <f>VLOOKUP($A225,publ_fin!$A:$I,8,FALSE)</f>
        <v>4343809.4400000004</v>
      </c>
      <c r="F225" s="114">
        <v>1</v>
      </c>
      <c r="G225" s="115"/>
      <c r="H225" s="22">
        <v>0</v>
      </c>
      <c r="I225" s="115">
        <f>F225*H225</f>
        <v>0</v>
      </c>
      <c r="J225" s="117">
        <v>4289807.7700000005</v>
      </c>
      <c r="K225" s="117">
        <v>4712.18</v>
      </c>
      <c r="L225" s="117">
        <v>682554.41</v>
      </c>
      <c r="M225" s="23">
        <f t="shared" si="161"/>
        <v>687266.59000000008</v>
      </c>
      <c r="N225" s="54">
        <f>E225-J225</f>
        <v>54001.669999999925</v>
      </c>
      <c r="O225" s="117">
        <f>H225+N225</f>
        <v>54001.669999999925</v>
      </c>
      <c r="P225" s="23">
        <v>146715</v>
      </c>
      <c r="Q225" s="23">
        <f>IFERROR(VLOOKUP(A225,lauzti_līg!A:H,8,FALSE),0)</f>
        <v>682554.41</v>
      </c>
      <c r="R225" s="23">
        <f t="shared" si="170"/>
        <v>829269.41</v>
      </c>
      <c r="S225" s="23">
        <f>R225-M225</f>
        <v>142002.81999999995</v>
      </c>
      <c r="T225" s="117">
        <v>48691.589999999967</v>
      </c>
      <c r="U225" s="23">
        <f>IFERROR(VLOOKUP(A225,Nosl_līg!A:H,8,FALSE),0)</f>
        <v>3735229.1</v>
      </c>
      <c r="V225" s="23">
        <f>U225-J225</f>
        <v>-554578.67000000039</v>
      </c>
      <c r="W225" s="23">
        <f>O225-S225-V225</f>
        <v>466577.52000000037</v>
      </c>
      <c r="X225" s="23">
        <f>IF(N225&gt;=S225+V225,N225-S225-V225,0)</f>
        <v>466577.52000000037</v>
      </c>
      <c r="Y225" s="23">
        <f t="shared" si="169"/>
        <v>-412575.85000000044</v>
      </c>
      <c r="Z225" s="23">
        <f>IF(H225=0,0, IF(U225-E225+R225-M225&lt;0, 0, U225-E225+R225-M225))</f>
        <v>0</v>
      </c>
      <c r="AA225" s="23" t="e">
        <f>VLOOKUP(A225,#REF!,63,FALSE)/F225+T225</f>
        <v>#REF!</v>
      </c>
      <c r="AB225" s="69" t="e">
        <f t="shared" si="159"/>
        <v>#DIV/0!</v>
      </c>
    </row>
    <row r="226" spans="1:28" ht="66">
      <c r="A226" s="19" t="s">
        <v>117</v>
      </c>
      <c r="B226" s="20" t="s">
        <v>594</v>
      </c>
      <c r="C226" s="21" t="s">
        <v>55</v>
      </c>
      <c r="D226" s="21" t="s">
        <v>137</v>
      </c>
      <c r="E226" s="271">
        <f>VLOOKUP($A226,publ_fin!$A:$I,8,FALSE)</f>
        <v>0</v>
      </c>
      <c r="F226" s="114">
        <v>0</v>
      </c>
      <c r="G226" s="115"/>
      <c r="H226" s="22">
        <v>0</v>
      </c>
      <c r="I226" s="115">
        <f>F226*H226</f>
        <v>0</v>
      </c>
      <c r="J226" s="117">
        <v>0</v>
      </c>
      <c r="K226" s="117">
        <v>0</v>
      </c>
      <c r="L226" s="117">
        <v>0</v>
      </c>
      <c r="M226" s="23">
        <f t="shared" si="161"/>
        <v>0</v>
      </c>
      <c r="N226" s="54">
        <f>E226-J226</f>
        <v>0</v>
      </c>
      <c r="O226" s="117">
        <f>H226+N226</f>
        <v>0</v>
      </c>
      <c r="P226" s="23">
        <v>0</v>
      </c>
      <c r="Q226" s="23">
        <f>IFERROR(VLOOKUP(A226,lauzti_līg!A:H,8,FALSE),0)</f>
        <v>0</v>
      </c>
      <c r="R226" s="23">
        <f t="shared" si="170"/>
        <v>0</v>
      </c>
      <c r="S226" s="23">
        <f>R226-M226</f>
        <v>0</v>
      </c>
      <c r="T226" s="117">
        <v>0</v>
      </c>
      <c r="U226" s="23">
        <f>IFERROR(VLOOKUP(A226,Nosl_līg!A:H,8,FALSE),0)</f>
        <v>0</v>
      </c>
      <c r="V226" s="23">
        <f>U226-J226</f>
        <v>0</v>
      </c>
      <c r="W226" s="23">
        <f>O226-S226-V226</f>
        <v>0</v>
      </c>
      <c r="X226" s="23">
        <f>IF(N226&gt;=S226+V226,N226-S226-V226,0)</f>
        <v>0</v>
      </c>
      <c r="Y226" s="23">
        <f t="shared" si="169"/>
        <v>0</v>
      </c>
      <c r="Z226" s="23">
        <f>IF(H226=0,0, IF(U226-E226+R226-M226&lt;0, 0, U226-E226+R226-M226))</f>
        <v>0</v>
      </c>
      <c r="AA226" s="23">
        <v>0</v>
      </c>
      <c r="AB226" s="69" t="e">
        <f t="shared" si="159"/>
        <v>#DIV/0!</v>
      </c>
    </row>
    <row r="227" spans="1:28" ht="33">
      <c r="A227" s="19" t="s">
        <v>118</v>
      </c>
      <c r="B227" s="20" t="s">
        <v>595</v>
      </c>
      <c r="C227" s="21" t="s">
        <v>55</v>
      </c>
      <c r="D227" s="21" t="s">
        <v>137</v>
      </c>
      <c r="E227" s="271">
        <f>VLOOKUP($A227,publ_fin!$A:$I,8,FALSE)</f>
        <v>0</v>
      </c>
      <c r="F227" s="114">
        <v>0</v>
      </c>
      <c r="G227" s="115"/>
      <c r="H227" s="22">
        <v>0</v>
      </c>
      <c r="I227" s="115">
        <f>F227*H227</f>
        <v>0</v>
      </c>
      <c r="J227" s="117">
        <v>0</v>
      </c>
      <c r="K227" s="117">
        <v>0</v>
      </c>
      <c r="L227" s="117">
        <v>0</v>
      </c>
      <c r="M227" s="23">
        <f t="shared" si="161"/>
        <v>0</v>
      </c>
      <c r="N227" s="54">
        <f>E227-J227</f>
        <v>0</v>
      </c>
      <c r="O227" s="117">
        <f>H227+N227</f>
        <v>0</v>
      </c>
      <c r="P227" s="23">
        <v>0</v>
      </c>
      <c r="Q227" s="23">
        <f>IFERROR(VLOOKUP(A227,lauzti_līg!A:H,8,FALSE),0)</f>
        <v>0</v>
      </c>
      <c r="R227" s="23">
        <f t="shared" si="170"/>
        <v>0</v>
      </c>
      <c r="S227" s="23">
        <f>R227-M227</f>
        <v>0</v>
      </c>
      <c r="T227" s="117">
        <v>0</v>
      </c>
      <c r="U227" s="23">
        <f>IFERROR(VLOOKUP(A227,Nosl_līg!A:H,8,FALSE),0)</f>
        <v>0</v>
      </c>
      <c r="V227" s="23">
        <f>U227-J227</f>
        <v>0</v>
      </c>
      <c r="W227" s="23">
        <f>O227-S227-V227</f>
        <v>0</v>
      </c>
      <c r="X227" s="23">
        <f>IF(N227&gt;=S227+V227,N227-S227-V227,0)</f>
        <v>0</v>
      </c>
      <c r="Y227" s="23">
        <f t="shared" si="169"/>
        <v>0</v>
      </c>
      <c r="Z227" s="23">
        <f>IF(H227=0,0, IF(U227-E227+R227-M227&lt;0, 0, U227-E227+R227-M227))</f>
        <v>0</v>
      </c>
      <c r="AA227" s="23">
        <v>0</v>
      </c>
      <c r="AB227" s="69" t="e">
        <f t="shared" si="159"/>
        <v>#DIV/0!</v>
      </c>
    </row>
    <row r="228" spans="1:28" ht="33">
      <c r="A228" s="14" t="s">
        <v>119</v>
      </c>
      <c r="B228" s="15" t="s">
        <v>596</v>
      </c>
      <c r="C228" s="16" t="s">
        <v>55</v>
      </c>
      <c r="D228" s="16" t="s">
        <v>141</v>
      </c>
      <c r="E228" s="270">
        <f t="shared" ref="E228:AA228" si="181">E229+E230+E231</f>
        <v>25335213.43</v>
      </c>
      <c r="F228" s="113"/>
      <c r="G228" s="113">
        <f t="shared" si="181"/>
        <v>0</v>
      </c>
      <c r="H228" s="17">
        <f t="shared" si="181"/>
        <v>12000000</v>
      </c>
      <c r="I228" s="113">
        <f t="shared" si="181"/>
        <v>12000000</v>
      </c>
      <c r="J228" s="113">
        <f t="shared" si="181"/>
        <v>24499620.189999998</v>
      </c>
      <c r="K228" s="113">
        <f t="shared" si="181"/>
        <v>6039.43</v>
      </c>
      <c r="L228" s="113">
        <f t="shared" si="181"/>
        <v>0</v>
      </c>
      <c r="M228" s="17">
        <f t="shared" si="181"/>
        <v>6039.43</v>
      </c>
      <c r="N228" s="53">
        <f t="shared" si="181"/>
        <v>835593.24000000069</v>
      </c>
      <c r="O228" s="113">
        <f t="shared" si="181"/>
        <v>12835593.240000002</v>
      </c>
      <c r="P228" s="17">
        <v>182012</v>
      </c>
      <c r="Q228" s="17">
        <f t="shared" si="181"/>
        <v>678809.01</v>
      </c>
      <c r="R228" s="17">
        <f t="shared" si="170"/>
        <v>860821.01</v>
      </c>
      <c r="S228" s="17">
        <f t="shared" si="181"/>
        <v>854781.58000000007</v>
      </c>
      <c r="T228" s="113">
        <v>254235.11000000002</v>
      </c>
      <c r="U228" s="17">
        <f t="shared" si="181"/>
        <v>35696258.25</v>
      </c>
      <c r="V228" s="17">
        <f t="shared" si="181"/>
        <v>11196638.060000001</v>
      </c>
      <c r="W228" s="17">
        <f t="shared" si="181"/>
        <v>784173.60000000009</v>
      </c>
      <c r="X228" s="17">
        <f t="shared" si="181"/>
        <v>0</v>
      </c>
      <c r="Y228" s="17">
        <f t="shared" si="169"/>
        <v>12051419.640000002</v>
      </c>
      <c r="Z228" s="17">
        <f t="shared" si="181"/>
        <v>11305417.99</v>
      </c>
      <c r="AA228" s="17" t="e">
        <f t="shared" si="181"/>
        <v>#REF!</v>
      </c>
      <c r="AB228" s="68">
        <f t="shared" si="159"/>
        <v>0.9421181658333333</v>
      </c>
    </row>
    <row r="229" spans="1:28" ht="66">
      <c r="A229" s="19" t="s">
        <v>120</v>
      </c>
      <c r="B229" s="20" t="s">
        <v>639</v>
      </c>
      <c r="C229" s="21" t="s">
        <v>55</v>
      </c>
      <c r="D229" s="21" t="s">
        <v>141</v>
      </c>
      <c r="E229" s="271">
        <f>VLOOKUP($A229,publ_fin!$A:$I,8,FALSE)</f>
        <v>14890142.49</v>
      </c>
      <c r="F229" s="114">
        <v>1</v>
      </c>
      <c r="G229" s="115"/>
      <c r="H229" s="22">
        <v>0</v>
      </c>
      <c r="I229" s="115">
        <f>F229*H229</f>
        <v>0</v>
      </c>
      <c r="J229" s="117">
        <v>14889924.199999999</v>
      </c>
      <c r="K229" s="117">
        <v>0</v>
      </c>
      <c r="L229" s="117">
        <v>0</v>
      </c>
      <c r="M229" s="23">
        <f t="shared" si="161"/>
        <v>0</v>
      </c>
      <c r="N229" s="54">
        <f>E229-J229</f>
        <v>218.29000000096858</v>
      </c>
      <c r="O229" s="117">
        <f>H229+N229</f>
        <v>218.29000000096858</v>
      </c>
      <c r="P229" s="23">
        <v>139555</v>
      </c>
      <c r="Q229" s="23">
        <f>IFERROR(VLOOKUP(A229,lauzti_līg!A:H,8,FALSE),0)</f>
        <v>0</v>
      </c>
      <c r="R229" s="23">
        <f t="shared" si="170"/>
        <v>139555</v>
      </c>
      <c r="S229" s="23">
        <f>R229-M229</f>
        <v>139555</v>
      </c>
      <c r="T229" s="117">
        <v>3731.95</v>
      </c>
      <c r="U229" s="23">
        <f>IFERROR(VLOOKUP(A229,Nosl_līg!A:H,8,FALSE),0)</f>
        <v>14886192.25</v>
      </c>
      <c r="V229" s="23">
        <f>U229-J229</f>
        <v>-3731.9499999992549</v>
      </c>
      <c r="W229" s="23">
        <f>O229-S229-V229</f>
        <v>-135604.75999999978</v>
      </c>
      <c r="X229" s="23">
        <f>IF(N229&gt;=S229+V229,N229-S229-V229,0)</f>
        <v>0</v>
      </c>
      <c r="Y229" s="23">
        <f t="shared" si="169"/>
        <v>135823.05000000075</v>
      </c>
      <c r="Z229" s="23">
        <f>IF(H229=0,0, IF(U229-E229+R229-M229&lt;0, 0, U229-E229+R229-M229))</f>
        <v>0</v>
      </c>
      <c r="AA229" s="23" t="e">
        <f>VLOOKUP(A229,#REF!,63,FALSE)/F229+T229</f>
        <v>#REF!</v>
      </c>
      <c r="AB229" s="69" t="e">
        <f t="shared" si="159"/>
        <v>#DIV/0!</v>
      </c>
    </row>
    <row r="230" spans="1:28" ht="49.5">
      <c r="A230" s="19" t="s">
        <v>172</v>
      </c>
      <c r="B230" s="20" t="s">
        <v>640</v>
      </c>
      <c r="C230" s="21" t="s">
        <v>55</v>
      </c>
      <c r="D230" s="21" t="s">
        <v>141</v>
      </c>
      <c r="E230" s="271">
        <f>VLOOKUP($A230,publ_fin!$A:$I,8,FALSE)</f>
        <v>6445071.8099999996</v>
      </c>
      <c r="F230" s="114">
        <v>1</v>
      </c>
      <c r="G230" s="115"/>
      <c r="H230" s="22">
        <v>8000000</v>
      </c>
      <c r="I230" s="115">
        <f>F230*H230</f>
        <v>8000000</v>
      </c>
      <c r="J230" s="117">
        <v>6443826.7400000002</v>
      </c>
      <c r="K230" s="117">
        <v>6039.43</v>
      </c>
      <c r="L230" s="117">
        <v>0</v>
      </c>
      <c r="M230" s="23">
        <f t="shared" si="161"/>
        <v>6039.43</v>
      </c>
      <c r="N230" s="54">
        <f>E230-J230</f>
        <v>1245.0699999993667</v>
      </c>
      <c r="O230" s="117">
        <f>H230+N230</f>
        <v>8001245.0699999994</v>
      </c>
      <c r="P230" s="23">
        <v>37064</v>
      </c>
      <c r="Q230" s="23">
        <f>IFERROR(VLOOKUP(A230,lauzti_līg!A:H,8,FALSE),0)</f>
        <v>0</v>
      </c>
      <c r="R230" s="23">
        <f t="shared" si="170"/>
        <v>37064</v>
      </c>
      <c r="S230" s="23">
        <f>R230-M230</f>
        <v>31024.57</v>
      </c>
      <c r="T230" s="117">
        <v>0</v>
      </c>
      <c r="U230" s="23">
        <f>IFERROR(VLOOKUP(A230,Nosl_līg!A:H,8,FALSE),0)</f>
        <v>14188521.73</v>
      </c>
      <c r="V230" s="23">
        <f>U230-J230</f>
        <v>7744694.9900000002</v>
      </c>
      <c r="W230" s="23">
        <f>O230-S230-V230</f>
        <v>225525.50999999885</v>
      </c>
      <c r="X230" s="23">
        <f>IF(N230&gt;=S230+V230,N230-S230-V230,0)</f>
        <v>0</v>
      </c>
      <c r="Y230" s="23">
        <f t="shared" si="169"/>
        <v>7775719.5600000005</v>
      </c>
      <c r="Z230" s="58">
        <f>IF(H230=0,0, IF(U230-E230+R230-M230&lt;0, 0, U230-E230+R230-M230))+225196.35</f>
        <v>7999670.8400000008</v>
      </c>
      <c r="AA230" s="23" t="e">
        <f>VLOOKUP(A230,#REF!,63,FALSE)/F230+T230</f>
        <v>#REF!</v>
      </c>
      <c r="AB230" s="69">
        <f t="shared" si="159"/>
        <v>0.99995885500000015</v>
      </c>
    </row>
    <row r="231" spans="1:28" ht="82.5">
      <c r="A231" s="19" t="s">
        <v>161</v>
      </c>
      <c r="B231" s="20" t="s">
        <v>597</v>
      </c>
      <c r="C231" s="21" t="s">
        <v>55</v>
      </c>
      <c r="D231" s="21" t="s">
        <v>141</v>
      </c>
      <c r="E231" s="271">
        <f>VLOOKUP($A231,publ_fin!$A:$I,8,FALSE)</f>
        <v>3999999.13</v>
      </c>
      <c r="F231" s="114">
        <v>1</v>
      </c>
      <c r="G231" s="115"/>
      <c r="H231" s="22">
        <v>4000000</v>
      </c>
      <c r="I231" s="115">
        <f>F231*H231</f>
        <v>4000000</v>
      </c>
      <c r="J231" s="117">
        <v>3165869.2499999995</v>
      </c>
      <c r="K231" s="117">
        <v>0</v>
      </c>
      <c r="L231" s="117">
        <v>0</v>
      </c>
      <c r="M231" s="23">
        <f t="shared" si="161"/>
        <v>0</v>
      </c>
      <c r="N231" s="54">
        <f>E231-J231</f>
        <v>834129.88000000035</v>
      </c>
      <c r="O231" s="117">
        <f>H231+N231</f>
        <v>4834129.8800000008</v>
      </c>
      <c r="P231" s="23">
        <v>5393</v>
      </c>
      <c r="Q231" s="23">
        <f>IFERROR(VLOOKUP(A231,lauzti_līg!A:H,8,FALSE),0)</f>
        <v>678809.01</v>
      </c>
      <c r="R231" s="23">
        <f t="shared" si="170"/>
        <v>684202.01</v>
      </c>
      <c r="S231" s="23">
        <f>R231-M231</f>
        <v>684202.01</v>
      </c>
      <c r="T231" s="117">
        <v>250503.16</v>
      </c>
      <c r="U231" s="23">
        <f>IFERROR(VLOOKUP(A231,Nosl_līg!A:H,8,FALSE),0)</f>
        <v>6621544.2699999996</v>
      </c>
      <c r="V231" s="23">
        <f>U231-J231</f>
        <v>3455675.02</v>
      </c>
      <c r="W231" s="23">
        <f>O231-S231-V231</f>
        <v>694252.85000000102</v>
      </c>
      <c r="X231" s="23">
        <f>IF(N231&gt;=S231+V231,N231-S231-V231,0)</f>
        <v>0</v>
      </c>
      <c r="Y231" s="23">
        <f t="shared" si="169"/>
        <v>4139877.03</v>
      </c>
      <c r="Z231" s="23">
        <f>IF(H231=0,0, IF(U231-E231+R231-M231&lt;0, 0, U231-E231+R231-M231))</f>
        <v>3305747.1499999994</v>
      </c>
      <c r="AA231" s="23" t="e">
        <f>VLOOKUP(A231,#REF!,63,FALSE)/F231+T231</f>
        <v>#REF!</v>
      </c>
      <c r="AB231" s="69">
        <f t="shared" si="159"/>
        <v>0.82643678749999983</v>
      </c>
    </row>
    <row r="232" spans="1:28" ht="33">
      <c r="A232" s="14" t="s">
        <v>121</v>
      </c>
      <c r="B232" s="15" t="s">
        <v>598</v>
      </c>
      <c r="C232" s="16" t="s">
        <v>55</v>
      </c>
      <c r="D232" s="16" t="s">
        <v>137</v>
      </c>
      <c r="E232" s="270">
        <f t="shared" ref="E232:AA232" si="182">E233+E234</f>
        <v>52611651.620000005</v>
      </c>
      <c r="F232" s="113"/>
      <c r="G232" s="113">
        <f t="shared" si="182"/>
        <v>0</v>
      </c>
      <c r="H232" s="17">
        <f t="shared" si="182"/>
        <v>8000000</v>
      </c>
      <c r="I232" s="113">
        <f t="shared" si="182"/>
        <v>8000000</v>
      </c>
      <c r="J232" s="113">
        <f t="shared" si="182"/>
        <v>31809480.789999977</v>
      </c>
      <c r="K232" s="113">
        <f t="shared" si="182"/>
        <v>180982.38999999998</v>
      </c>
      <c r="L232" s="113">
        <f t="shared" si="182"/>
        <v>1682281.48</v>
      </c>
      <c r="M232" s="17">
        <f t="shared" si="182"/>
        <v>1863263.8699999996</v>
      </c>
      <c r="N232" s="53">
        <f t="shared" si="182"/>
        <v>20802170.830000028</v>
      </c>
      <c r="O232" s="113">
        <f t="shared" si="182"/>
        <v>28802170.830000028</v>
      </c>
      <c r="P232" s="17">
        <v>956994</v>
      </c>
      <c r="Q232" s="17">
        <f t="shared" si="182"/>
        <v>3893947.25</v>
      </c>
      <c r="R232" s="17">
        <f t="shared" si="170"/>
        <v>4850941.25</v>
      </c>
      <c r="S232" s="17">
        <f t="shared" si="182"/>
        <v>2987677.38</v>
      </c>
      <c r="T232" s="113">
        <v>955961.97</v>
      </c>
      <c r="U232" s="17">
        <f t="shared" si="182"/>
        <v>60614605.770000003</v>
      </c>
      <c r="V232" s="17">
        <f t="shared" si="182"/>
        <v>28805124.980000027</v>
      </c>
      <c r="W232" s="17">
        <f t="shared" si="182"/>
        <v>-2990631.5300000017</v>
      </c>
      <c r="X232" s="17">
        <f t="shared" si="182"/>
        <v>391071.89</v>
      </c>
      <c r="Y232" s="17">
        <f t="shared" si="169"/>
        <v>31792802.360000029</v>
      </c>
      <c r="Z232" s="17">
        <f t="shared" si="182"/>
        <v>11381703.420000002</v>
      </c>
      <c r="AA232" s="17" t="e">
        <f t="shared" si="182"/>
        <v>#REF!</v>
      </c>
      <c r="AB232" s="68">
        <f t="shared" si="159"/>
        <v>1.4227129275000001</v>
      </c>
    </row>
    <row r="233" spans="1:28" ht="49.5">
      <c r="A233" s="19" t="s">
        <v>196</v>
      </c>
      <c r="B233" s="20" t="s">
        <v>599</v>
      </c>
      <c r="C233" s="21" t="s">
        <v>55</v>
      </c>
      <c r="D233" s="21" t="s">
        <v>137</v>
      </c>
      <c r="E233" s="271">
        <f>VLOOKUP($A233,publ_fin!$A:$I,8,FALSE)</f>
        <v>47759948.920000002</v>
      </c>
      <c r="F233" s="114">
        <v>1</v>
      </c>
      <c r="G233" s="115"/>
      <c r="H233" s="22">
        <v>8000000</v>
      </c>
      <c r="I233" s="115">
        <f>F233*H233</f>
        <v>8000000</v>
      </c>
      <c r="J233" s="117">
        <v>27200340.449999977</v>
      </c>
      <c r="K233" s="117">
        <v>59721.38</v>
      </c>
      <c r="L233" s="117">
        <v>1455791.5999999999</v>
      </c>
      <c r="M233" s="23">
        <f t="shared" si="161"/>
        <v>1515512.9799999997</v>
      </c>
      <c r="N233" s="54">
        <f>E233-J233</f>
        <v>20559608.470000025</v>
      </c>
      <c r="O233" s="117">
        <f>H233+N233</f>
        <v>28559608.470000025</v>
      </c>
      <c r="P233" s="23">
        <v>458136</v>
      </c>
      <c r="Q233" s="23">
        <f>IFERROR(VLOOKUP(A233,lauzti_līg!A:H,8,FALSE),0)</f>
        <v>3392615.98</v>
      </c>
      <c r="R233" s="23">
        <f t="shared" si="170"/>
        <v>3850751.98</v>
      </c>
      <c r="S233" s="23">
        <f>R233-M233</f>
        <v>2335239</v>
      </c>
      <c r="T233" s="117">
        <v>644042.02</v>
      </c>
      <c r="U233" s="23">
        <f>IFERROR(VLOOKUP(A233,Nosl_līg!A:H,8,FALSE),0)</f>
        <v>56806413.340000004</v>
      </c>
      <c r="V233" s="23">
        <f>U233-J233</f>
        <v>29606072.890000027</v>
      </c>
      <c r="W233" s="23">
        <f>O233-S233-V233</f>
        <v>-3381703.4200000018</v>
      </c>
      <c r="X233" s="23">
        <f>IF(N233&gt;=S233+V233,N233-S233-V233,0)</f>
        <v>0</v>
      </c>
      <c r="Y233" s="23">
        <f t="shared" si="169"/>
        <v>31941311.890000027</v>
      </c>
      <c r="Z233" s="23">
        <f>IF(H233=0,0, IF(U233-E233+R233-M233&lt;0, 0, U233-E233+R233-M233))</f>
        <v>11381703.420000002</v>
      </c>
      <c r="AA233" s="23" t="e">
        <f>VLOOKUP(A233,#REF!,63,FALSE)/F233+T233</f>
        <v>#REF!</v>
      </c>
      <c r="AB233" s="69">
        <f t="shared" si="159"/>
        <v>1.4227129275000001</v>
      </c>
    </row>
    <row r="234" spans="1:28" ht="49.5">
      <c r="A234" s="19" t="s">
        <v>365</v>
      </c>
      <c r="B234" s="20" t="s">
        <v>630</v>
      </c>
      <c r="C234" s="21" t="s">
        <v>55</v>
      </c>
      <c r="D234" s="21" t="s">
        <v>137</v>
      </c>
      <c r="E234" s="271">
        <f>VLOOKUP($A234,publ_fin!$A:$I,8,FALSE)</f>
        <v>4851702.7</v>
      </c>
      <c r="F234" s="114">
        <v>1</v>
      </c>
      <c r="G234" s="115"/>
      <c r="H234" s="22">
        <v>0</v>
      </c>
      <c r="I234" s="115">
        <f>F234*H234</f>
        <v>0</v>
      </c>
      <c r="J234" s="117">
        <v>4609140.3399999989</v>
      </c>
      <c r="K234" s="117">
        <v>121261.01</v>
      </c>
      <c r="L234" s="117">
        <v>226489.88</v>
      </c>
      <c r="M234" s="23">
        <f t="shared" si="161"/>
        <v>347750.89</v>
      </c>
      <c r="N234" s="54">
        <f>E234-J234</f>
        <v>242562.36000000127</v>
      </c>
      <c r="O234" s="117">
        <f>H234+N234</f>
        <v>242562.36000000127</v>
      </c>
      <c r="P234" s="23">
        <v>498858</v>
      </c>
      <c r="Q234" s="23">
        <f>IFERROR(VLOOKUP(A234,lauzti_līg!A:H,8,FALSE),0)</f>
        <v>501331.27</v>
      </c>
      <c r="R234" s="23">
        <f t="shared" si="170"/>
        <v>1000189.27</v>
      </c>
      <c r="S234" s="23">
        <f>R234-M234</f>
        <v>652438.38</v>
      </c>
      <c r="T234" s="117">
        <v>311919.94999999995</v>
      </c>
      <c r="U234" s="23">
        <f>IFERROR(VLOOKUP(A234,Nosl_līg!A:H,8,FALSE),0)</f>
        <v>3808192.43</v>
      </c>
      <c r="V234" s="23">
        <f>U234-J234</f>
        <v>-800947.90999999875</v>
      </c>
      <c r="W234" s="23">
        <f>O234-S234-V234</f>
        <v>391071.89</v>
      </c>
      <c r="X234" s="23">
        <f>IF(N234&gt;=S234+V234,N234-S234-V234,0)</f>
        <v>391071.89</v>
      </c>
      <c r="Y234" s="23">
        <f t="shared" si="169"/>
        <v>-148509.52999999875</v>
      </c>
      <c r="Z234" s="23">
        <f>IF(H234=0,0, IF(U234-E234+R234-M234&lt;0, 0, U234-E234+R234-M234))</f>
        <v>0</v>
      </c>
      <c r="AA234" s="23" t="e">
        <f>VLOOKUP(A234,#REF!,63,FALSE)/F234+T234</f>
        <v>#REF!</v>
      </c>
      <c r="AB234" s="69" t="e">
        <f t="shared" si="159"/>
        <v>#DIV/0!</v>
      </c>
    </row>
    <row r="235" spans="1:28" ht="66">
      <c r="A235" s="14" t="s">
        <v>122</v>
      </c>
      <c r="B235" s="15" t="s">
        <v>600</v>
      </c>
      <c r="C235" s="16" t="s">
        <v>142</v>
      </c>
      <c r="D235" s="16" t="s">
        <v>131</v>
      </c>
      <c r="E235" s="270">
        <f t="shared" ref="E235:AA235" si="183">E236+E244</f>
        <v>485857473.47999996</v>
      </c>
      <c r="F235" s="113"/>
      <c r="G235" s="113">
        <f t="shared" si="183"/>
        <v>0</v>
      </c>
      <c r="H235" s="17">
        <f t="shared" si="183"/>
        <v>3879949</v>
      </c>
      <c r="I235" s="113">
        <f t="shared" si="183"/>
        <v>3703530.266434405</v>
      </c>
      <c r="J235" s="113">
        <f t="shared" si="183"/>
        <v>386556498.61999989</v>
      </c>
      <c r="K235" s="113">
        <f t="shared" si="183"/>
        <v>372719.52</v>
      </c>
      <c r="L235" s="113">
        <f t="shared" si="183"/>
        <v>3045000</v>
      </c>
      <c r="M235" s="17">
        <f t="shared" si="183"/>
        <v>3417719.52</v>
      </c>
      <c r="N235" s="53">
        <f t="shared" si="183"/>
        <v>99300974.860000134</v>
      </c>
      <c r="O235" s="113">
        <f t="shared" si="183"/>
        <v>103180923.86000013</v>
      </c>
      <c r="P235" s="17">
        <v>1835114</v>
      </c>
      <c r="Q235" s="17">
        <f t="shared" si="183"/>
        <v>8601217.1400000006</v>
      </c>
      <c r="R235" s="17">
        <f t="shared" si="170"/>
        <v>10436331.140000001</v>
      </c>
      <c r="S235" s="17">
        <f t="shared" ref="S235:U235" si="184">S236+S244</f>
        <v>7018611.6199999992</v>
      </c>
      <c r="T235" s="113">
        <v>5431610.5999999996</v>
      </c>
      <c r="U235" s="17">
        <f t="shared" si="184"/>
        <v>438299678.24000001</v>
      </c>
      <c r="V235" s="17">
        <f t="shared" si="183"/>
        <v>51743179.620000169</v>
      </c>
      <c r="W235" s="17">
        <f t="shared" si="183"/>
        <v>44419132.61999996</v>
      </c>
      <c r="X235" s="17">
        <f t="shared" si="183"/>
        <v>40725285.809999973</v>
      </c>
      <c r="Y235" s="17">
        <f t="shared" si="169"/>
        <v>58761791.240000173</v>
      </c>
      <c r="Z235" s="17">
        <f t="shared" si="183"/>
        <v>0</v>
      </c>
      <c r="AA235" s="17" t="e">
        <f t="shared" si="183"/>
        <v>#REF!</v>
      </c>
      <c r="AB235" s="68">
        <f t="shared" si="159"/>
        <v>0</v>
      </c>
    </row>
    <row r="236" spans="1:28" ht="33">
      <c r="A236" s="14" t="s">
        <v>123</v>
      </c>
      <c r="B236" s="15" t="s">
        <v>601</v>
      </c>
      <c r="C236" s="16" t="s">
        <v>142</v>
      </c>
      <c r="D236" s="16" t="s">
        <v>628</v>
      </c>
      <c r="E236" s="270">
        <f t="shared" ref="E236:AA236" si="185">E237+E238+E242+E243</f>
        <v>406005335.59999996</v>
      </c>
      <c r="F236" s="113"/>
      <c r="G236" s="113">
        <f t="shared" si="185"/>
        <v>0</v>
      </c>
      <c r="H236" s="17">
        <f t="shared" si="185"/>
        <v>3879949</v>
      </c>
      <c r="I236" s="113">
        <f t="shared" si="185"/>
        <v>3703530.266434405</v>
      </c>
      <c r="J236" s="113">
        <f t="shared" si="185"/>
        <v>337116454.30999988</v>
      </c>
      <c r="K236" s="113">
        <f t="shared" si="185"/>
        <v>337346.12</v>
      </c>
      <c r="L236" s="113">
        <f t="shared" si="185"/>
        <v>3045000</v>
      </c>
      <c r="M236" s="17">
        <f t="shared" si="185"/>
        <v>3382346.12</v>
      </c>
      <c r="N236" s="53">
        <f t="shared" si="185"/>
        <v>68888881.290000141</v>
      </c>
      <c r="O236" s="113">
        <f t="shared" si="185"/>
        <v>72768830.290000141</v>
      </c>
      <c r="P236" s="17">
        <v>1448234</v>
      </c>
      <c r="Q236" s="17">
        <f t="shared" si="185"/>
        <v>7841637.2999999998</v>
      </c>
      <c r="R236" s="17">
        <f t="shared" si="170"/>
        <v>9289871.3000000007</v>
      </c>
      <c r="S236" s="17">
        <f t="shared" ref="S236:U236" si="186">S237+S238+S242+S243</f>
        <v>5907525.1799999997</v>
      </c>
      <c r="T236" s="113">
        <v>4978031.2799999993</v>
      </c>
      <c r="U236" s="17">
        <f t="shared" si="186"/>
        <v>367510061.84000003</v>
      </c>
      <c r="V236" s="17">
        <f t="shared" si="185"/>
        <v>30393607.530000161</v>
      </c>
      <c r="W236" s="17">
        <f t="shared" si="185"/>
        <v>36467697.579999968</v>
      </c>
      <c r="X236" s="17">
        <f t="shared" si="185"/>
        <v>32702733.189999979</v>
      </c>
      <c r="Y236" s="17">
        <f t="shared" si="169"/>
        <v>36301132.710000172</v>
      </c>
      <c r="Z236" s="17">
        <f t="shared" si="185"/>
        <v>0</v>
      </c>
      <c r="AA236" s="17" t="e">
        <f t="shared" si="185"/>
        <v>#REF!</v>
      </c>
      <c r="AB236" s="68">
        <f t="shared" si="159"/>
        <v>0</v>
      </c>
    </row>
    <row r="237" spans="1:28" ht="66">
      <c r="A237" s="19" t="s">
        <v>167</v>
      </c>
      <c r="B237" s="20" t="s">
        <v>602</v>
      </c>
      <c r="C237" s="21" t="s">
        <v>142</v>
      </c>
      <c r="D237" s="21" t="s">
        <v>628</v>
      </c>
      <c r="E237" s="271">
        <f>VLOOKUP($A237,publ_fin!$A:$I,8,FALSE)</f>
        <v>322265822.94999999</v>
      </c>
      <c r="F237" s="114">
        <v>0.95643029169533877</v>
      </c>
      <c r="G237" s="115"/>
      <c r="H237" s="22">
        <v>3749949</v>
      </c>
      <c r="I237" s="115">
        <f>F237*H237</f>
        <v>3586564.8159126439</v>
      </c>
      <c r="J237" s="117">
        <v>286005202.46999985</v>
      </c>
      <c r="K237" s="117">
        <v>333511.5</v>
      </c>
      <c r="L237" s="117">
        <v>0</v>
      </c>
      <c r="M237" s="23">
        <f t="shared" si="161"/>
        <v>333511.5</v>
      </c>
      <c r="N237" s="54">
        <f>E237-J237</f>
        <v>36260620.480000138</v>
      </c>
      <c r="O237" s="117">
        <f>H237+N237</f>
        <v>40010569.480000138</v>
      </c>
      <c r="P237" s="23">
        <v>1283559</v>
      </c>
      <c r="Q237" s="23">
        <f>IFERROR(VLOOKUP(A237,lauzti_līg!A:H,8,FALSE),0)</f>
        <v>0</v>
      </c>
      <c r="R237" s="23">
        <f t="shared" si="170"/>
        <v>1283559</v>
      </c>
      <c r="S237" s="23">
        <f>R237-M237</f>
        <v>950047.5</v>
      </c>
      <c r="T237" s="117">
        <v>125286.71000000002</v>
      </c>
      <c r="U237" s="23">
        <f>IFERROR(VLOOKUP(A237,Nosl_līg!A:H,8,FALSE),0)</f>
        <v>311225005.55000001</v>
      </c>
      <c r="V237" s="23">
        <f>U237-J237</f>
        <v>25219803.080000162</v>
      </c>
      <c r="W237" s="23">
        <f>O237-S237-V237</f>
        <v>13840718.899999976</v>
      </c>
      <c r="X237" s="23">
        <f>IF(N237&gt;=S237+V237,N237-S237-V237,0)</f>
        <v>10090769.899999976</v>
      </c>
      <c r="Y237" s="23">
        <f t="shared" si="169"/>
        <v>26169850.580000162</v>
      </c>
      <c r="Z237" s="23">
        <f>IF(H237=0,0, IF(U237-E237+R237-M237&lt;0, 0, U237-E237+R237-M237))</f>
        <v>0</v>
      </c>
      <c r="AA237" s="23" t="e">
        <f>VLOOKUP(A237,#REF!,63,FALSE)/F237+T237</f>
        <v>#REF!</v>
      </c>
      <c r="AB237" s="69">
        <f t="shared" si="159"/>
        <v>0</v>
      </c>
    </row>
    <row r="238" spans="1:28" ht="49.5">
      <c r="A238" s="19" t="s">
        <v>124</v>
      </c>
      <c r="B238" s="20" t="s">
        <v>603</v>
      </c>
      <c r="C238" s="21" t="s">
        <v>142</v>
      </c>
      <c r="D238" s="21" t="s">
        <v>628</v>
      </c>
      <c r="E238" s="269">
        <f t="shared" ref="E238:AA238" si="187">E239+E240+E241</f>
        <v>68707333.479999989</v>
      </c>
      <c r="F238" s="116"/>
      <c r="G238" s="116">
        <f t="shared" si="187"/>
        <v>0</v>
      </c>
      <c r="H238" s="23">
        <f t="shared" si="187"/>
        <v>0</v>
      </c>
      <c r="I238" s="116">
        <f t="shared" si="187"/>
        <v>0</v>
      </c>
      <c r="J238" s="116">
        <f t="shared" si="187"/>
        <v>40753557.579999998</v>
      </c>
      <c r="K238" s="116">
        <f t="shared" si="187"/>
        <v>3834.6200000000003</v>
      </c>
      <c r="L238" s="116">
        <f t="shared" si="187"/>
        <v>0</v>
      </c>
      <c r="M238" s="18">
        <f t="shared" si="187"/>
        <v>3834.6200000000003</v>
      </c>
      <c r="N238" s="54">
        <f t="shared" si="187"/>
        <v>27953775.900000002</v>
      </c>
      <c r="O238" s="116">
        <f t="shared" si="187"/>
        <v>27953775.900000002</v>
      </c>
      <c r="P238" s="18">
        <v>127493</v>
      </c>
      <c r="Q238" s="18">
        <f t="shared" si="187"/>
        <v>4796637.3</v>
      </c>
      <c r="R238" s="18">
        <f t="shared" si="170"/>
        <v>4924130.3</v>
      </c>
      <c r="S238" s="18">
        <f t="shared" si="187"/>
        <v>4920295.68</v>
      </c>
      <c r="T238" s="116">
        <v>4852744.5699999994</v>
      </c>
      <c r="U238" s="18">
        <f t="shared" si="187"/>
        <v>44082842.879999995</v>
      </c>
      <c r="V238" s="18">
        <f t="shared" si="187"/>
        <v>3329285.3000000017</v>
      </c>
      <c r="W238" s="18">
        <f t="shared" si="187"/>
        <v>19704194.919999998</v>
      </c>
      <c r="X238" s="18">
        <f t="shared" si="187"/>
        <v>19819179.530000001</v>
      </c>
      <c r="Y238" s="18">
        <f t="shared" si="169"/>
        <v>8249580.9800000042</v>
      </c>
      <c r="Z238" s="18">
        <f t="shared" si="187"/>
        <v>0</v>
      </c>
      <c r="AA238" s="18" t="e">
        <f t="shared" si="187"/>
        <v>#REF!</v>
      </c>
      <c r="AB238" s="70" t="e">
        <f t="shared" si="159"/>
        <v>#DIV/0!</v>
      </c>
    </row>
    <row r="239" spans="1:28" ht="49.5">
      <c r="A239" s="19" t="s">
        <v>368</v>
      </c>
      <c r="B239" s="20" t="s">
        <v>604</v>
      </c>
      <c r="C239" s="21" t="s">
        <v>142</v>
      </c>
      <c r="D239" s="21" t="s">
        <v>628</v>
      </c>
      <c r="E239" s="271">
        <f>VLOOKUP($A239,publ_fin!$A:$I,8,FALSE)</f>
        <v>11830766.390000001</v>
      </c>
      <c r="F239" s="114">
        <v>1</v>
      </c>
      <c r="G239" s="115"/>
      <c r="H239" s="22">
        <v>0</v>
      </c>
      <c r="I239" s="115">
        <f>F239*H239</f>
        <v>0</v>
      </c>
      <c r="J239" s="117">
        <v>5938812.7099999981</v>
      </c>
      <c r="K239" s="117">
        <v>3612.82</v>
      </c>
      <c r="L239" s="117">
        <v>0</v>
      </c>
      <c r="M239" s="23">
        <f t="shared" si="161"/>
        <v>3612.82</v>
      </c>
      <c r="N239" s="54">
        <f>E239-J239</f>
        <v>5891953.6800000025</v>
      </c>
      <c r="O239" s="117">
        <f>H239+N239</f>
        <v>5891953.6800000025</v>
      </c>
      <c r="P239" s="23">
        <v>11304</v>
      </c>
      <c r="Q239" s="23">
        <f>IFERROR(VLOOKUP(A239,lauzti_līg!A:H,8,FALSE),0)</f>
        <v>0</v>
      </c>
      <c r="R239" s="23">
        <f t="shared" si="170"/>
        <v>11304</v>
      </c>
      <c r="S239" s="23">
        <f>R239-M239</f>
        <v>7691.18</v>
      </c>
      <c r="T239" s="117">
        <v>3218.2099999999996</v>
      </c>
      <c r="U239" s="23">
        <f>IFERROR(VLOOKUP(A239,Nosl_līg!A:H,8,FALSE),0)</f>
        <v>11615920.970000001</v>
      </c>
      <c r="V239" s="23">
        <f>U239-J239</f>
        <v>5677108.2600000026</v>
      </c>
      <c r="W239" s="23">
        <f>O239-S239-V239</f>
        <v>207154.24000000022</v>
      </c>
      <c r="X239" s="23">
        <f>IF(N239&gt;=S239+V239,N239-S239-V239,0)</f>
        <v>207154.24000000022</v>
      </c>
      <c r="Y239" s="23">
        <f t="shared" si="169"/>
        <v>5684799.4400000023</v>
      </c>
      <c r="Z239" s="23">
        <f>IF(H239=0,0, IF(U239-E239+R239-M239&lt;0, 0, U239-E239+R239-M239))</f>
        <v>0</v>
      </c>
      <c r="AA239" s="23" t="e">
        <f>VLOOKUP(A239,#REF!,63,FALSE)/F239+T239</f>
        <v>#REF!</v>
      </c>
      <c r="AB239" s="69" t="e">
        <f t="shared" si="159"/>
        <v>#DIV/0!</v>
      </c>
    </row>
    <row r="240" spans="1:28" ht="49.5">
      <c r="A240" s="19" t="s">
        <v>148</v>
      </c>
      <c r="B240" s="20" t="s">
        <v>605</v>
      </c>
      <c r="C240" s="21" t="s">
        <v>142</v>
      </c>
      <c r="D240" s="21" t="s">
        <v>628</v>
      </c>
      <c r="E240" s="271">
        <f>VLOOKUP($A240,publ_fin!$A:$I,8,FALSE)</f>
        <v>27987494.52</v>
      </c>
      <c r="F240" s="114">
        <v>1</v>
      </c>
      <c r="G240" s="115"/>
      <c r="H240" s="22">
        <v>0</v>
      </c>
      <c r="I240" s="115">
        <f>F240*H240</f>
        <v>0</v>
      </c>
      <c r="J240" s="117">
        <v>25405186.740000002</v>
      </c>
      <c r="K240" s="117">
        <v>31.76</v>
      </c>
      <c r="L240" s="117">
        <v>0</v>
      </c>
      <c r="M240" s="23">
        <f t="shared" si="161"/>
        <v>31.76</v>
      </c>
      <c r="N240" s="54">
        <f>E240-J240</f>
        <v>2582307.7799999975</v>
      </c>
      <c r="O240" s="117">
        <f>H240+N240</f>
        <v>2582307.7799999975</v>
      </c>
      <c r="P240" s="23">
        <v>115017</v>
      </c>
      <c r="Q240" s="23">
        <f>IFERROR(VLOOKUP(A240,lauzti_līg!A:H,8,FALSE),0)</f>
        <v>0</v>
      </c>
      <c r="R240" s="23">
        <f t="shared" si="170"/>
        <v>115017</v>
      </c>
      <c r="S240" s="23">
        <f>R240-M240</f>
        <v>114985.24</v>
      </c>
      <c r="T240" s="117">
        <v>52889.06</v>
      </c>
      <c r="U240" s="23">
        <f>IFERROR(VLOOKUP(A240,Nosl_līg!A:H,8,FALSE),0)</f>
        <v>27987493.890000001</v>
      </c>
      <c r="V240" s="23">
        <f>U240-J240</f>
        <v>2582307.1499999985</v>
      </c>
      <c r="W240" s="23">
        <f>O240-S240-V240</f>
        <v>-114984.61000000127</v>
      </c>
      <c r="X240" s="23">
        <f>IF(N240&gt;=S240+V240,N240-S240-V240,0)</f>
        <v>0</v>
      </c>
      <c r="Y240" s="23">
        <f t="shared" si="169"/>
        <v>2697292.3899999987</v>
      </c>
      <c r="Z240" s="23">
        <f>IF(H240=0,0, IF(U240-E240+R240-M240&lt;0, 0, U240-E240+R240-M240))</f>
        <v>0</v>
      </c>
      <c r="AA240" s="23" t="e">
        <f>VLOOKUP(A240,#REF!,63,FALSE)/F240+T240</f>
        <v>#REF!</v>
      </c>
      <c r="AB240" s="69" t="e">
        <f t="shared" si="159"/>
        <v>#DIV/0!</v>
      </c>
    </row>
    <row r="241" spans="1:28" ht="49.5">
      <c r="A241" s="19" t="s">
        <v>183</v>
      </c>
      <c r="B241" s="20" t="s">
        <v>606</v>
      </c>
      <c r="C241" s="21" t="s">
        <v>142</v>
      </c>
      <c r="D241" s="21" t="s">
        <v>628</v>
      </c>
      <c r="E241" s="271">
        <f>VLOOKUP($A241,publ_fin!$A:$I,8,FALSE)</f>
        <v>28889072.57</v>
      </c>
      <c r="F241" s="114">
        <v>1</v>
      </c>
      <c r="G241" s="115"/>
      <c r="H241" s="22">
        <v>0</v>
      </c>
      <c r="I241" s="115">
        <f>F241*H241</f>
        <v>0</v>
      </c>
      <c r="J241" s="117">
        <v>9409558.129999999</v>
      </c>
      <c r="K241" s="117">
        <v>190.04</v>
      </c>
      <c r="L241" s="117">
        <v>0</v>
      </c>
      <c r="M241" s="23">
        <f t="shared" si="161"/>
        <v>190.04</v>
      </c>
      <c r="N241" s="54">
        <f>E241-J241</f>
        <v>19479514.440000001</v>
      </c>
      <c r="O241" s="117">
        <f>H241+N241</f>
        <v>19479514.440000001</v>
      </c>
      <c r="P241" s="23">
        <v>1172</v>
      </c>
      <c r="Q241" s="23">
        <f>IFERROR(VLOOKUP(A241,lauzti_līg!A:H,8,FALSE),0)</f>
        <v>4796637.3</v>
      </c>
      <c r="R241" s="23">
        <f t="shared" si="170"/>
        <v>4797809.3</v>
      </c>
      <c r="S241" s="23">
        <f>R241-M241</f>
        <v>4797619.26</v>
      </c>
      <c r="T241" s="117">
        <v>4796637.3</v>
      </c>
      <c r="U241" s="23">
        <f>IFERROR(VLOOKUP(A241,Nosl_līg!A:H,8,FALSE),0)</f>
        <v>4479428.0199999996</v>
      </c>
      <c r="V241" s="23">
        <f>U241-J241</f>
        <v>-4930130.1099999994</v>
      </c>
      <c r="W241" s="23">
        <f>O241-S241-V241</f>
        <v>19612025.289999999</v>
      </c>
      <c r="X241" s="23">
        <f>IF(N241&gt;=S241+V241,N241-S241-V241,0)</f>
        <v>19612025.289999999</v>
      </c>
      <c r="Y241" s="23">
        <f t="shared" si="169"/>
        <v>-132510.84999999776</v>
      </c>
      <c r="Z241" s="23">
        <f>IF(H241=0,0, IF(U241-E241+R241-M241&lt;0, 0, U241-E241+R241-M241))</f>
        <v>0</v>
      </c>
      <c r="AA241" s="23" t="e">
        <f>VLOOKUP(A241,#REF!,63,FALSE)/F241+T241</f>
        <v>#REF!</v>
      </c>
      <c r="AB241" s="69" t="e">
        <f t="shared" si="159"/>
        <v>#DIV/0!</v>
      </c>
    </row>
    <row r="242" spans="1:28" ht="33">
      <c r="A242" s="19" t="s">
        <v>169</v>
      </c>
      <c r="B242" s="20" t="s">
        <v>607</v>
      </c>
      <c r="C242" s="21" t="s">
        <v>142</v>
      </c>
      <c r="D242" s="21" t="s">
        <v>628</v>
      </c>
      <c r="E242" s="271">
        <f>VLOOKUP($A242,publ_fin!$A:$I,8,FALSE)</f>
        <v>7064714.4199999999</v>
      </c>
      <c r="F242" s="114">
        <v>1</v>
      </c>
      <c r="G242" s="115"/>
      <c r="H242" s="22">
        <v>0</v>
      </c>
      <c r="I242" s="115">
        <f>F242*H242</f>
        <v>0</v>
      </c>
      <c r="J242" s="117">
        <v>2563552.85</v>
      </c>
      <c r="K242" s="117">
        <v>0</v>
      </c>
      <c r="L242" s="117">
        <v>0</v>
      </c>
      <c r="M242" s="23">
        <f t="shared" si="161"/>
        <v>0</v>
      </c>
      <c r="N242" s="54">
        <f>E242-J242</f>
        <v>4501161.57</v>
      </c>
      <c r="O242" s="117">
        <f>H242+N242</f>
        <v>4501161.57</v>
      </c>
      <c r="P242" s="23">
        <v>0</v>
      </c>
      <c r="Q242" s="23">
        <f>IFERROR(VLOOKUP(A242,lauzti_līg!A:H,8,FALSE),0)</f>
        <v>0</v>
      </c>
      <c r="R242" s="23">
        <f t="shared" si="170"/>
        <v>0</v>
      </c>
      <c r="S242" s="23">
        <f>R242-M242</f>
        <v>0</v>
      </c>
      <c r="T242" s="117">
        <v>0</v>
      </c>
      <c r="U242" s="23">
        <f>IFERROR(VLOOKUP(A242,Nosl_līg!A:H,8,FALSE),0)</f>
        <v>4408072</v>
      </c>
      <c r="V242" s="23">
        <f>U242-J242</f>
        <v>1844519.15</v>
      </c>
      <c r="W242" s="23">
        <f>O242-S242-V242</f>
        <v>2656642.4200000004</v>
      </c>
      <c r="X242" s="23">
        <f>IF(N242&gt;=S242+V242,N242-S242-V242,0)</f>
        <v>2656642.4200000004</v>
      </c>
      <c r="Y242" s="23">
        <f t="shared" si="169"/>
        <v>1844519.15</v>
      </c>
      <c r="Z242" s="23">
        <f>IF(H242=0,0, IF(U242-E242+R242-M242&lt;0, 0, U242-E242+R242-M242))</f>
        <v>0</v>
      </c>
      <c r="AA242" s="23" t="e">
        <f>VLOOKUP(A242,#REF!,63,FALSE)/F242+T242</f>
        <v>#REF!</v>
      </c>
      <c r="AB242" s="69" t="e">
        <f t="shared" si="159"/>
        <v>#DIV/0!</v>
      </c>
    </row>
    <row r="243" spans="1:28" ht="33">
      <c r="A243" s="19" t="s">
        <v>184</v>
      </c>
      <c r="B243" s="20" t="s">
        <v>608</v>
      </c>
      <c r="C243" s="21" t="s">
        <v>142</v>
      </c>
      <c r="D243" s="21" t="s">
        <v>628</v>
      </c>
      <c r="E243" s="271">
        <f>VLOOKUP($A243,publ_fin!$A:$I,8,FALSE)</f>
        <v>7967464.75</v>
      </c>
      <c r="F243" s="114">
        <v>0.89973423478277703</v>
      </c>
      <c r="G243" s="115"/>
      <c r="H243" s="22">
        <v>130000</v>
      </c>
      <c r="I243" s="115">
        <f>F243*H243</f>
        <v>116965.45052176101</v>
      </c>
      <c r="J243" s="117">
        <v>7794141.4100000001</v>
      </c>
      <c r="K243" s="117">
        <v>0</v>
      </c>
      <c r="L243" s="117">
        <v>3045000</v>
      </c>
      <c r="M243" s="23">
        <f t="shared" si="161"/>
        <v>3045000</v>
      </c>
      <c r="N243" s="54">
        <f>E243-J243</f>
        <v>173323.33999999985</v>
      </c>
      <c r="O243" s="117">
        <f>H243+N243</f>
        <v>303323.33999999985</v>
      </c>
      <c r="P243" s="23">
        <v>37182</v>
      </c>
      <c r="Q243" s="23">
        <f>IFERROR(VLOOKUP(A243,lauzti_līg!A:H,8,FALSE),0)</f>
        <v>3045000</v>
      </c>
      <c r="R243" s="23">
        <f t="shared" si="170"/>
        <v>3082182</v>
      </c>
      <c r="S243" s="23">
        <f>R243-M243</f>
        <v>37182</v>
      </c>
      <c r="T243" s="117">
        <v>0</v>
      </c>
      <c r="U243" s="23">
        <f>IFERROR(VLOOKUP(A243,Nosl_līg!A:H,8,FALSE),0)</f>
        <v>7794141.4100000001</v>
      </c>
      <c r="V243" s="23">
        <f>U243-J243</f>
        <v>0</v>
      </c>
      <c r="W243" s="23">
        <f>O243-S243-V243</f>
        <v>266141.33999999985</v>
      </c>
      <c r="X243" s="23">
        <f>IF(N243&gt;=S243+V243,N243-S243-V243,0)</f>
        <v>136141.33999999985</v>
      </c>
      <c r="Y243" s="23">
        <f t="shared" si="169"/>
        <v>37182</v>
      </c>
      <c r="Z243" s="23">
        <f>IF(H243=0,0, IF(U243-E243+R243-M243&lt;0, 0, U243-E243+R243-M243))</f>
        <v>0</v>
      </c>
      <c r="AA243" s="23" t="e">
        <f>VLOOKUP(A243,#REF!,63,FALSE)/F243+T243</f>
        <v>#REF!</v>
      </c>
      <c r="AB243" s="69">
        <f t="shared" si="159"/>
        <v>0</v>
      </c>
    </row>
    <row r="244" spans="1:28" s="40" customFormat="1" ht="16.5">
      <c r="A244" s="14" t="s">
        <v>125</v>
      </c>
      <c r="B244" s="15" t="s">
        <v>609</v>
      </c>
      <c r="C244" s="16" t="s">
        <v>142</v>
      </c>
      <c r="D244" s="16" t="s">
        <v>131</v>
      </c>
      <c r="E244" s="270">
        <f t="shared" ref="E244:Z244" si="188">E245+E248+E249+E250</f>
        <v>79852137.879999995</v>
      </c>
      <c r="F244" s="113"/>
      <c r="G244" s="113">
        <f t="shared" si="188"/>
        <v>0</v>
      </c>
      <c r="H244" s="17">
        <f t="shared" si="188"/>
        <v>0</v>
      </c>
      <c r="I244" s="113">
        <f t="shared" si="188"/>
        <v>0</v>
      </c>
      <c r="J244" s="113">
        <f t="shared" si="188"/>
        <v>49440044.309999995</v>
      </c>
      <c r="K244" s="113">
        <f t="shared" si="188"/>
        <v>35373.4</v>
      </c>
      <c r="L244" s="113">
        <f t="shared" si="188"/>
        <v>0</v>
      </c>
      <c r="M244" s="17">
        <f t="shared" si="188"/>
        <v>35373.4</v>
      </c>
      <c r="N244" s="53">
        <f t="shared" si="188"/>
        <v>30412093.57</v>
      </c>
      <c r="O244" s="113">
        <f t="shared" si="188"/>
        <v>30412093.57</v>
      </c>
      <c r="P244" s="17">
        <v>386880</v>
      </c>
      <c r="Q244" s="17">
        <f t="shared" si="188"/>
        <v>759579.84</v>
      </c>
      <c r="R244" s="17">
        <f t="shared" si="170"/>
        <v>1146459.8399999999</v>
      </c>
      <c r="S244" s="17">
        <f t="shared" ref="S244:U244" si="189">S245+S248+S249+S250</f>
        <v>1111086.44</v>
      </c>
      <c r="T244" s="113">
        <v>453579.32</v>
      </c>
      <c r="U244" s="17">
        <f t="shared" si="189"/>
        <v>70789616.400000006</v>
      </c>
      <c r="V244" s="17">
        <f t="shared" si="188"/>
        <v>21349572.090000007</v>
      </c>
      <c r="W244" s="17">
        <f t="shared" si="188"/>
        <v>7951435.0399999917</v>
      </c>
      <c r="X244" s="17">
        <f t="shared" si="188"/>
        <v>8022552.6199999936</v>
      </c>
      <c r="Y244" s="17">
        <f t="shared" si="169"/>
        <v>22460658.530000009</v>
      </c>
      <c r="Z244" s="17">
        <f t="shared" si="188"/>
        <v>0</v>
      </c>
      <c r="AA244" s="17" t="e">
        <f>AA245+AA248+AA249+AA250</f>
        <v>#REF!</v>
      </c>
      <c r="AB244" s="68" t="e">
        <f t="shared" si="159"/>
        <v>#DIV/0!</v>
      </c>
    </row>
    <row r="245" spans="1:28" s="40" customFormat="1" ht="49.5">
      <c r="A245" s="19" t="s">
        <v>382</v>
      </c>
      <c r="B245" s="20" t="s">
        <v>610</v>
      </c>
      <c r="C245" s="21" t="s">
        <v>142</v>
      </c>
      <c r="D245" s="21" t="s">
        <v>137</v>
      </c>
      <c r="E245" s="269">
        <f t="shared" ref="E245:AA245" si="190">E246+E247</f>
        <v>59056401.549999997</v>
      </c>
      <c r="F245" s="116"/>
      <c r="G245" s="116">
        <f t="shared" si="190"/>
        <v>0</v>
      </c>
      <c r="H245" s="23">
        <f t="shared" si="190"/>
        <v>0</v>
      </c>
      <c r="I245" s="116">
        <f t="shared" si="190"/>
        <v>0</v>
      </c>
      <c r="J245" s="116">
        <f t="shared" si="190"/>
        <v>28074544.759999998</v>
      </c>
      <c r="K245" s="116">
        <f t="shared" si="190"/>
        <v>35373.4</v>
      </c>
      <c r="L245" s="116">
        <f t="shared" si="190"/>
        <v>0</v>
      </c>
      <c r="M245" s="18">
        <f t="shared" si="190"/>
        <v>35373.4</v>
      </c>
      <c r="N245" s="54">
        <f t="shared" si="190"/>
        <v>30981856.789999999</v>
      </c>
      <c r="O245" s="116">
        <f t="shared" si="190"/>
        <v>30981856.789999999</v>
      </c>
      <c r="P245" s="18">
        <v>315762</v>
      </c>
      <c r="Q245" s="18">
        <f t="shared" si="190"/>
        <v>759579.84</v>
      </c>
      <c r="R245" s="18">
        <f t="shared" si="170"/>
        <v>1075341.8399999999</v>
      </c>
      <c r="S245" s="18">
        <f t="shared" ref="S245:U245" si="191">S246+S247</f>
        <v>1039968.4399999998</v>
      </c>
      <c r="T245" s="116">
        <v>448771.25</v>
      </c>
      <c r="U245" s="18">
        <f t="shared" si="191"/>
        <v>49993880.490000002</v>
      </c>
      <c r="V245" s="18">
        <f t="shared" si="190"/>
        <v>21919335.730000004</v>
      </c>
      <c r="W245" s="18">
        <f t="shared" si="190"/>
        <v>8022552.6199999936</v>
      </c>
      <c r="X245" s="18">
        <f t="shared" si="190"/>
        <v>8022552.6199999936</v>
      </c>
      <c r="Y245" s="18">
        <f t="shared" si="169"/>
        <v>22959304.170000006</v>
      </c>
      <c r="Z245" s="18">
        <f t="shared" si="190"/>
        <v>0</v>
      </c>
      <c r="AA245" s="18" t="e">
        <f t="shared" si="190"/>
        <v>#REF!</v>
      </c>
      <c r="AB245" s="70" t="e">
        <f t="shared" si="159"/>
        <v>#DIV/0!</v>
      </c>
    </row>
    <row r="246" spans="1:28" ht="66">
      <c r="A246" s="19" t="s">
        <v>374</v>
      </c>
      <c r="B246" s="20" t="s">
        <v>611</v>
      </c>
      <c r="C246" s="21" t="s">
        <v>142</v>
      </c>
      <c r="D246" s="21" t="s">
        <v>137</v>
      </c>
      <c r="E246" s="271">
        <f>VLOOKUP($A246,publ_fin!$A:$I,8,FALSE)</f>
        <v>59056401.549999997</v>
      </c>
      <c r="F246" s="114">
        <v>1</v>
      </c>
      <c r="G246" s="115"/>
      <c r="H246" s="22">
        <v>0</v>
      </c>
      <c r="I246" s="115">
        <f>F246*H246</f>
        <v>0</v>
      </c>
      <c r="J246" s="117">
        <v>28074544.759999998</v>
      </c>
      <c r="K246" s="117">
        <v>35373.4</v>
      </c>
      <c r="L246" s="117">
        <v>0</v>
      </c>
      <c r="M246" s="23">
        <f t="shared" si="161"/>
        <v>35373.4</v>
      </c>
      <c r="N246" s="54">
        <f>E246-J246</f>
        <v>30981856.789999999</v>
      </c>
      <c r="O246" s="117">
        <f>H246+N246</f>
        <v>30981856.789999999</v>
      </c>
      <c r="P246" s="23">
        <v>315762</v>
      </c>
      <c r="Q246" s="23">
        <f>IFERROR(VLOOKUP(A246,lauzti_līg!A:H,8,FALSE),0)</f>
        <v>759579.84</v>
      </c>
      <c r="R246" s="23">
        <f t="shared" si="170"/>
        <v>1075341.8399999999</v>
      </c>
      <c r="S246" s="23">
        <f>R246-M246</f>
        <v>1039968.4399999998</v>
      </c>
      <c r="T246" s="117">
        <v>448771.25</v>
      </c>
      <c r="U246" s="23">
        <f>IFERROR(VLOOKUP(A246,Nosl_līg!A:H,8,FALSE),0)</f>
        <v>49993880.490000002</v>
      </c>
      <c r="V246" s="23">
        <f>U246-J246</f>
        <v>21919335.730000004</v>
      </c>
      <c r="W246" s="23">
        <f>O246-S246-V246</f>
        <v>8022552.6199999936</v>
      </c>
      <c r="X246" s="23">
        <f>IF(N246&gt;=S246+V246,N246-S246-V246,0)</f>
        <v>8022552.6199999936</v>
      </c>
      <c r="Y246" s="23">
        <f t="shared" si="169"/>
        <v>22959304.170000006</v>
      </c>
      <c r="Z246" s="23">
        <f>IF(H246=0,0, IF(U246-E246+R246-M246&lt;0, 0, U246-E246+R246-M246))</f>
        <v>0</v>
      </c>
      <c r="AA246" s="23" t="e">
        <f>VLOOKUP(A246,#REF!,63,FALSE)/F246+T246</f>
        <v>#REF!</v>
      </c>
      <c r="AB246" s="69" t="e">
        <f t="shared" si="159"/>
        <v>#DIV/0!</v>
      </c>
    </row>
    <row r="247" spans="1:28" ht="66">
      <c r="A247" s="19" t="s">
        <v>158</v>
      </c>
      <c r="B247" s="20" t="s">
        <v>612</v>
      </c>
      <c r="C247" s="21" t="s">
        <v>142</v>
      </c>
      <c r="D247" s="21" t="s">
        <v>137</v>
      </c>
      <c r="E247" s="271">
        <f>VLOOKUP($A247,publ_fin!$A:$I,8,FALSE)</f>
        <v>0</v>
      </c>
      <c r="F247" s="114">
        <v>1</v>
      </c>
      <c r="G247" s="115"/>
      <c r="H247" s="22">
        <v>0</v>
      </c>
      <c r="I247" s="115">
        <f>F247*H247</f>
        <v>0</v>
      </c>
      <c r="J247" s="117">
        <v>0</v>
      </c>
      <c r="K247" s="117">
        <v>0</v>
      </c>
      <c r="L247" s="117">
        <v>0</v>
      </c>
      <c r="M247" s="23">
        <f t="shared" si="161"/>
        <v>0</v>
      </c>
      <c r="N247" s="54">
        <f>E247-J247</f>
        <v>0</v>
      </c>
      <c r="O247" s="117">
        <f>H247+N247</f>
        <v>0</v>
      </c>
      <c r="P247" s="23">
        <v>0</v>
      </c>
      <c r="Q247" s="23">
        <f>IFERROR(VLOOKUP(A247,lauzti_līg!A:H,8,FALSE),0)</f>
        <v>0</v>
      </c>
      <c r="R247" s="23">
        <f t="shared" si="170"/>
        <v>0</v>
      </c>
      <c r="S247" s="23">
        <f>R247-M247</f>
        <v>0</v>
      </c>
      <c r="T247" s="117">
        <v>0</v>
      </c>
      <c r="U247" s="23">
        <f>IFERROR(VLOOKUP(A247,Nosl_līg!A:H,8,FALSE),0)</f>
        <v>0</v>
      </c>
      <c r="V247" s="23">
        <f>U247-J247</f>
        <v>0</v>
      </c>
      <c r="W247" s="23">
        <f>O247-S247-V247</f>
        <v>0</v>
      </c>
      <c r="X247" s="23">
        <f>IF(N247&gt;=S247+V247,N247-S247-V247,0)</f>
        <v>0</v>
      </c>
      <c r="Y247" s="23">
        <f t="shared" si="169"/>
        <v>0</v>
      </c>
      <c r="Z247" s="23">
        <f>IF(H247=0,0, IF(U247-E247+R247-M247&lt;0, 0, U247-E247+R247-M247))</f>
        <v>0</v>
      </c>
      <c r="AA247" s="23" t="e">
        <f>VLOOKUP(A247,#REF!,63,FALSE)/F247+T247</f>
        <v>#REF!</v>
      </c>
      <c r="AB247" s="69" t="e">
        <f t="shared" si="159"/>
        <v>#DIV/0!</v>
      </c>
    </row>
    <row r="248" spans="1:28" ht="66">
      <c r="A248" s="19" t="s">
        <v>143</v>
      </c>
      <c r="B248" s="20" t="s">
        <v>613</v>
      </c>
      <c r="C248" s="21" t="s">
        <v>142</v>
      </c>
      <c r="D248" s="21" t="s">
        <v>137</v>
      </c>
      <c r="E248" s="271">
        <f>VLOOKUP($A248,publ_fin!$A:$I,8,FALSE)</f>
        <v>20795736.329999998</v>
      </c>
      <c r="F248" s="114">
        <v>1</v>
      </c>
      <c r="G248" s="115"/>
      <c r="H248" s="22">
        <v>0</v>
      </c>
      <c r="I248" s="115">
        <f>F248*H248</f>
        <v>0</v>
      </c>
      <c r="J248" s="117">
        <v>21365499.549999997</v>
      </c>
      <c r="K248" s="117">
        <v>0</v>
      </c>
      <c r="L248" s="117">
        <v>0</v>
      </c>
      <c r="M248" s="23">
        <f t="shared" si="161"/>
        <v>0</v>
      </c>
      <c r="N248" s="54">
        <f>E248-J248</f>
        <v>-569763.21999999881</v>
      </c>
      <c r="O248" s="117">
        <f>H248+N248</f>
        <v>-569763.21999999881</v>
      </c>
      <c r="P248" s="23">
        <v>71118</v>
      </c>
      <c r="Q248" s="23">
        <f>IFERROR(VLOOKUP(A248,lauzti_līg!A:H,8,FALSE),0)</f>
        <v>0</v>
      </c>
      <c r="R248" s="23">
        <f t="shared" si="170"/>
        <v>71118</v>
      </c>
      <c r="S248" s="23">
        <f>R248-M248</f>
        <v>71118</v>
      </c>
      <c r="T248" s="117">
        <v>4808.07</v>
      </c>
      <c r="U248" s="23">
        <f>IFERROR(VLOOKUP(A248,Nosl_līg!A:H,8,FALSE),0)</f>
        <v>20795735.91</v>
      </c>
      <c r="V248" s="23">
        <f>U248-J248</f>
        <v>-569763.63999999687</v>
      </c>
      <c r="W248" s="23">
        <f>O248-S248-V248</f>
        <v>-71117.580000001937</v>
      </c>
      <c r="X248" s="23">
        <f>IF(N248&gt;=S248+V248,N248-S248-V248,0)</f>
        <v>0</v>
      </c>
      <c r="Y248" s="23">
        <f t="shared" si="169"/>
        <v>-498645.63999999687</v>
      </c>
      <c r="Z248" s="23">
        <f>IF(H248=0,0, IF(U248-E248+R248-M248&lt;0, 0, U248-E248+R248-M248))</f>
        <v>0</v>
      </c>
      <c r="AA248" s="23" t="e">
        <f>VLOOKUP(A248,#REF!,63,FALSE)/F248+T248</f>
        <v>#REF!</v>
      </c>
      <c r="AB248" s="69" t="e">
        <f t="shared" si="159"/>
        <v>#DIV/0!</v>
      </c>
    </row>
    <row r="249" spans="1:28" ht="33">
      <c r="A249" s="19" t="s">
        <v>126</v>
      </c>
      <c r="B249" s="20" t="s">
        <v>614</v>
      </c>
      <c r="C249" s="21" t="s">
        <v>142</v>
      </c>
      <c r="D249" s="21" t="s">
        <v>137</v>
      </c>
      <c r="E249" s="271">
        <f>VLOOKUP($A249,publ_fin!$A:$I,8,FALSE)</f>
        <v>0</v>
      </c>
      <c r="F249" s="114">
        <v>0</v>
      </c>
      <c r="G249" s="115"/>
      <c r="H249" s="22">
        <v>0</v>
      </c>
      <c r="I249" s="115">
        <f>F249*H249</f>
        <v>0</v>
      </c>
      <c r="J249" s="117">
        <v>0</v>
      </c>
      <c r="K249" s="117">
        <v>0</v>
      </c>
      <c r="L249" s="117">
        <v>0</v>
      </c>
      <c r="M249" s="23">
        <f t="shared" si="161"/>
        <v>0</v>
      </c>
      <c r="N249" s="54">
        <f>E249-J249</f>
        <v>0</v>
      </c>
      <c r="O249" s="117">
        <f>H249+N249</f>
        <v>0</v>
      </c>
      <c r="P249" s="23">
        <v>0</v>
      </c>
      <c r="Q249" s="23">
        <f>IFERROR(VLOOKUP(A249,lauzti_līg!A:H,8,FALSE),0)</f>
        <v>0</v>
      </c>
      <c r="R249" s="23">
        <f t="shared" si="170"/>
        <v>0</v>
      </c>
      <c r="S249" s="23">
        <f>R249-M249</f>
        <v>0</v>
      </c>
      <c r="T249" s="117">
        <v>0</v>
      </c>
      <c r="U249" s="23">
        <f>IFERROR(VLOOKUP(A249,Nosl_līg!A:H,8,FALSE),0)</f>
        <v>0</v>
      </c>
      <c r="V249" s="23">
        <f>U249-J249</f>
        <v>0</v>
      </c>
      <c r="W249" s="23">
        <f>O249-S249-V249</f>
        <v>0</v>
      </c>
      <c r="X249" s="23">
        <f>IF(N249&gt;=S249+V249,N249-S249-V249,0)</f>
        <v>0</v>
      </c>
      <c r="Y249" s="23">
        <f t="shared" si="169"/>
        <v>0</v>
      </c>
      <c r="Z249" s="23">
        <f>IF(H249=0,0, IF(U249-E249+R249-M249&lt;0, 0, U249-E249+R249-M249))</f>
        <v>0</v>
      </c>
      <c r="AA249" s="23">
        <v>0</v>
      </c>
      <c r="AB249" s="69" t="e">
        <f t="shared" si="159"/>
        <v>#DIV/0!</v>
      </c>
    </row>
    <row r="250" spans="1:28" ht="49.5">
      <c r="A250" s="19" t="s">
        <v>127</v>
      </c>
      <c r="B250" s="20" t="s">
        <v>615</v>
      </c>
      <c r="C250" s="21" t="s">
        <v>142</v>
      </c>
      <c r="D250" s="21" t="s">
        <v>137</v>
      </c>
      <c r="E250" s="271">
        <f>VLOOKUP($A250,publ_fin!$A:$I,8,FALSE)</f>
        <v>0</v>
      </c>
      <c r="F250" s="114">
        <v>0</v>
      </c>
      <c r="G250" s="115"/>
      <c r="H250" s="22">
        <v>0</v>
      </c>
      <c r="I250" s="115">
        <f>F250*H250</f>
        <v>0</v>
      </c>
      <c r="J250" s="117">
        <v>0</v>
      </c>
      <c r="K250" s="117">
        <v>0</v>
      </c>
      <c r="L250" s="117">
        <v>0</v>
      </c>
      <c r="M250" s="23">
        <f t="shared" si="161"/>
        <v>0</v>
      </c>
      <c r="N250" s="54">
        <f>E250-J250</f>
        <v>0</v>
      </c>
      <c r="O250" s="117">
        <f>H250+N250</f>
        <v>0</v>
      </c>
      <c r="P250" s="23">
        <v>0</v>
      </c>
      <c r="Q250" s="23">
        <f>IFERROR(VLOOKUP(A250,lauzti_līg!A:H,8,FALSE),0)</f>
        <v>0</v>
      </c>
      <c r="R250" s="23">
        <f t="shared" si="170"/>
        <v>0</v>
      </c>
      <c r="S250" s="23">
        <f>R250-M250</f>
        <v>0</v>
      </c>
      <c r="T250" s="117">
        <v>0</v>
      </c>
      <c r="U250" s="23">
        <f>IFERROR(VLOOKUP(A250,Nosl_līg!A:H,8,FALSE),0)</f>
        <v>0</v>
      </c>
      <c r="V250" s="23">
        <f>U250-J250</f>
        <v>0</v>
      </c>
      <c r="W250" s="23">
        <f>O250-S250-V250</f>
        <v>0</v>
      </c>
      <c r="X250" s="23">
        <f>IF(N250&gt;=S250+V250,N250-S250-V250,0)</f>
        <v>0</v>
      </c>
      <c r="Y250" s="23">
        <f t="shared" si="169"/>
        <v>0</v>
      </c>
      <c r="Z250" s="23">
        <f>IF(H250=0,0, IF(U250-E250+R250-M250&lt;0, 0, U250-E250+R250-M250))</f>
        <v>0</v>
      </c>
      <c r="AA250" s="23">
        <v>0</v>
      </c>
      <c r="AB250" s="69" t="e">
        <f t="shared" si="159"/>
        <v>#DIV/0!</v>
      </c>
    </row>
    <row r="251" spans="1:28" ht="33">
      <c r="A251" s="14" t="s">
        <v>128</v>
      </c>
      <c r="B251" s="15" t="s">
        <v>616</v>
      </c>
      <c r="C251" s="16" t="s">
        <v>55</v>
      </c>
      <c r="D251" s="16" t="s">
        <v>131</v>
      </c>
      <c r="E251" s="270">
        <f t="shared" ref="E251:AA251" si="192">E252+E255</f>
        <v>192923990.01999998</v>
      </c>
      <c r="F251" s="113"/>
      <c r="G251" s="113">
        <f t="shared" si="192"/>
        <v>0</v>
      </c>
      <c r="H251" s="17">
        <f t="shared" si="192"/>
        <v>50787563</v>
      </c>
      <c r="I251" s="113">
        <f t="shared" si="192"/>
        <v>50787563</v>
      </c>
      <c r="J251" s="113">
        <f t="shared" si="192"/>
        <v>170478607.62000009</v>
      </c>
      <c r="K251" s="113">
        <f t="shared" si="192"/>
        <v>906171.11</v>
      </c>
      <c r="L251" s="113">
        <f t="shared" si="192"/>
        <v>4791603</v>
      </c>
      <c r="M251" s="17">
        <f t="shared" si="192"/>
        <v>5697774.1100000003</v>
      </c>
      <c r="N251" s="53">
        <f t="shared" si="192"/>
        <v>22445382.39999989</v>
      </c>
      <c r="O251" s="113">
        <f t="shared" si="192"/>
        <v>73232945.399999887</v>
      </c>
      <c r="P251" s="17">
        <v>4057613</v>
      </c>
      <c r="Q251" s="17">
        <f t="shared" si="192"/>
        <v>4791603</v>
      </c>
      <c r="R251" s="17">
        <f t="shared" si="170"/>
        <v>8849216</v>
      </c>
      <c r="S251" s="17">
        <f t="shared" ref="S251:U251" si="193">S252+S255</f>
        <v>3151441.8899999997</v>
      </c>
      <c r="T251" s="113">
        <v>86850.420000000115</v>
      </c>
      <c r="U251" s="17">
        <f t="shared" si="193"/>
        <v>229362975.78999999</v>
      </c>
      <c r="V251" s="17">
        <f t="shared" si="192"/>
        <v>58884368.169999905</v>
      </c>
      <c r="W251" s="17">
        <f t="shared" si="192"/>
        <v>11197135.339999985</v>
      </c>
      <c r="X251" s="17">
        <f t="shared" si="192"/>
        <v>0</v>
      </c>
      <c r="Y251" s="17">
        <f t="shared" si="169"/>
        <v>62035810.059999898</v>
      </c>
      <c r="Z251" s="17">
        <f t="shared" si="192"/>
        <v>47808737.74000001</v>
      </c>
      <c r="AA251" s="17" t="e">
        <f t="shared" si="192"/>
        <v>#REF!</v>
      </c>
      <c r="AB251" s="68">
        <f t="shared" si="159"/>
        <v>0.9413473479717861</v>
      </c>
    </row>
    <row r="252" spans="1:28" ht="49.5">
      <c r="A252" s="14" t="s">
        <v>129</v>
      </c>
      <c r="B252" s="15" t="s">
        <v>617</v>
      </c>
      <c r="C252" s="16" t="s">
        <v>55</v>
      </c>
      <c r="D252" s="16" t="s">
        <v>131</v>
      </c>
      <c r="E252" s="270">
        <f t="shared" ref="E252:AA252" si="194">E253+E254</f>
        <v>184862251.13999999</v>
      </c>
      <c r="F252" s="113"/>
      <c r="G252" s="113">
        <f t="shared" si="194"/>
        <v>0</v>
      </c>
      <c r="H252" s="17">
        <f t="shared" si="194"/>
        <v>29935543</v>
      </c>
      <c r="I252" s="113">
        <f t="shared" si="194"/>
        <v>29935543</v>
      </c>
      <c r="J252" s="113">
        <f t="shared" si="194"/>
        <v>169541681.62000009</v>
      </c>
      <c r="K252" s="113">
        <f t="shared" si="194"/>
        <v>906171.11</v>
      </c>
      <c r="L252" s="113">
        <f t="shared" si="194"/>
        <v>4791603</v>
      </c>
      <c r="M252" s="17">
        <f t="shared" si="194"/>
        <v>5697774.1100000003</v>
      </c>
      <c r="N252" s="53">
        <f t="shared" si="194"/>
        <v>15320569.519999892</v>
      </c>
      <c r="O252" s="113">
        <f t="shared" si="194"/>
        <v>45256112.519999892</v>
      </c>
      <c r="P252" s="17">
        <v>4012059</v>
      </c>
      <c r="Q252" s="17">
        <f t="shared" si="194"/>
        <v>4791603</v>
      </c>
      <c r="R252" s="17">
        <f t="shared" si="170"/>
        <v>8803662</v>
      </c>
      <c r="S252" s="17">
        <f t="shared" ref="S252:U252" si="195">S253+S254</f>
        <v>3105887.8899999997</v>
      </c>
      <c r="T252" s="113">
        <v>86850.420000000115</v>
      </c>
      <c r="U252" s="17">
        <f t="shared" si="195"/>
        <v>204841733.44</v>
      </c>
      <c r="V252" s="17">
        <f t="shared" si="194"/>
        <v>35300051.819999903</v>
      </c>
      <c r="W252" s="17">
        <f t="shared" si="194"/>
        <v>6850172.8099999875</v>
      </c>
      <c r="X252" s="17">
        <f t="shared" si="194"/>
        <v>0</v>
      </c>
      <c r="Y252" s="17">
        <f t="shared" si="169"/>
        <v>38405939.709999904</v>
      </c>
      <c r="Z252" s="17">
        <f t="shared" si="194"/>
        <v>31303680.270000011</v>
      </c>
      <c r="AA252" s="17" t="e">
        <f t="shared" si="194"/>
        <v>#REF!</v>
      </c>
      <c r="AB252" s="68">
        <f t="shared" si="159"/>
        <v>1.045702771117264</v>
      </c>
    </row>
    <row r="253" spans="1:28" ht="66">
      <c r="A253" s="19" t="s">
        <v>377</v>
      </c>
      <c r="B253" s="20" t="s">
        <v>618</v>
      </c>
      <c r="C253" s="21" t="s">
        <v>55</v>
      </c>
      <c r="D253" s="21" t="s">
        <v>628</v>
      </c>
      <c r="E253" s="271">
        <f>VLOOKUP($A253,publ_fin!$A:$I,8,FALSE)</f>
        <v>177834211.13999999</v>
      </c>
      <c r="F253" s="114">
        <v>1</v>
      </c>
      <c r="G253" s="115"/>
      <c r="H253" s="22">
        <v>29935543</v>
      </c>
      <c r="I253" s="115">
        <f>F253*H253</f>
        <v>29935543</v>
      </c>
      <c r="J253" s="117">
        <v>162513641.62000009</v>
      </c>
      <c r="K253" s="117">
        <v>906171.11</v>
      </c>
      <c r="L253" s="117">
        <v>4791603</v>
      </c>
      <c r="M253" s="23">
        <f t="shared" si="161"/>
        <v>5697774.1100000003</v>
      </c>
      <c r="N253" s="54">
        <f>E253-J253</f>
        <v>15320569.519999892</v>
      </c>
      <c r="O253" s="117">
        <f>H253+N253</f>
        <v>45256112.519999892</v>
      </c>
      <c r="P253" s="23">
        <v>4004677</v>
      </c>
      <c r="Q253" s="23">
        <f>IFERROR(VLOOKUP(A253,lauzti_līg!A:H,8,FALSE),0)</f>
        <v>4791603</v>
      </c>
      <c r="R253" s="23">
        <f t="shared" si="170"/>
        <v>8796280</v>
      </c>
      <c r="S253" s="23">
        <f>R253-M253</f>
        <v>3098505.8899999997</v>
      </c>
      <c r="T253" s="117">
        <v>79658.620000000112</v>
      </c>
      <c r="U253" s="23">
        <f>IFERROR(VLOOKUP(A253,Nosl_līg!A:H,8,FALSE),0)</f>
        <v>197813693.44</v>
      </c>
      <c r="V253" s="23">
        <f>U253-J253</f>
        <v>35300051.819999903</v>
      </c>
      <c r="W253" s="23">
        <f>O253-S253-V253</f>
        <v>6857554.8099999875</v>
      </c>
      <c r="X253" s="23">
        <f>IF(N253&gt;=S253+V253,N253-S253-V253,0)</f>
        <v>0</v>
      </c>
      <c r="Y253" s="23">
        <f t="shared" si="169"/>
        <v>38398557.709999904</v>
      </c>
      <c r="Z253" s="18">
        <f>IF(H253=0,0, IF(U253-E253+R253-M253&lt;0, 0, U253-E253+R253-M253))+8225692.08</f>
        <v>31303680.270000011</v>
      </c>
      <c r="AA253" s="23" t="e">
        <f>VLOOKUP(A253,#REF!,63,FALSE)/F253+T253</f>
        <v>#REF!</v>
      </c>
      <c r="AB253" s="69">
        <f t="shared" si="159"/>
        <v>1.045702771117264</v>
      </c>
    </row>
    <row r="254" spans="1:28" ht="33">
      <c r="A254" s="19" t="s">
        <v>130</v>
      </c>
      <c r="B254" s="20" t="s">
        <v>636</v>
      </c>
      <c r="C254" s="21" t="s">
        <v>55</v>
      </c>
      <c r="D254" s="21" t="s">
        <v>628</v>
      </c>
      <c r="E254" s="271">
        <f>VLOOKUP($A254,publ_fin!$A:$I,8,FALSE)</f>
        <v>7028040</v>
      </c>
      <c r="F254" s="114">
        <v>1</v>
      </c>
      <c r="G254" s="115"/>
      <c r="H254" s="22">
        <v>0</v>
      </c>
      <c r="I254" s="115">
        <f>F254*H254</f>
        <v>0</v>
      </c>
      <c r="J254" s="117">
        <v>7028040</v>
      </c>
      <c r="K254" s="117">
        <v>0</v>
      </c>
      <c r="L254" s="117">
        <v>0</v>
      </c>
      <c r="M254" s="23">
        <f t="shared" si="161"/>
        <v>0</v>
      </c>
      <c r="N254" s="54">
        <f>E254-J254</f>
        <v>0</v>
      </c>
      <c r="O254" s="117">
        <f>H254+N254</f>
        <v>0</v>
      </c>
      <c r="P254" s="23">
        <v>7382</v>
      </c>
      <c r="Q254" s="23">
        <f>IFERROR(VLOOKUP(A254,lauzti_līg!A:H,8,FALSE),0)</f>
        <v>0</v>
      </c>
      <c r="R254" s="23">
        <f t="shared" si="170"/>
        <v>7382</v>
      </c>
      <c r="S254" s="23">
        <f>R254-M254</f>
        <v>7382</v>
      </c>
      <c r="T254" s="117">
        <v>7191.8</v>
      </c>
      <c r="U254" s="23">
        <f>IFERROR(VLOOKUP(A254,Nosl_līg!A:H,8,FALSE),0)</f>
        <v>7028040</v>
      </c>
      <c r="V254" s="23">
        <f>U254-J254</f>
        <v>0</v>
      </c>
      <c r="W254" s="23">
        <f>O254-S254-V254</f>
        <v>-7382</v>
      </c>
      <c r="X254" s="23">
        <f>IF(N254&gt;=S254+V254,N254-S254-V254,0)</f>
        <v>0</v>
      </c>
      <c r="Y254" s="23">
        <f t="shared" si="169"/>
        <v>7382</v>
      </c>
      <c r="Z254" s="23">
        <f>IF(H254=0,0, IF(U254-E254+R254-M254&lt;0, 0, U254-E254+R254-M254))</f>
        <v>0</v>
      </c>
      <c r="AA254" s="23" t="e">
        <f>VLOOKUP(A254,#REF!,63,FALSE)/F254+T254</f>
        <v>#REF!</v>
      </c>
      <c r="AB254" s="69" t="e">
        <f t="shared" si="159"/>
        <v>#DIV/0!</v>
      </c>
    </row>
    <row r="255" spans="1:28" ht="49.5">
      <c r="A255" s="14" t="s">
        <v>132</v>
      </c>
      <c r="B255" s="15" t="s">
        <v>619</v>
      </c>
      <c r="C255" s="16" t="s">
        <v>55</v>
      </c>
      <c r="D255" s="16" t="s">
        <v>134</v>
      </c>
      <c r="E255" s="270">
        <f t="shared" ref="E255:AA255" si="196">E256</f>
        <v>8061738.8799999999</v>
      </c>
      <c r="F255" s="113"/>
      <c r="G255" s="113">
        <f t="shared" si="196"/>
        <v>0</v>
      </c>
      <c r="H255" s="17">
        <f t="shared" si="196"/>
        <v>20852020</v>
      </c>
      <c r="I255" s="113">
        <f t="shared" si="196"/>
        <v>20852020</v>
      </c>
      <c r="J255" s="113">
        <f t="shared" si="196"/>
        <v>936926</v>
      </c>
      <c r="K255" s="113">
        <f t="shared" si="196"/>
        <v>0</v>
      </c>
      <c r="L255" s="113">
        <f t="shared" si="196"/>
        <v>0</v>
      </c>
      <c r="M255" s="17">
        <f t="shared" si="196"/>
        <v>0</v>
      </c>
      <c r="N255" s="53">
        <f t="shared" si="196"/>
        <v>7124812.8799999999</v>
      </c>
      <c r="O255" s="113">
        <f t="shared" si="196"/>
        <v>27976832.879999999</v>
      </c>
      <c r="P255" s="17">
        <v>45554</v>
      </c>
      <c r="Q255" s="17">
        <f t="shared" si="196"/>
        <v>0</v>
      </c>
      <c r="R255" s="17">
        <f t="shared" si="170"/>
        <v>45554</v>
      </c>
      <c r="S255" s="17">
        <f t="shared" si="196"/>
        <v>45554</v>
      </c>
      <c r="T255" s="113">
        <v>0</v>
      </c>
      <c r="U255" s="17">
        <f t="shared" si="196"/>
        <v>24521242.350000001</v>
      </c>
      <c r="V255" s="17">
        <f t="shared" si="196"/>
        <v>23584316.350000001</v>
      </c>
      <c r="W255" s="17">
        <f t="shared" si="196"/>
        <v>4346962.5299999975</v>
      </c>
      <c r="X255" s="17">
        <f t="shared" si="196"/>
        <v>0</v>
      </c>
      <c r="Y255" s="17">
        <f t="shared" si="169"/>
        <v>23629870.350000001</v>
      </c>
      <c r="Z255" s="17">
        <f t="shared" si="196"/>
        <v>16505057.470000003</v>
      </c>
      <c r="AA255" s="17" t="e">
        <f t="shared" si="196"/>
        <v>#REF!</v>
      </c>
      <c r="AB255" s="68">
        <f t="shared" si="159"/>
        <v>0.79153278531288584</v>
      </c>
    </row>
    <row r="256" spans="1:28" ht="33">
      <c r="A256" s="19" t="s">
        <v>133</v>
      </c>
      <c r="B256" s="20" t="s">
        <v>620</v>
      </c>
      <c r="C256" s="21" t="s">
        <v>55</v>
      </c>
      <c r="D256" s="21" t="s">
        <v>628</v>
      </c>
      <c r="E256" s="271">
        <f>VLOOKUP($A256,publ_fin!$A:$I,8,FALSE)</f>
        <v>8061738.8799999999</v>
      </c>
      <c r="F256" s="114">
        <v>1</v>
      </c>
      <c r="G256" s="115"/>
      <c r="H256" s="22">
        <v>20852020</v>
      </c>
      <c r="I256" s="115">
        <f>F256*H256</f>
        <v>20852020</v>
      </c>
      <c r="J256" s="117">
        <v>936926</v>
      </c>
      <c r="K256" s="117">
        <v>0</v>
      </c>
      <c r="L256" s="117">
        <v>0</v>
      </c>
      <c r="M256" s="23">
        <f t="shared" si="161"/>
        <v>0</v>
      </c>
      <c r="N256" s="54">
        <f>E256-J256</f>
        <v>7124812.8799999999</v>
      </c>
      <c r="O256" s="117">
        <f>H256+N256</f>
        <v>27976832.879999999</v>
      </c>
      <c r="P256" s="23">
        <v>45554</v>
      </c>
      <c r="Q256" s="23">
        <f>IFERROR(VLOOKUP(A256,lauzti_līg!A:H,8,FALSE),0)</f>
        <v>0</v>
      </c>
      <c r="R256" s="23">
        <f t="shared" si="170"/>
        <v>45554</v>
      </c>
      <c r="S256" s="23">
        <f>R256-M256</f>
        <v>45554</v>
      </c>
      <c r="T256" s="117">
        <v>0</v>
      </c>
      <c r="U256" s="23">
        <f>IFERROR(VLOOKUP(A256,Nosl_līg!A:H,8,FALSE),0)</f>
        <v>24521242.350000001</v>
      </c>
      <c r="V256" s="23">
        <f>U256-J256</f>
        <v>23584316.350000001</v>
      </c>
      <c r="W256" s="23">
        <f>O256-S256-V256</f>
        <v>4346962.5299999975</v>
      </c>
      <c r="X256" s="23">
        <f>IF(N256&gt;=S256+V256,N256-S256-V256,0)</f>
        <v>0</v>
      </c>
      <c r="Y256" s="23">
        <f t="shared" si="169"/>
        <v>23629870.350000001</v>
      </c>
      <c r="Z256" s="23">
        <f>IF(H256=0,0, IF(U256-E256+R256-M256&lt;0, 0, U256-E256+R256-M256))</f>
        <v>16505057.470000003</v>
      </c>
      <c r="AA256" s="23" t="e">
        <f>VLOOKUP(A256,#REF!,63,FALSE)/F256+T256</f>
        <v>#REF!</v>
      </c>
      <c r="AB256" s="69">
        <f t="shared" si="159"/>
        <v>0.79153278531288584</v>
      </c>
    </row>
    <row r="257" spans="1:28" ht="33">
      <c r="A257" s="14" t="s">
        <v>192</v>
      </c>
      <c r="B257" s="15" t="s">
        <v>621</v>
      </c>
      <c r="C257" s="16" t="s">
        <v>55</v>
      </c>
      <c r="D257" s="16"/>
      <c r="E257" s="270">
        <f t="shared" ref="E257:U258" si="197">E258</f>
        <v>40488570.07</v>
      </c>
      <c r="F257" s="113"/>
      <c r="G257" s="113">
        <f t="shared" si="197"/>
        <v>0</v>
      </c>
      <c r="H257" s="17">
        <f t="shared" si="197"/>
        <v>0</v>
      </c>
      <c r="I257" s="113">
        <f t="shared" si="197"/>
        <v>0</v>
      </c>
      <c r="J257" s="113">
        <f t="shared" si="197"/>
        <v>35650701.710000001</v>
      </c>
      <c r="K257" s="113">
        <f t="shared" si="197"/>
        <v>89659.22</v>
      </c>
      <c r="L257" s="113">
        <f t="shared" si="197"/>
        <v>0</v>
      </c>
      <c r="M257" s="17">
        <f>M258</f>
        <v>89659.22</v>
      </c>
      <c r="N257" s="53">
        <f t="shared" si="197"/>
        <v>4837868.3599999994</v>
      </c>
      <c r="O257" s="113">
        <f t="shared" si="197"/>
        <v>4837868.3599999994</v>
      </c>
      <c r="P257" s="17">
        <v>91204</v>
      </c>
      <c r="Q257" s="17">
        <f t="shared" si="197"/>
        <v>0</v>
      </c>
      <c r="R257" s="17">
        <f t="shared" si="170"/>
        <v>91204</v>
      </c>
      <c r="S257" s="17">
        <f t="shared" si="197"/>
        <v>1544.7799999999988</v>
      </c>
      <c r="T257" s="113">
        <v>141.22000000010303</v>
      </c>
      <c r="U257" s="17">
        <f t="shared" si="197"/>
        <v>40322109.299999997</v>
      </c>
      <c r="V257" s="17">
        <f t="shared" ref="V257:AA258" si="198">V258</f>
        <v>4671407.5899999961</v>
      </c>
      <c r="W257" s="17">
        <f t="shared" si="198"/>
        <v>164915.99000000302</v>
      </c>
      <c r="X257" s="17">
        <f t="shared" si="198"/>
        <v>164915.99000000302</v>
      </c>
      <c r="Y257" s="17">
        <f t="shared" si="169"/>
        <v>4672952.3699999964</v>
      </c>
      <c r="Z257" s="17">
        <f t="shared" si="198"/>
        <v>0</v>
      </c>
      <c r="AA257" s="17" t="e">
        <f t="shared" si="198"/>
        <v>#REF!</v>
      </c>
      <c r="AB257" s="68" t="e">
        <f t="shared" si="159"/>
        <v>#DIV/0!</v>
      </c>
    </row>
    <row r="258" spans="1:28" ht="49.5">
      <c r="A258" s="14" t="s">
        <v>153</v>
      </c>
      <c r="B258" s="15" t="s">
        <v>622</v>
      </c>
      <c r="C258" s="16" t="s">
        <v>55</v>
      </c>
      <c r="D258" s="16" t="s">
        <v>131</v>
      </c>
      <c r="E258" s="270">
        <f t="shared" si="197"/>
        <v>40488570.07</v>
      </c>
      <c r="F258" s="113"/>
      <c r="G258" s="113">
        <f t="shared" si="197"/>
        <v>0</v>
      </c>
      <c r="H258" s="17">
        <f t="shared" si="197"/>
        <v>0</v>
      </c>
      <c r="I258" s="113">
        <f t="shared" si="197"/>
        <v>0</v>
      </c>
      <c r="J258" s="113">
        <f t="shared" si="197"/>
        <v>35650701.710000001</v>
      </c>
      <c r="K258" s="113">
        <f t="shared" si="197"/>
        <v>89659.22</v>
      </c>
      <c r="L258" s="113">
        <f t="shared" si="197"/>
        <v>0</v>
      </c>
      <c r="M258" s="17">
        <f t="shared" si="197"/>
        <v>89659.22</v>
      </c>
      <c r="N258" s="53">
        <f t="shared" si="197"/>
        <v>4837868.3599999994</v>
      </c>
      <c r="O258" s="113">
        <f t="shared" si="197"/>
        <v>4837868.3599999994</v>
      </c>
      <c r="P258" s="17">
        <v>91204</v>
      </c>
      <c r="Q258" s="17">
        <f t="shared" si="197"/>
        <v>0</v>
      </c>
      <c r="R258" s="17">
        <f t="shared" si="170"/>
        <v>91204</v>
      </c>
      <c r="S258" s="17">
        <f t="shared" si="197"/>
        <v>1544.7799999999988</v>
      </c>
      <c r="T258" s="113">
        <v>141.22000000010303</v>
      </c>
      <c r="U258" s="17">
        <f t="shared" si="197"/>
        <v>40322109.299999997</v>
      </c>
      <c r="V258" s="17">
        <f t="shared" si="198"/>
        <v>4671407.5899999961</v>
      </c>
      <c r="W258" s="17">
        <f t="shared" si="198"/>
        <v>164915.99000000302</v>
      </c>
      <c r="X258" s="17">
        <f t="shared" si="198"/>
        <v>164915.99000000302</v>
      </c>
      <c r="Y258" s="17">
        <f t="shared" si="169"/>
        <v>4672952.3699999964</v>
      </c>
      <c r="Z258" s="17">
        <f t="shared" si="198"/>
        <v>0</v>
      </c>
      <c r="AA258" s="17" t="e">
        <f t="shared" si="198"/>
        <v>#REF!</v>
      </c>
      <c r="AB258" s="68" t="e">
        <f t="shared" si="159"/>
        <v>#DIV/0!</v>
      </c>
    </row>
    <row r="259" spans="1:28" ht="49.5">
      <c r="A259" s="19" t="s">
        <v>193</v>
      </c>
      <c r="B259" s="20" t="s">
        <v>491</v>
      </c>
      <c r="C259" s="21" t="s">
        <v>55</v>
      </c>
      <c r="D259" s="21" t="s">
        <v>139</v>
      </c>
      <c r="E259" s="271">
        <f>VLOOKUP($A259,publ_fin!$A:$I,8,FALSE)</f>
        <v>40488570.07</v>
      </c>
      <c r="F259" s="114">
        <v>1</v>
      </c>
      <c r="G259" s="115"/>
      <c r="H259" s="22">
        <v>0</v>
      </c>
      <c r="I259" s="115">
        <f>F259*H259</f>
        <v>0</v>
      </c>
      <c r="J259" s="117">
        <v>35650701.710000001</v>
      </c>
      <c r="K259" s="117">
        <v>89659.22</v>
      </c>
      <c r="L259" s="117">
        <v>0</v>
      </c>
      <c r="M259" s="23">
        <f t="shared" si="161"/>
        <v>89659.22</v>
      </c>
      <c r="N259" s="54">
        <f>E259-J259</f>
        <v>4837868.3599999994</v>
      </c>
      <c r="O259" s="117">
        <f>H259+N259</f>
        <v>4837868.3599999994</v>
      </c>
      <c r="P259" s="23">
        <v>91204</v>
      </c>
      <c r="Q259" s="23">
        <f>IFERROR(VLOOKUP(A259,lauzti_līg!A:H,8,FALSE),0)</f>
        <v>0</v>
      </c>
      <c r="R259" s="23">
        <f t="shared" si="170"/>
        <v>91204</v>
      </c>
      <c r="S259" s="23">
        <f>R259-M259</f>
        <v>1544.7799999999988</v>
      </c>
      <c r="T259" s="117">
        <v>141.22000000010303</v>
      </c>
      <c r="U259" s="23">
        <f>IFERROR(VLOOKUP(A259,Nosl_līg!A:H,8,FALSE),0)</f>
        <v>40322109.299999997</v>
      </c>
      <c r="V259" s="23">
        <f>U259-J259</f>
        <v>4671407.5899999961</v>
      </c>
      <c r="W259" s="23">
        <f>O259-S259-V259</f>
        <v>164915.99000000302</v>
      </c>
      <c r="X259" s="23">
        <f>IF(N259&gt;=S259+V259,N259-S259-V259,0)</f>
        <v>164915.99000000302</v>
      </c>
      <c r="Y259" s="23">
        <f t="shared" si="169"/>
        <v>4672952.3699999964</v>
      </c>
      <c r="Z259" s="23">
        <f>IF(H259=0,0, IF(U259-E259+R259-M259&lt;0, 0, U259-E259+R259-M259))</f>
        <v>0</v>
      </c>
      <c r="AA259" s="23" t="e">
        <f>VLOOKUP(A259,#REF!,63,FALSE)/F259+T259</f>
        <v>#REF!</v>
      </c>
      <c r="AB259" s="69" t="e">
        <f t="shared" si="159"/>
        <v>#DIV/0!</v>
      </c>
    </row>
    <row r="260" spans="1:28" ht="33">
      <c r="A260" s="14" t="s">
        <v>194</v>
      </c>
      <c r="B260" s="15" t="s">
        <v>623</v>
      </c>
      <c r="C260" s="16" t="s">
        <v>142</v>
      </c>
      <c r="D260" s="16"/>
      <c r="E260" s="270">
        <f t="shared" ref="E260:U261" si="199">E261</f>
        <v>8574208.8000000007</v>
      </c>
      <c r="F260" s="113"/>
      <c r="G260" s="113">
        <f t="shared" si="199"/>
        <v>0</v>
      </c>
      <c r="H260" s="17">
        <f t="shared" si="199"/>
        <v>0</v>
      </c>
      <c r="I260" s="113">
        <f t="shared" si="199"/>
        <v>0</v>
      </c>
      <c r="J260" s="113">
        <f t="shared" si="199"/>
        <v>6390749.25</v>
      </c>
      <c r="K260" s="113">
        <f t="shared" si="199"/>
        <v>6069.07</v>
      </c>
      <c r="L260" s="113">
        <f t="shared" si="199"/>
        <v>0</v>
      </c>
      <c r="M260" s="17">
        <f t="shared" si="199"/>
        <v>6069.07</v>
      </c>
      <c r="N260" s="53">
        <f t="shared" si="199"/>
        <v>2183459.5500000007</v>
      </c>
      <c r="O260" s="113">
        <f t="shared" si="199"/>
        <v>2183459.5500000007</v>
      </c>
      <c r="P260" s="17">
        <v>6274</v>
      </c>
      <c r="Q260" s="17">
        <f t="shared" si="199"/>
        <v>0</v>
      </c>
      <c r="R260" s="17">
        <f t="shared" si="170"/>
        <v>6274</v>
      </c>
      <c r="S260" s="17">
        <f t="shared" si="199"/>
        <v>204.93000000000029</v>
      </c>
      <c r="T260" s="113">
        <v>0</v>
      </c>
      <c r="U260" s="17">
        <f t="shared" si="199"/>
        <v>7696477.6200000001</v>
      </c>
      <c r="V260" s="17">
        <f t="shared" ref="V260:AA261" si="200">V261</f>
        <v>1305728.3700000001</v>
      </c>
      <c r="W260" s="17">
        <f t="shared" si="200"/>
        <v>877526.25000000047</v>
      </c>
      <c r="X260" s="17">
        <f t="shared" si="200"/>
        <v>877526.25000000047</v>
      </c>
      <c r="Y260" s="17">
        <f t="shared" si="169"/>
        <v>1305933.3000000003</v>
      </c>
      <c r="Z260" s="17">
        <f t="shared" si="200"/>
        <v>0</v>
      </c>
      <c r="AA260" s="17" t="e">
        <f t="shared" si="200"/>
        <v>#REF!</v>
      </c>
      <c r="AB260" s="68" t="e">
        <f t="shared" si="159"/>
        <v>#DIV/0!</v>
      </c>
    </row>
    <row r="261" spans="1:28" ht="33">
      <c r="A261" s="14" t="s">
        <v>152</v>
      </c>
      <c r="B261" s="15" t="s">
        <v>624</v>
      </c>
      <c r="C261" s="16" t="s">
        <v>142</v>
      </c>
      <c r="D261" s="16" t="s">
        <v>131</v>
      </c>
      <c r="E261" s="270">
        <f t="shared" si="199"/>
        <v>8574208.8000000007</v>
      </c>
      <c r="F261" s="113"/>
      <c r="G261" s="113">
        <f t="shared" si="199"/>
        <v>0</v>
      </c>
      <c r="H261" s="17">
        <f t="shared" si="199"/>
        <v>0</v>
      </c>
      <c r="I261" s="113">
        <f t="shared" si="199"/>
        <v>0</v>
      </c>
      <c r="J261" s="113">
        <f t="shared" si="199"/>
        <v>6390749.25</v>
      </c>
      <c r="K261" s="113">
        <f t="shared" si="199"/>
        <v>6069.07</v>
      </c>
      <c r="L261" s="113">
        <f t="shared" si="199"/>
        <v>0</v>
      </c>
      <c r="M261" s="17">
        <f t="shared" si="199"/>
        <v>6069.07</v>
      </c>
      <c r="N261" s="53">
        <f t="shared" si="199"/>
        <v>2183459.5500000007</v>
      </c>
      <c r="O261" s="113">
        <f t="shared" si="199"/>
        <v>2183459.5500000007</v>
      </c>
      <c r="P261" s="17">
        <v>6274</v>
      </c>
      <c r="Q261" s="17">
        <f t="shared" si="199"/>
        <v>0</v>
      </c>
      <c r="R261" s="17">
        <f t="shared" si="170"/>
        <v>6274</v>
      </c>
      <c r="S261" s="17">
        <f t="shared" si="199"/>
        <v>204.93000000000029</v>
      </c>
      <c r="T261" s="113">
        <v>0</v>
      </c>
      <c r="U261" s="17">
        <f t="shared" si="199"/>
        <v>7696477.6200000001</v>
      </c>
      <c r="V261" s="17">
        <f t="shared" si="200"/>
        <v>1305728.3700000001</v>
      </c>
      <c r="W261" s="17">
        <f t="shared" si="200"/>
        <v>877526.25000000047</v>
      </c>
      <c r="X261" s="17">
        <f t="shared" si="200"/>
        <v>877526.25000000047</v>
      </c>
      <c r="Y261" s="17">
        <f t="shared" si="169"/>
        <v>1305933.3000000003</v>
      </c>
      <c r="Z261" s="17">
        <f t="shared" si="200"/>
        <v>0</v>
      </c>
      <c r="AA261" s="17" t="e">
        <f t="shared" si="200"/>
        <v>#REF!</v>
      </c>
      <c r="AB261" s="68" t="e">
        <f t="shared" si="159"/>
        <v>#DIV/0!</v>
      </c>
    </row>
    <row r="262" spans="1:28" ht="49.5">
      <c r="A262" s="19" t="s">
        <v>195</v>
      </c>
      <c r="B262" s="20" t="s">
        <v>491</v>
      </c>
      <c r="C262" s="21" t="s">
        <v>142</v>
      </c>
      <c r="D262" s="21" t="s">
        <v>139</v>
      </c>
      <c r="E262" s="271">
        <f>VLOOKUP($A262,publ_fin!$A:$I,8,FALSE)</f>
        <v>8574208.8000000007</v>
      </c>
      <c r="F262" s="114">
        <v>1</v>
      </c>
      <c r="G262" s="115"/>
      <c r="H262" s="22">
        <v>0</v>
      </c>
      <c r="I262" s="115">
        <f>F262*H262</f>
        <v>0</v>
      </c>
      <c r="J262" s="117">
        <v>6390749.25</v>
      </c>
      <c r="K262" s="117">
        <v>6069.07</v>
      </c>
      <c r="L262" s="117">
        <v>0</v>
      </c>
      <c r="M262" s="23">
        <f t="shared" si="161"/>
        <v>6069.07</v>
      </c>
      <c r="N262" s="54">
        <f>E262-J262</f>
        <v>2183459.5500000007</v>
      </c>
      <c r="O262" s="117">
        <f>H262+N262</f>
        <v>2183459.5500000007</v>
      </c>
      <c r="P262" s="23">
        <v>6274</v>
      </c>
      <c r="Q262" s="23">
        <f>IFERROR(VLOOKUP(A262,lauzti_līg!A:H,8,FALSE),0)</f>
        <v>0</v>
      </c>
      <c r="R262" s="23">
        <f t="shared" si="170"/>
        <v>6274</v>
      </c>
      <c r="S262" s="23">
        <f>R262-M262</f>
        <v>204.93000000000029</v>
      </c>
      <c r="T262" s="117">
        <v>0</v>
      </c>
      <c r="U262" s="23">
        <f>IFERROR(VLOOKUP(A262,Nosl_līg!A:H,8,FALSE),0)</f>
        <v>7696477.6200000001</v>
      </c>
      <c r="V262" s="23">
        <f>U262-J262</f>
        <v>1305728.3700000001</v>
      </c>
      <c r="W262" s="23">
        <f>O262-S262-V262</f>
        <v>877526.25000000047</v>
      </c>
      <c r="X262" s="23">
        <f>IF(N262&gt;=S262+V262,N262-S262-V262,0)</f>
        <v>877526.25000000047</v>
      </c>
      <c r="Y262" s="23">
        <f t="shared" si="169"/>
        <v>1305933.3000000003</v>
      </c>
      <c r="Z262" s="23">
        <f>IF(H262=0,0, IF(U262-E262+R262-M262&lt;0, 0, U262-E262+R262-M262))</f>
        <v>0</v>
      </c>
      <c r="AA262" s="23" t="e">
        <f>VLOOKUP(A262,#REF!,63,FALSE)/F262+T262</f>
        <v>#REF!</v>
      </c>
      <c r="AB262" s="69" t="e">
        <f t="shared" si="159"/>
        <v>#DIV/0!</v>
      </c>
    </row>
    <row r="263" spans="1:28" ht="15">
      <c r="A263"/>
      <c r="B263"/>
      <c r="C263"/>
    </row>
    <row r="268" spans="1:28">
      <c r="B268" s="24" t="s">
        <v>137</v>
      </c>
      <c r="C268" s="365">
        <f>H58+H62+H127+H147+H233</f>
        <v>56835208</v>
      </c>
    </row>
    <row r="269" spans="1:28">
      <c r="B269" s="24" t="s">
        <v>5</v>
      </c>
      <c r="C269" s="365">
        <f>H20+H34+H35+H110+H157</f>
        <v>36037210</v>
      </c>
    </row>
    <row r="270" spans="1:28">
      <c r="B270" s="24" t="s">
        <v>141</v>
      </c>
      <c r="C270" s="365">
        <f>H230+H231</f>
        <v>12000000</v>
      </c>
    </row>
    <row r="271" spans="1:28">
      <c r="B271" s="24" t="s">
        <v>138</v>
      </c>
      <c r="C271" s="365">
        <f>H43+H59+H68+H80+H81+H174</f>
        <v>32513923</v>
      </c>
    </row>
    <row r="272" spans="1:28">
      <c r="B272" s="24" t="s">
        <v>140</v>
      </c>
      <c r="C272" s="365">
        <f>H189+H192+H206+H208</f>
        <v>52382961</v>
      </c>
    </row>
    <row r="273" spans="2:3">
      <c r="B273" s="24" t="s">
        <v>882</v>
      </c>
      <c r="C273" s="365">
        <f>H76+H182</f>
        <v>11800000</v>
      </c>
    </row>
    <row r="274" spans="2:3">
      <c r="B274" s="24" t="s">
        <v>628</v>
      </c>
      <c r="C274" s="365">
        <f>H176+H197+H216+H218+H237+H243+H253+H256</f>
        <v>82751761</v>
      </c>
    </row>
  </sheetData>
  <protectedRanges>
    <protectedRange sqref="A264:XFD418" name="footnote"/>
    <protectedRange sqref="B7:B262" name="Aktivitātes nosaukums"/>
  </protectedRange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9"/>
  <sheetViews>
    <sheetView workbookViewId="0">
      <selection activeCell="BG14" sqref="BG14"/>
    </sheetView>
  </sheetViews>
  <sheetFormatPr defaultRowHeight="15.75" outlineLevelCol="3"/>
  <cols>
    <col min="1" max="1" width="32" customWidth="1"/>
    <col min="2" max="2" width="14.140625" style="231" bestFit="1" customWidth="1"/>
    <col min="3" max="3" width="14.7109375" style="231" hidden="1" customWidth="1" outlineLevel="2"/>
    <col min="4" max="4" width="12.28515625" style="231" hidden="1" customWidth="1" outlineLevel="2" collapsed="1"/>
    <col min="5" max="5" width="13.85546875" style="232" hidden="1" customWidth="1" outlineLevel="3"/>
    <col min="6" max="6" width="13.7109375" style="232" hidden="1" customWidth="1" outlineLevel="2" collapsed="1"/>
    <col min="7" max="7" width="12.42578125" style="233" hidden="1" customWidth="1" outlineLevel="3"/>
    <col min="8" max="8" width="14.28515625" hidden="1" customWidth="1" outlineLevel="2"/>
    <col min="9" max="9" width="12.28515625" style="231" hidden="1" customWidth="1" outlineLevel="2"/>
    <col min="10" max="10" width="13.85546875" style="232" hidden="1" customWidth="1" outlineLevel="3"/>
    <col min="11" max="11" width="13.7109375" style="232" hidden="1" customWidth="1" outlineLevel="2"/>
    <col min="12" max="12" width="12.5703125" style="233" hidden="1" customWidth="1" outlineLevel="3"/>
    <col min="13" max="13" width="14.28515625" hidden="1" customWidth="1" outlineLevel="2"/>
    <col min="14" max="14" width="12.5703125" hidden="1" customWidth="1" outlineLevel="2"/>
    <col min="15" max="15" width="14.140625" hidden="1" customWidth="1" outlineLevel="3"/>
    <col min="16" max="16" width="15" hidden="1" customWidth="1" outlineLevel="2"/>
    <col min="17" max="17" width="14.140625" hidden="1" customWidth="1" outlineLevel="3"/>
    <col min="18" max="18" width="14.140625" hidden="1" customWidth="1" outlineLevel="2"/>
    <col min="19" max="19" width="12.5703125" style="223" hidden="1" customWidth="1" outlineLevel="2"/>
    <col min="20" max="20" width="14.140625" hidden="1" customWidth="1" outlineLevel="3"/>
    <col min="21" max="21" width="15" style="223" hidden="1" customWidth="1" outlineLevel="2"/>
    <col min="22" max="22" width="14.140625" hidden="1" customWidth="1" outlineLevel="3"/>
    <col min="23" max="23" width="14.140625" hidden="1" customWidth="1" outlineLevel="2"/>
    <col min="24" max="24" width="12.42578125" style="223" hidden="1" customWidth="1" outlineLevel="2"/>
    <col min="25" max="25" width="15.7109375" hidden="1" customWidth="1" outlineLevel="3"/>
    <col min="26" max="26" width="14" style="223" hidden="1" customWidth="1" outlineLevel="2"/>
    <col min="27" max="27" width="16.7109375" hidden="1" customWidth="1" outlineLevel="3"/>
    <col min="28" max="28" width="13.28515625" hidden="1" customWidth="1" outlineLevel="2"/>
    <col min="29" max="29" width="12.42578125" hidden="1" customWidth="1" outlineLevel="1"/>
    <col min="30" max="30" width="14.140625" hidden="1" customWidth="1" outlineLevel="2"/>
    <col min="31" max="31" width="14" hidden="1" customWidth="1" outlineLevel="1" collapsed="1"/>
    <col min="32" max="32" width="10.140625" hidden="1" customWidth="1" outlineLevel="2"/>
    <col min="33" max="33" width="13.28515625" hidden="1" customWidth="1" outlineLevel="1" collapsed="1"/>
    <col min="34" max="34" width="12.42578125" hidden="1" customWidth="1" outlineLevel="1"/>
    <col min="35" max="35" width="14" hidden="1" customWidth="1" outlineLevel="2"/>
    <col min="36" max="36" width="14" hidden="1" customWidth="1" outlineLevel="1" collapsed="1"/>
    <col min="37" max="37" width="11.140625" hidden="1" customWidth="1" outlineLevel="2"/>
    <col min="38" max="39" width="13.28515625" hidden="1" customWidth="1" outlineLevel="1"/>
    <col min="40" max="40" width="12.42578125" hidden="1" customWidth="1"/>
    <col min="41" max="41" width="14.7109375" hidden="1" customWidth="1" outlineLevel="1"/>
    <col min="42" max="42" width="14" hidden="1" customWidth="1"/>
    <col min="43" max="43" width="13.42578125" hidden="1" customWidth="1" outlineLevel="1"/>
    <col min="44" max="44" width="13.28515625" hidden="1" customWidth="1"/>
    <col min="45" max="45" width="12.42578125" hidden="1" customWidth="1"/>
    <col min="46" max="46" width="14.28515625" hidden="1" customWidth="1" outlineLevel="1"/>
    <col min="47" max="47" width="14" hidden="1" customWidth="1"/>
    <col min="48" max="48" width="10.140625" hidden="1" customWidth="1" outlineLevel="1"/>
    <col min="49" max="49" width="13.28515625" hidden="1" customWidth="1" collapsed="1"/>
    <col min="50" max="50" width="12.42578125" bestFit="1" customWidth="1"/>
    <col min="51" max="51" width="14" hidden="1" customWidth="1" outlineLevel="1"/>
    <col min="52" max="52" width="14" bestFit="1" customWidth="1" collapsed="1"/>
    <col min="53" max="53" width="13.85546875" hidden="1" customWidth="1" outlineLevel="1"/>
    <col min="54" max="54" width="13.28515625" bestFit="1" customWidth="1" collapsed="1"/>
    <col min="55" max="55" width="15.140625" hidden="1" customWidth="1" outlineLevel="1"/>
    <col min="56" max="56" width="14" bestFit="1" customWidth="1" collapsed="1"/>
    <col min="57" max="57" width="10.140625" bestFit="1" customWidth="1"/>
    <col min="58" max="58" width="53" customWidth="1"/>
  </cols>
  <sheetData>
    <row r="1" spans="1:58" s="124" customFormat="1" ht="31.5" customHeight="1" thickBot="1">
      <c r="A1" s="1072" t="s">
        <v>751</v>
      </c>
      <c r="B1" s="1072"/>
      <c r="C1" s="1072"/>
      <c r="D1" s="1072"/>
      <c r="E1" s="1072"/>
      <c r="F1" s="1072"/>
      <c r="G1" s="1072"/>
      <c r="H1" s="1072"/>
      <c r="I1" s="1072"/>
      <c r="J1" s="1072"/>
      <c r="K1" s="1072"/>
      <c r="L1" s="1072"/>
      <c r="M1" s="1072"/>
      <c r="N1" s="1072"/>
      <c r="O1" s="1072"/>
      <c r="P1" s="1072"/>
      <c r="Q1" s="1072"/>
      <c r="R1" s="1072"/>
      <c r="S1" s="1072"/>
      <c r="T1" s="1072"/>
      <c r="U1" s="1072"/>
      <c r="V1" s="1072"/>
      <c r="W1" s="1072"/>
      <c r="X1" s="123"/>
      <c r="Z1" s="123"/>
    </row>
    <row r="2" spans="1:58" ht="121.5" customHeight="1">
      <c r="A2" s="125"/>
      <c r="B2" s="126" t="s">
        <v>752</v>
      </c>
      <c r="C2" s="127" t="s">
        <v>753</v>
      </c>
      <c r="D2" s="128" t="s">
        <v>754</v>
      </c>
      <c r="E2" s="129" t="s">
        <v>755</v>
      </c>
      <c r="F2" s="129" t="s">
        <v>756</v>
      </c>
      <c r="G2" s="130" t="s">
        <v>757</v>
      </c>
      <c r="H2" s="131" t="s">
        <v>758</v>
      </c>
      <c r="I2" s="128" t="s">
        <v>759</v>
      </c>
      <c r="J2" s="129" t="s">
        <v>760</v>
      </c>
      <c r="K2" s="129" t="s">
        <v>761</v>
      </c>
      <c r="L2" s="130" t="s">
        <v>762</v>
      </c>
      <c r="M2" s="131" t="s">
        <v>763</v>
      </c>
      <c r="N2" s="128" t="s">
        <v>764</v>
      </c>
      <c r="O2" s="129" t="s">
        <v>765</v>
      </c>
      <c r="P2" s="129" t="s">
        <v>766</v>
      </c>
      <c r="Q2" s="130" t="s">
        <v>762</v>
      </c>
      <c r="R2" s="131" t="s">
        <v>767</v>
      </c>
      <c r="S2" s="132" t="s">
        <v>768</v>
      </c>
      <c r="T2" s="129" t="s">
        <v>769</v>
      </c>
      <c r="U2" s="133" t="s">
        <v>770</v>
      </c>
      <c r="V2" s="130" t="s">
        <v>762</v>
      </c>
      <c r="W2" s="131" t="s">
        <v>771</v>
      </c>
      <c r="X2" s="132" t="s">
        <v>772</v>
      </c>
      <c r="Y2" s="129" t="s">
        <v>773</v>
      </c>
      <c r="Z2" s="133" t="s">
        <v>774</v>
      </c>
      <c r="AA2" s="130" t="s">
        <v>762</v>
      </c>
      <c r="AB2" s="131" t="s">
        <v>775</v>
      </c>
      <c r="AC2" s="134" t="s">
        <v>776</v>
      </c>
      <c r="AD2" s="129" t="s">
        <v>777</v>
      </c>
      <c r="AE2" s="129" t="s">
        <v>778</v>
      </c>
      <c r="AF2" s="130" t="s">
        <v>762</v>
      </c>
      <c r="AG2" s="131" t="s">
        <v>779</v>
      </c>
      <c r="AH2" s="134" t="s">
        <v>780</v>
      </c>
      <c r="AI2" s="129" t="s">
        <v>781</v>
      </c>
      <c r="AJ2" s="129" t="s">
        <v>782</v>
      </c>
      <c r="AK2" s="130" t="s">
        <v>762</v>
      </c>
      <c r="AL2" s="131" t="s">
        <v>783</v>
      </c>
      <c r="AM2" s="135" t="s">
        <v>784</v>
      </c>
      <c r="AN2" s="136" t="s">
        <v>785</v>
      </c>
      <c r="AO2" s="129" t="s">
        <v>786</v>
      </c>
      <c r="AP2" s="129" t="s">
        <v>787</v>
      </c>
      <c r="AQ2" s="130" t="s">
        <v>762</v>
      </c>
      <c r="AR2" s="130" t="s">
        <v>788</v>
      </c>
      <c r="AS2" s="131" t="s">
        <v>789</v>
      </c>
      <c r="AT2" s="129" t="s">
        <v>790</v>
      </c>
      <c r="AU2" s="129" t="s">
        <v>791</v>
      </c>
      <c r="AV2" s="130" t="s">
        <v>762</v>
      </c>
      <c r="AW2" s="130" t="s">
        <v>792</v>
      </c>
      <c r="AX2" s="131" t="s">
        <v>793</v>
      </c>
      <c r="AY2" s="129" t="s">
        <v>794</v>
      </c>
      <c r="AZ2" s="129" t="s">
        <v>795</v>
      </c>
      <c r="BA2" s="130" t="s">
        <v>762</v>
      </c>
      <c r="BB2" s="130" t="s">
        <v>796</v>
      </c>
      <c r="BC2" s="129" t="s">
        <v>797</v>
      </c>
      <c r="BD2" s="129" t="s">
        <v>798</v>
      </c>
      <c r="BE2" s="130" t="s">
        <v>762</v>
      </c>
      <c r="BF2" s="369" t="s">
        <v>884</v>
      </c>
    </row>
    <row r="3" spans="1:58" ht="16.5" customHeight="1">
      <c r="A3" s="137">
        <v>1</v>
      </c>
      <c r="B3" s="915">
        <v>2</v>
      </c>
      <c r="C3" s="138">
        <v>2.1</v>
      </c>
      <c r="D3" s="913">
        <v>3</v>
      </c>
      <c r="E3" s="139"/>
      <c r="F3" s="914">
        <v>4</v>
      </c>
      <c r="G3" s="914"/>
      <c r="H3" s="915" t="s">
        <v>799</v>
      </c>
      <c r="I3" s="913">
        <v>6</v>
      </c>
      <c r="J3" s="914"/>
      <c r="K3" s="914">
        <v>7</v>
      </c>
      <c r="L3" s="914"/>
      <c r="M3" s="915" t="s">
        <v>800</v>
      </c>
      <c r="N3" s="913">
        <v>9</v>
      </c>
      <c r="O3" s="914"/>
      <c r="P3" s="914">
        <v>10</v>
      </c>
      <c r="Q3" s="914"/>
      <c r="R3" s="915" t="s">
        <v>801</v>
      </c>
      <c r="S3" s="140">
        <v>12</v>
      </c>
      <c r="T3" s="914"/>
      <c r="U3" s="141">
        <v>13</v>
      </c>
      <c r="V3" s="914"/>
      <c r="W3" s="915" t="s">
        <v>802</v>
      </c>
      <c r="X3" s="140">
        <v>15</v>
      </c>
      <c r="Y3" s="914"/>
      <c r="Z3" s="141">
        <v>16</v>
      </c>
      <c r="AA3" s="914"/>
      <c r="AB3" s="915" t="s">
        <v>803</v>
      </c>
      <c r="AC3" s="913">
        <v>3</v>
      </c>
      <c r="AD3" s="914"/>
      <c r="AE3" s="914">
        <v>4</v>
      </c>
      <c r="AF3" s="914">
        <v>5</v>
      </c>
      <c r="AG3" s="915">
        <v>6</v>
      </c>
      <c r="AH3" s="913">
        <v>7</v>
      </c>
      <c r="AI3" s="914"/>
      <c r="AJ3" s="914">
        <v>8</v>
      </c>
      <c r="AK3" s="914">
        <v>9</v>
      </c>
      <c r="AL3" s="915">
        <v>10</v>
      </c>
      <c r="AM3" s="142">
        <v>11</v>
      </c>
      <c r="AN3" s="143">
        <v>24</v>
      </c>
      <c r="AO3" s="144"/>
      <c r="AP3" s="144">
        <v>25</v>
      </c>
      <c r="AQ3" s="144"/>
      <c r="AR3" s="144" t="s">
        <v>804</v>
      </c>
      <c r="AS3" s="144">
        <v>27</v>
      </c>
      <c r="AT3" s="144"/>
      <c r="AU3" s="144">
        <v>28</v>
      </c>
      <c r="AV3" s="144"/>
      <c r="AW3" s="144" t="s">
        <v>805</v>
      </c>
      <c r="AX3" s="144">
        <v>30</v>
      </c>
      <c r="AY3" s="144"/>
      <c r="AZ3" s="144">
        <v>31</v>
      </c>
      <c r="BA3" s="144"/>
      <c r="BB3" s="144" t="s">
        <v>806</v>
      </c>
      <c r="BC3" s="144"/>
      <c r="BD3" s="144">
        <v>34</v>
      </c>
      <c r="BE3" s="144" t="s">
        <v>807</v>
      </c>
      <c r="BF3" s="370"/>
    </row>
    <row r="4" spans="1:58" ht="15.75" customHeight="1">
      <c r="A4" s="137"/>
      <c r="B4" s="915"/>
      <c r="C4" s="145"/>
      <c r="D4" s="1073" t="s">
        <v>712</v>
      </c>
      <c r="E4" s="1074"/>
      <c r="F4" s="1074"/>
      <c r="G4" s="1074"/>
      <c r="H4" s="1075"/>
      <c r="I4" s="1073" t="s">
        <v>713</v>
      </c>
      <c r="J4" s="1074"/>
      <c r="K4" s="1074"/>
      <c r="L4" s="1074"/>
      <c r="M4" s="1075"/>
      <c r="N4" s="1073" t="s">
        <v>714</v>
      </c>
      <c r="O4" s="1074"/>
      <c r="P4" s="1074"/>
      <c r="Q4" s="1074"/>
      <c r="R4" s="1075"/>
      <c r="S4" s="1073" t="s">
        <v>715</v>
      </c>
      <c r="T4" s="1074"/>
      <c r="U4" s="1074"/>
      <c r="V4" s="1074"/>
      <c r="W4" s="1075"/>
      <c r="X4" s="1073" t="s">
        <v>716</v>
      </c>
      <c r="Y4" s="1074"/>
      <c r="Z4" s="1074"/>
      <c r="AA4" s="1074"/>
      <c r="AB4" s="1075"/>
      <c r="AC4" s="1073" t="s">
        <v>717</v>
      </c>
      <c r="AD4" s="1074"/>
      <c r="AE4" s="1074"/>
      <c r="AF4" s="1074"/>
      <c r="AG4" s="1075"/>
      <c r="AH4" s="1076" t="s">
        <v>718</v>
      </c>
      <c r="AI4" s="1069"/>
      <c r="AJ4" s="1069"/>
      <c r="AK4" s="1069"/>
      <c r="AL4" s="1069"/>
      <c r="AM4" s="1070"/>
      <c r="AN4" s="1069" t="s">
        <v>719</v>
      </c>
      <c r="AO4" s="1069"/>
      <c r="AP4" s="1069"/>
      <c r="AQ4" s="1069"/>
      <c r="AR4" s="1070"/>
      <c r="AS4" s="1068" t="s">
        <v>720</v>
      </c>
      <c r="AT4" s="1069"/>
      <c r="AU4" s="1069"/>
      <c r="AV4" s="1069"/>
      <c r="AW4" s="1070"/>
      <c r="AX4" s="1068" t="s">
        <v>721</v>
      </c>
      <c r="AY4" s="1069"/>
      <c r="AZ4" s="1069"/>
      <c r="BA4" s="1069"/>
      <c r="BB4" s="1070"/>
      <c r="BC4" s="1069" t="s">
        <v>808</v>
      </c>
      <c r="BD4" s="1069"/>
      <c r="BE4" s="1071"/>
      <c r="BF4" s="97"/>
    </row>
    <row r="5" spans="1:58" ht="12" hidden="1" customHeight="1">
      <c r="A5" s="137"/>
      <c r="B5" s="146">
        <v>1</v>
      </c>
      <c r="C5" s="147">
        <v>2.1</v>
      </c>
      <c r="D5" s="148">
        <v>2</v>
      </c>
      <c r="E5" s="149">
        <v>2.2000000000000002</v>
      </c>
      <c r="F5" s="150">
        <v>3</v>
      </c>
      <c r="G5" s="150" t="s">
        <v>809</v>
      </c>
      <c r="H5" s="146" t="s">
        <v>810</v>
      </c>
      <c r="I5" s="148">
        <v>2</v>
      </c>
      <c r="J5" s="149">
        <v>2.2000000000000002</v>
      </c>
      <c r="K5" s="150">
        <v>3</v>
      </c>
      <c r="L5" s="150" t="s">
        <v>809</v>
      </c>
      <c r="M5" s="146" t="s">
        <v>810</v>
      </c>
      <c r="N5" s="148">
        <v>2</v>
      </c>
      <c r="O5" s="149">
        <v>2.2000000000000002</v>
      </c>
      <c r="P5" s="150">
        <v>3</v>
      </c>
      <c r="Q5" s="150" t="s">
        <v>809</v>
      </c>
      <c r="R5" s="146" t="s">
        <v>810</v>
      </c>
      <c r="S5" s="140">
        <v>2</v>
      </c>
      <c r="T5" s="149">
        <v>2.2000000000000002</v>
      </c>
      <c r="U5" s="141">
        <v>3</v>
      </c>
      <c r="V5" s="150" t="s">
        <v>809</v>
      </c>
      <c r="W5" s="146" t="s">
        <v>810</v>
      </c>
      <c r="X5" s="151"/>
      <c r="Y5" s="152"/>
      <c r="Z5" s="153"/>
      <c r="AA5" s="152"/>
      <c r="AB5" s="154"/>
      <c r="AC5" s="155"/>
      <c r="AD5" s="152"/>
      <c r="AE5" s="152"/>
      <c r="AF5" s="152"/>
      <c r="AG5" s="154"/>
      <c r="AH5" s="155"/>
      <c r="AI5" s="152"/>
      <c r="AJ5" s="152"/>
      <c r="AK5" s="152"/>
      <c r="AL5" s="154"/>
      <c r="AM5" s="156"/>
      <c r="BC5" s="157"/>
      <c r="BD5" s="157"/>
      <c r="BE5" s="158"/>
      <c r="BF5" s="371"/>
    </row>
    <row r="6" spans="1:58" ht="29.25">
      <c r="A6" s="159" t="s">
        <v>811</v>
      </c>
      <c r="B6" s="160">
        <f>SUM(B7:B13)</f>
        <v>57746290.449000001</v>
      </c>
      <c r="C6" s="161">
        <f>SUM(C9:C13)</f>
        <v>286437466.13000005</v>
      </c>
      <c r="D6" s="162">
        <f>SUM(D7:D13)</f>
        <v>9777371.7335000001</v>
      </c>
      <c r="E6" s="163">
        <f>SUM(E9:E13)</f>
        <v>296379214.98000002</v>
      </c>
      <c r="F6" s="163">
        <f>SUM(F9:F13)</f>
        <v>9941748.8500000052</v>
      </c>
      <c r="G6" s="164">
        <f>F6/B6</f>
        <v>0.17216255403938535</v>
      </c>
      <c r="H6" s="165">
        <f t="shared" ref="H6:H28" si="0">F6/D6</f>
        <v>1.0168119941616625</v>
      </c>
      <c r="I6" s="162">
        <f>SUM(I7:I13)</f>
        <v>12627122.308499999</v>
      </c>
      <c r="J6" s="163">
        <f>SUM(J9:J13)</f>
        <v>298555522.47999996</v>
      </c>
      <c r="K6" s="163">
        <f>SUM(K7:K13)</f>
        <v>13806987.390000012</v>
      </c>
      <c r="L6" s="164">
        <f t="shared" ref="L6:L28" si="1">K6/B6</f>
        <v>0.2390973910643486</v>
      </c>
      <c r="M6" s="165">
        <f t="shared" ref="M6:M28" si="2">K6/I6</f>
        <v>1.0934389524924282</v>
      </c>
      <c r="N6" s="162">
        <f>SUM(N7:N13)</f>
        <v>16997790.498</v>
      </c>
      <c r="O6" s="163">
        <f>SUM(O9:O13)</f>
        <v>304169168.9799999</v>
      </c>
      <c r="P6" s="163">
        <f>SUM(P7:P13)</f>
        <v>20092558.169999983</v>
      </c>
      <c r="Q6" s="164">
        <f>P6/B6</f>
        <v>0.34794543534783762</v>
      </c>
      <c r="R6" s="165">
        <f t="shared" ref="R6:R28" si="3">P6/N6</f>
        <v>1.1820688207896268</v>
      </c>
      <c r="S6" s="162">
        <f>SUM(S7:S13)</f>
        <v>22147422.462499999</v>
      </c>
      <c r="T6" s="163">
        <f>SUM(T9:T13)</f>
        <v>309200149.75000006</v>
      </c>
      <c r="U6" s="163">
        <f>SUM(U7:U13)</f>
        <v>25502527.790000059</v>
      </c>
      <c r="V6" s="164">
        <f>U6/B6</f>
        <v>0.44163058079935397</v>
      </c>
      <c r="W6" s="165">
        <f t="shared" ref="W6:W13" si="4">U6/S6</f>
        <v>1.1514896522690585</v>
      </c>
      <c r="X6" s="162">
        <f>SUM(X7:X13)</f>
        <v>26035122.706</v>
      </c>
      <c r="Y6" s="163">
        <f>SUM(Y9:Y13)</f>
        <v>312932536.75000006</v>
      </c>
      <c r="Z6" s="163">
        <f>SUM(Z7:Z13)</f>
        <v>29710180.670000017</v>
      </c>
      <c r="AA6" s="164">
        <f t="shared" ref="AA6:AA28" si="5">Z6/B6</f>
        <v>0.51449505135293949</v>
      </c>
      <c r="AB6" s="165">
        <f t="shared" ref="AB6" si="6">Z6/X6</f>
        <v>1.1411576970656285</v>
      </c>
      <c r="AC6" s="162">
        <f>SUM(AC7:AC13)</f>
        <v>31366221.596499998</v>
      </c>
      <c r="AD6" s="163">
        <f>SUM(AD9:AD13)</f>
        <v>316226124.79999995</v>
      </c>
      <c r="AE6" s="163">
        <f>SUM(AE7:AE13)</f>
        <v>33670441.639999963</v>
      </c>
      <c r="AF6" s="164">
        <f t="shared" ref="AF6:AF28" si="7">AE6/B6</f>
        <v>0.58307540412031844</v>
      </c>
      <c r="AG6" s="165">
        <f t="shared" ref="AG6:AG28" si="8">AE6/AC6</f>
        <v>1.0734618301541643</v>
      </c>
      <c r="AH6" s="162">
        <f>SUM(AH7:AH13)</f>
        <v>36573266.467000008</v>
      </c>
      <c r="AI6" s="163">
        <f>SUM(AI9:AI13)</f>
        <v>320024775.62999994</v>
      </c>
      <c r="AJ6" s="163">
        <f>SUM(AJ7:AJ13)</f>
        <v>38024631.489999957</v>
      </c>
      <c r="AK6" s="164">
        <f t="shared" ref="AK6:AK8" si="9">AJ6/B6</f>
        <v>0.65847747438568904</v>
      </c>
      <c r="AL6" s="165">
        <f>AJ6/AH6</f>
        <v>1.0396837680415971</v>
      </c>
      <c r="AM6" s="163">
        <f>AJ6-AH6</f>
        <v>1451365.0229999498</v>
      </c>
      <c r="AN6" s="166">
        <f>SUM(AN7:AN13)</f>
        <v>40360393.327500001</v>
      </c>
      <c r="AO6" s="163">
        <f>SUM(AO7:AO13)</f>
        <v>359942258.50999999</v>
      </c>
      <c r="AP6" s="163">
        <f>SUM(AP7:AP13)</f>
        <v>42318792.699999988</v>
      </c>
      <c r="AQ6" s="164">
        <f>AP6/B6</f>
        <v>0.73284002090792011</v>
      </c>
      <c r="AR6" s="165">
        <f>AP6/AN6</f>
        <v>1.0485228019610406</v>
      </c>
      <c r="AS6" s="163">
        <f>SUM(AS7:AS13)</f>
        <v>44055260.269500002</v>
      </c>
      <c r="AT6" s="163">
        <f>SUM(AT7:AT13)</f>
        <v>365008528.48000002</v>
      </c>
      <c r="AU6" s="163">
        <f>SUM(AU7:AU13)</f>
        <v>47385062.669999994</v>
      </c>
      <c r="AV6" s="167">
        <f>AU6/B6</f>
        <v>0.82057327495086863</v>
      </c>
      <c r="AW6" s="168">
        <f>AU6/AS6</f>
        <v>1.075582402195119</v>
      </c>
      <c r="AX6" s="163">
        <f>SUM(AX7:AX13)</f>
        <v>49426888.730999999</v>
      </c>
      <c r="AY6" s="163">
        <f>SUM(AY7:AY13)</f>
        <v>371813429.24000001</v>
      </c>
      <c r="AZ6" s="163">
        <f>SUM(AZ7:AZ13)</f>
        <v>54189963.430000022</v>
      </c>
      <c r="BA6" s="164">
        <f>AZ6/B6</f>
        <v>0.93841462384253349</v>
      </c>
      <c r="BB6" s="165">
        <f>AZ6/AX6</f>
        <v>1.0963660635190391</v>
      </c>
      <c r="BC6" s="163">
        <f>SUM(BC7:BC13)</f>
        <v>377949041.5200001</v>
      </c>
      <c r="BD6" s="163">
        <f>SUM(BD7:BD13)</f>
        <v>60325575.710000038</v>
      </c>
      <c r="BE6" s="164">
        <f>BD6/B6</f>
        <v>1.0446658173355394</v>
      </c>
      <c r="BF6" s="372"/>
    </row>
    <row r="7" spans="1:58" ht="15">
      <c r="A7" s="169" t="s">
        <v>812</v>
      </c>
      <c r="B7" s="170">
        <f>[1]Mērķi_apst_MK_120313!CJ20</f>
        <v>6332704.6529999999</v>
      </c>
      <c r="C7" s="171">
        <f>[1]Mērķi_apst_MK_120313!K20</f>
        <v>21618400.82</v>
      </c>
      <c r="D7" s="172">
        <f>[1]Mērķi_apst_MK_120313!R20</f>
        <v>165865.32</v>
      </c>
      <c r="E7" s="173">
        <f>[1]Mērķi_apst_MK_120313!S20</f>
        <v>22920800</v>
      </c>
      <c r="F7" s="173">
        <f>E7-C7</f>
        <v>1302399.1799999997</v>
      </c>
      <c r="G7" s="174">
        <f>F7/B7</f>
        <v>0.20566239093165548</v>
      </c>
      <c r="H7" s="175">
        <f>F7/D7</f>
        <v>7.8521488397936325</v>
      </c>
      <c r="I7" s="172">
        <f>[1]Mērķi_apst_MK_120313!Y20</f>
        <v>699880.32000000007</v>
      </c>
      <c r="J7" s="173">
        <f>[1]Mērķi_apst_MK_120313!Z20</f>
        <v>22926139.25</v>
      </c>
      <c r="K7" s="173">
        <f>J7-C7</f>
        <v>1307738.4299999997</v>
      </c>
      <c r="L7" s="174">
        <f>K7/B7</f>
        <v>0.20650551409822707</v>
      </c>
      <c r="M7" s="175">
        <f>K7/I7</f>
        <v>1.8685172202013047</v>
      </c>
      <c r="N7" s="172">
        <f>[1]Mērķi_apst_MK_120313!AF20</f>
        <v>1138003.32</v>
      </c>
      <c r="O7" s="173">
        <f>[1]Mērķi_apst_MK_120313!AG20</f>
        <v>23598063.530000001</v>
      </c>
      <c r="P7" s="173">
        <f>O7-C7</f>
        <v>1979662.7100000009</v>
      </c>
      <c r="Q7" s="174">
        <f>P7/B7</f>
        <v>0.31260935389781253</v>
      </c>
      <c r="R7" s="175">
        <f>P7/N7</f>
        <v>1.7395930883575987</v>
      </c>
      <c r="S7" s="176">
        <f>[1]Mērķi_apst_MK_120313!AM20</f>
        <v>1811436.32</v>
      </c>
      <c r="T7" s="173">
        <f>[1]Mērķi_apst_MK_120313!AN20</f>
        <v>23763342.399999999</v>
      </c>
      <c r="U7" s="177">
        <f>T7-C7</f>
        <v>2144941.5799999982</v>
      </c>
      <c r="V7" s="174">
        <f>U7/B7</f>
        <v>0.33870860833275596</v>
      </c>
      <c r="W7" s="175">
        <f>U7/S7</f>
        <v>1.1841109490395987</v>
      </c>
      <c r="X7" s="176">
        <f>[1]Mērķi_apst_MK_120313!AT20</f>
        <v>2338141.3200000003</v>
      </c>
      <c r="Y7" s="173">
        <f>[1]Mērķi_apst_MK_120313!AU20</f>
        <v>24085662.609999999</v>
      </c>
      <c r="Z7" s="177">
        <f>Y7-C7</f>
        <v>2467261.7899999991</v>
      </c>
      <c r="AA7" s="174">
        <f>Z7/B7</f>
        <v>0.38960632544756058</v>
      </c>
      <c r="AB7" s="175">
        <f>Z7/X7</f>
        <v>1.0552235525267561</v>
      </c>
      <c r="AC7" s="172">
        <f>[1]Mērķi_apst_MK_120313!BA20</f>
        <v>2901384.3200000003</v>
      </c>
      <c r="AD7" s="173">
        <f>[1]Mērķi_apst_MK_120313!BB20</f>
        <v>24749520.130000003</v>
      </c>
      <c r="AE7" s="177">
        <f>AD7-C7</f>
        <v>3131119.3100000024</v>
      </c>
      <c r="AF7" s="174">
        <f>AE7/B7</f>
        <v>0.49443633985309793</v>
      </c>
      <c r="AG7" s="175">
        <f>AE7/AC7</f>
        <v>1.079181164803428</v>
      </c>
      <c r="AH7" s="172">
        <f>[1]Mērķi_apst_MK_120313!BH20</f>
        <v>3395306.3200000003</v>
      </c>
      <c r="AI7" s="173">
        <f>[1]Mērķi_apst_MK_120313!BI20</f>
        <v>24868570.990000002</v>
      </c>
      <c r="AJ7" s="173">
        <f>AI7-C7</f>
        <v>3250170.1700000018</v>
      </c>
      <c r="AK7" s="174">
        <f t="shared" si="9"/>
        <v>0.51323571018905711</v>
      </c>
      <c r="AL7" s="178">
        <f>AJ7/AH7</f>
        <v>0.95725388630030928</v>
      </c>
      <c r="AM7" s="179">
        <f t="shared" ref="AM7:AM28" si="10">AJ7-AH7</f>
        <v>-145136.14999999851</v>
      </c>
      <c r="AN7" s="180">
        <f>[1]Mērķi_apst_MK_120313!BO20</f>
        <v>3765833.3200000003</v>
      </c>
      <c r="AO7" s="173">
        <f>[1]Mērķi_apst_MK_120313!BP20</f>
        <v>25097554.030000001</v>
      </c>
      <c r="AP7" s="173">
        <f>AO7-C7</f>
        <v>3479153.2100000009</v>
      </c>
      <c r="AQ7" s="174">
        <f>AP7/B7</f>
        <v>0.54939451634647407</v>
      </c>
      <c r="AR7" s="175">
        <f>AP7/AN7</f>
        <v>0.92387339384420775</v>
      </c>
      <c r="AS7" s="173">
        <f>[1]Mērķi_apst_MK_120313!BV20</f>
        <v>4350159.32</v>
      </c>
      <c r="AT7" s="173">
        <f>[1]Mērķi_apst_MK_120313!BW20</f>
        <v>25855799.170000002</v>
      </c>
      <c r="AU7" s="173">
        <f>AT7-C7</f>
        <v>4237398.3500000015</v>
      </c>
      <c r="AV7" s="174">
        <f>AU7/B7</f>
        <v>0.66912931870154624</v>
      </c>
      <c r="AW7" s="175">
        <f>AU7/AS7</f>
        <v>0.97407888729923597</v>
      </c>
      <c r="AX7" s="173">
        <f>[1]Mērķi_apst_MK_120313!CC20</f>
        <v>4795498.32</v>
      </c>
      <c r="AY7" s="173">
        <f>[1]Mērķi_apst_MK_120313!CD20</f>
        <v>26237807.91</v>
      </c>
      <c r="AZ7" s="173">
        <f>AY7-C7</f>
        <v>4619407.09</v>
      </c>
      <c r="BA7" s="174">
        <f>AZ7/B7</f>
        <v>0.72945247617250597</v>
      </c>
      <c r="BB7" s="175">
        <f>AZ7/AX7</f>
        <v>0.9632798891273513</v>
      </c>
      <c r="BC7" s="173">
        <f>[1]Mērķi_apst_MK_120313!CK20</f>
        <v>26882560.73</v>
      </c>
      <c r="BD7" s="173">
        <f>BC7-C7</f>
        <v>5264159.91</v>
      </c>
      <c r="BE7" s="248">
        <f>BD7/B7</f>
        <v>0.83126565953240894</v>
      </c>
      <c r="BF7" s="374"/>
    </row>
    <row r="8" spans="1:58" ht="15">
      <c r="A8" s="169" t="s">
        <v>813</v>
      </c>
      <c r="B8" s="170">
        <f>[1]Mērķi_apst_MK_120313!CJ26</f>
        <v>2677447.8499999996</v>
      </c>
      <c r="C8" s="171">
        <f>[1]Mērķi_apst_MK_120313!K26</f>
        <v>9567598.8599999994</v>
      </c>
      <c r="D8" s="172">
        <f>[1]Mērķi_apst_MK_120313!R26</f>
        <v>346237.69</v>
      </c>
      <c r="E8" s="173">
        <f>[1]Mērķi_apst_MK_120313!S26</f>
        <v>9867819.5599999987</v>
      </c>
      <c r="F8" s="173">
        <f>E8-C8</f>
        <v>300220.69999999925</v>
      </c>
      <c r="G8" s="174">
        <f>F8/B8</f>
        <v>0.11212942952371577</v>
      </c>
      <c r="H8" s="175">
        <f>F8/D8</f>
        <v>0.86709422073604769</v>
      </c>
      <c r="I8" s="172">
        <f>[1]Mērķi_apst_MK_120313!Y26</f>
        <v>521461.18</v>
      </c>
      <c r="J8" s="173">
        <f>[1]Mērķi_apst_MK_120313!Z26</f>
        <v>9948791.4699999988</v>
      </c>
      <c r="K8" s="173">
        <f>J8-C8</f>
        <v>381192.6099999994</v>
      </c>
      <c r="L8" s="174">
        <f>K8/B8</f>
        <v>0.14237162826532718</v>
      </c>
      <c r="M8" s="175">
        <f>K8/I8</f>
        <v>0.73100860547279745</v>
      </c>
      <c r="N8" s="172">
        <f>[1]Mērķi_apst_MK_120313!AF26</f>
        <v>522157.7</v>
      </c>
      <c r="O8" s="173">
        <f>[1]Mērķi_apst_MK_120313!AG26</f>
        <v>9948791.4699999988</v>
      </c>
      <c r="P8" s="173">
        <f>O8-C8</f>
        <v>381192.6099999994</v>
      </c>
      <c r="Q8" s="174">
        <f>P8/B8</f>
        <v>0.14237162826532718</v>
      </c>
      <c r="R8" s="175">
        <f>P8/N8</f>
        <v>0.73003349371272208</v>
      </c>
      <c r="S8" s="176">
        <f>[1]Mērķi_apst_MK_120313!AM26</f>
        <v>969092.92999999993</v>
      </c>
      <c r="T8" s="173">
        <f>[1]Mērķi_apst_MK_120313!AN26</f>
        <v>10162501.449999999</v>
      </c>
      <c r="U8" s="177">
        <f>T8-C8</f>
        <v>594902.58999999985</v>
      </c>
      <c r="V8" s="174">
        <f>U8/B8</f>
        <v>0.22219016889535306</v>
      </c>
      <c r="W8" s="175">
        <f>U8/S8</f>
        <v>0.6138756888877519</v>
      </c>
      <c r="X8" s="176">
        <f>[1]Mērķi_apst_MK_120313!AT26</f>
        <v>1166186.18</v>
      </c>
      <c r="Y8" s="173">
        <f>[1]Mērķi_apst_MK_120313!AU26</f>
        <v>10315447.119999999</v>
      </c>
      <c r="Z8" s="177">
        <f>Y8-C8</f>
        <v>747848.25999999978</v>
      </c>
      <c r="AA8" s="174">
        <f>Z8/B8</f>
        <v>0.27931384732666215</v>
      </c>
      <c r="AB8" s="175">
        <f>Z8/X8</f>
        <v>0.64127690142923821</v>
      </c>
      <c r="AC8" s="172">
        <f>[1]Mērķi_apst_MK_120313!BA26</f>
        <v>1166186.18</v>
      </c>
      <c r="AD8" s="173">
        <f>[1]Mērķi_apst_MK_120313!BB26</f>
        <v>10318262.52</v>
      </c>
      <c r="AE8" s="177">
        <f>AD8-C8</f>
        <v>750663.66000000015</v>
      </c>
      <c r="AF8" s="174">
        <f>AE8/B8</f>
        <v>0.2803653710752948</v>
      </c>
      <c r="AG8" s="178">
        <f>AE8/AC8</f>
        <v>0.64369109570480432</v>
      </c>
      <c r="AH8" s="172">
        <f>[1]Mērķi_apst_MK_120313!BH26</f>
        <v>1696201.5999999999</v>
      </c>
      <c r="AI8" s="173">
        <f>[1]Mērķi_apst_MK_120313!BI26</f>
        <v>10754750.680000002</v>
      </c>
      <c r="AJ8" s="173">
        <f t="shared" ref="AJ8:AJ27" si="11">AI8-C8</f>
        <v>1187151.8200000022</v>
      </c>
      <c r="AK8" s="174">
        <f t="shared" si="9"/>
        <v>0.44338933436182609</v>
      </c>
      <c r="AL8" s="178">
        <f t="shared" ref="AL8:AL27" si="12">AJ8/AH8</f>
        <v>0.69988839769989741</v>
      </c>
      <c r="AM8" s="179">
        <f t="shared" si="10"/>
        <v>-509049.7799999977</v>
      </c>
      <c r="AN8" s="180">
        <f>[1]Mērķi_apst_MK_120313!BO26</f>
        <v>1897588.1199999999</v>
      </c>
      <c r="AO8" s="173">
        <f>[1]Mērķi_apst_MK_120313!BP26</f>
        <v>10873592.930000002</v>
      </c>
      <c r="AP8" s="173">
        <f t="shared" ref="AP8:AP13" si="13">AO8-C8</f>
        <v>1305994.0700000022</v>
      </c>
      <c r="AQ8" s="174">
        <f t="shared" ref="AQ8:AQ13" si="14">AP8/B8</f>
        <v>0.48777572642544742</v>
      </c>
      <c r="AR8" s="175">
        <f t="shared" ref="AR8:AR27" si="15">AP8/AN8</f>
        <v>0.68823895777762467</v>
      </c>
      <c r="AS8" s="173">
        <f>[1]Mērķi_apst_MK_120313!BV26</f>
        <v>1898140.24</v>
      </c>
      <c r="AT8" s="173">
        <f>[1]Mērķi_apst_MK_120313!BW26</f>
        <v>10884847.200000001</v>
      </c>
      <c r="AU8" s="173">
        <f t="shared" ref="AU8:AU13" si="16">AT8-C8</f>
        <v>1317248.3400000017</v>
      </c>
      <c r="AV8" s="174">
        <f t="shared" ref="AV8:AV14" si="17">AU8/B8</f>
        <v>0.49197908373827032</v>
      </c>
      <c r="AW8" s="175">
        <f t="shared" ref="AW8:AW28" si="18">AU8/AS8</f>
        <v>0.69396787036136054</v>
      </c>
      <c r="AX8" s="173">
        <f>[1]Mērķi_apst_MK_120313!CC26</f>
        <v>2477339.83</v>
      </c>
      <c r="AY8" s="173">
        <f>[1]Mērķi_apst_MK_120313!CD26</f>
        <v>11116603.539999999</v>
      </c>
      <c r="AZ8" s="173">
        <f t="shared" ref="AZ8:AZ27" si="19">AY8-C8</f>
        <v>1549004.6799999997</v>
      </c>
      <c r="BA8" s="174">
        <f t="shared" ref="BA8:BA27" si="20">AZ8/B8</f>
        <v>0.57853775938156926</v>
      </c>
      <c r="BB8" s="366">
        <f t="shared" ref="BB8:BB27" si="21">AZ8/AX8</f>
        <v>0.62526935596074429</v>
      </c>
      <c r="BC8" s="173">
        <f>[1]Mērķi_apst_MK_120313!CK26</f>
        <v>11440107.43</v>
      </c>
      <c r="BD8" s="173">
        <f>BC8-C8</f>
        <v>1872508.5700000003</v>
      </c>
      <c r="BE8" s="248">
        <f t="shared" ref="BE8:BE28" si="22">BD8/B8</f>
        <v>0.69936322756015601</v>
      </c>
      <c r="BF8" s="373">
        <f>BD8-B8</f>
        <v>-804939.27999999933</v>
      </c>
    </row>
    <row r="9" spans="1:58" ht="15">
      <c r="A9" s="169" t="s">
        <v>814</v>
      </c>
      <c r="B9" s="170">
        <f>[1]Mērķi_apst_MK_120313!CJ29</f>
        <v>15421295</v>
      </c>
      <c r="C9" s="171">
        <f>[1]Mērķi_apst_MK_120313!K29</f>
        <v>129914895.48000002</v>
      </c>
      <c r="D9" s="172">
        <f>[1]Mērķi_apst_MK_120313!R29</f>
        <v>1623709</v>
      </c>
      <c r="E9" s="173">
        <f>[1]Mērķi_apst_MK_120313!S29</f>
        <v>131798247.98</v>
      </c>
      <c r="F9" s="173">
        <f>E9-C9</f>
        <v>1883352.4999999851</v>
      </c>
      <c r="G9" s="174">
        <f>F9/B9</f>
        <v>0.12212674097732941</v>
      </c>
      <c r="H9" s="175">
        <f t="shared" si="0"/>
        <v>1.1599076558668979</v>
      </c>
      <c r="I9" s="172">
        <f>[1]Mērķi_apst_MK_120313!Y29</f>
        <v>1896020</v>
      </c>
      <c r="J9" s="173">
        <f>[1]Mērķi_apst_MK_120313!Z29</f>
        <v>132140534.33000001</v>
      </c>
      <c r="K9" s="173">
        <f t="shared" ref="K9:K13" si="23">J9-C9</f>
        <v>2225638.849999994</v>
      </c>
      <c r="L9" s="174">
        <f>K9/B9</f>
        <v>0.14432243530779965</v>
      </c>
      <c r="M9" s="175">
        <f>K9/I9</f>
        <v>1.1738477705931341</v>
      </c>
      <c r="N9" s="172">
        <f>[1]Mērķi_apst_MK_120313!AF29</f>
        <v>3312560</v>
      </c>
      <c r="O9" s="173">
        <f>[1]Mērķi_apst_MK_120313!AG29</f>
        <v>135751697.49000001</v>
      </c>
      <c r="P9" s="173">
        <f>O9-C9</f>
        <v>5836802.0099999905</v>
      </c>
      <c r="Q9" s="174">
        <f>P9/B9</f>
        <v>0.37848974486254172</v>
      </c>
      <c r="R9" s="175">
        <f t="shared" si="3"/>
        <v>1.7620215211196146</v>
      </c>
      <c r="S9" s="176">
        <f>[1]Mērķi_apst_MK_120313!AM29</f>
        <v>4559814</v>
      </c>
      <c r="T9" s="173">
        <f>[1]Mērķi_apst_MK_120313!AN29</f>
        <v>138213499.19000003</v>
      </c>
      <c r="U9" s="177">
        <f>T9-C9</f>
        <v>8298603.7100000083</v>
      </c>
      <c r="V9" s="174">
        <f>U9/B9</f>
        <v>0.53812625398839775</v>
      </c>
      <c r="W9" s="175">
        <f>U9/S9</f>
        <v>1.8199434691853678</v>
      </c>
      <c r="X9" s="176">
        <f>[1]Mērķi_apst_MK_120313!AT29</f>
        <v>5029906</v>
      </c>
      <c r="Y9" s="173">
        <f>[1]Mērķi_apst_MK_120313!AU29</f>
        <v>139311688.42000002</v>
      </c>
      <c r="Z9" s="177">
        <f t="shared" ref="Z9:Z13" si="24">Y9-C9</f>
        <v>9396792.9399999976</v>
      </c>
      <c r="AA9" s="174">
        <f t="shared" si="5"/>
        <v>0.60933877083604182</v>
      </c>
      <c r="AB9" s="175">
        <f>Z9/X9</f>
        <v>1.8681846022569801</v>
      </c>
      <c r="AC9" s="172">
        <f>[1]Mērķi_apst_MK_120313!BA29</f>
        <v>7267328</v>
      </c>
      <c r="AD9" s="173">
        <f>[1]Mērķi_apst_MK_120313!BB29</f>
        <v>139817698.86999997</v>
      </c>
      <c r="AE9" s="177">
        <f>AD9-C9</f>
        <v>9902803.3899999559</v>
      </c>
      <c r="AF9" s="174">
        <f>AE9/B9</f>
        <v>0.64215121946632603</v>
      </c>
      <c r="AG9" s="175">
        <f>AE9/AC9</f>
        <v>1.3626470953285659</v>
      </c>
      <c r="AH9" s="172">
        <f>[1]Mērķi_apst_MK_120313!BH29</f>
        <v>8532619</v>
      </c>
      <c r="AI9" s="173">
        <f>[1]Mērķi_apst_MK_120313!BI29</f>
        <v>140488637.81999999</v>
      </c>
      <c r="AJ9" s="173">
        <f t="shared" si="11"/>
        <v>10573742.339999974</v>
      </c>
      <c r="AK9" s="174">
        <f>AJ9/B9</f>
        <v>0.68565852219284917</v>
      </c>
      <c r="AL9" s="175">
        <f t="shared" si="12"/>
        <v>1.2392141662483669</v>
      </c>
      <c r="AM9" s="173">
        <f t="shared" si="10"/>
        <v>2041123.3399999738</v>
      </c>
      <c r="AN9" s="180">
        <f>[1]Mērķi_apst_MK_120313!BO29</f>
        <v>9044877</v>
      </c>
      <c r="AO9" s="173">
        <f>[1]Mērķi_apst_MK_120313!BP29</f>
        <v>142231409.08000001</v>
      </c>
      <c r="AP9" s="173">
        <f t="shared" si="13"/>
        <v>12316513.599999994</v>
      </c>
      <c r="AQ9" s="174">
        <f t="shared" si="14"/>
        <v>0.79866921681998782</v>
      </c>
      <c r="AR9" s="175">
        <f t="shared" si="15"/>
        <v>1.3617115633523811</v>
      </c>
      <c r="AS9" s="173">
        <f>[1]Mērķi_apst_MK_120313!BV29</f>
        <v>9848975</v>
      </c>
      <c r="AT9" s="173">
        <f>[1]Mērķi_apst_MK_120313!BW29</f>
        <v>143814479.56000003</v>
      </c>
      <c r="AU9" s="173">
        <f t="shared" si="16"/>
        <v>13899584.080000013</v>
      </c>
      <c r="AV9" s="174">
        <f t="shared" si="17"/>
        <v>0.90132405093087276</v>
      </c>
      <c r="AW9" s="175">
        <f t="shared" si="18"/>
        <v>1.4112721455786021</v>
      </c>
      <c r="AX9" s="173">
        <f>[1]Mērķi_apst_MK_120313!CC29</f>
        <v>11582429</v>
      </c>
      <c r="AY9" s="173">
        <f>[1]Mērķi_apst_MK_120313!CD29</f>
        <v>148093638.44000003</v>
      </c>
      <c r="AZ9" s="173">
        <f t="shared" si="19"/>
        <v>18178742.960000008</v>
      </c>
      <c r="BA9" s="174">
        <f t="shared" si="20"/>
        <v>1.1788078082936619</v>
      </c>
      <c r="BB9" s="175">
        <f t="shared" si="21"/>
        <v>1.5695104161657289</v>
      </c>
      <c r="BC9" s="173">
        <f>[1]Mērķi_apst_MK_120313!CK29</f>
        <v>149010378.53000003</v>
      </c>
      <c r="BD9" s="173">
        <f t="shared" ref="BD9:BD27" si="25">BC9-C9</f>
        <v>19095483.050000012</v>
      </c>
      <c r="BE9" s="174">
        <f t="shared" si="22"/>
        <v>1.2382541835818595</v>
      </c>
      <c r="BF9" s="374"/>
    </row>
    <row r="10" spans="1:58" ht="15">
      <c r="A10" s="169" t="s">
        <v>815</v>
      </c>
      <c r="B10" s="170">
        <f>[1]Mērķi_apst_MK_120313!CJ53</f>
        <v>29186115</v>
      </c>
      <c r="C10" s="171">
        <f>[1]Mērķi_apst_MK_120313!K53</f>
        <v>140361404.56999999</v>
      </c>
      <c r="D10" s="172">
        <f>[1]Mērķi_apst_MK_120313!R53</f>
        <v>6236852</v>
      </c>
      <c r="E10" s="173">
        <f>[1]Mērķi_apst_MK_120313!S53</f>
        <v>147175304.11000001</v>
      </c>
      <c r="F10" s="173">
        <f t="shared" ref="F10:F13" si="26">E10-C10</f>
        <v>6813899.5400000215</v>
      </c>
      <c r="G10" s="174">
        <f t="shared" ref="G10:G13" si="27">F10/B10</f>
        <v>0.23346373917871638</v>
      </c>
      <c r="H10" s="175">
        <f t="shared" si="0"/>
        <v>1.0925222435934061</v>
      </c>
      <c r="I10" s="172">
        <f>[1]Mērķi_apst_MK_120313!Y53</f>
        <v>7846068</v>
      </c>
      <c r="J10" s="173">
        <f>[1]Mērķi_apst_MK_120313!Z53</f>
        <v>148734495.05000001</v>
      </c>
      <c r="K10" s="173">
        <f t="shared" si="23"/>
        <v>8373090.4800000191</v>
      </c>
      <c r="L10" s="174">
        <f t="shared" si="1"/>
        <v>0.2868860922394097</v>
      </c>
      <c r="M10" s="175">
        <f t="shared" si="2"/>
        <v>1.0671702666864498</v>
      </c>
      <c r="N10" s="172">
        <f>[1]Mērķi_apst_MK_120313!AF53</f>
        <v>10010923</v>
      </c>
      <c r="O10" s="173">
        <f>[1]Mērķi_apst_MK_120313!AG53</f>
        <v>150612661.16999999</v>
      </c>
      <c r="P10" s="173">
        <f t="shared" ref="P10:P13" si="28">O10-C10</f>
        <v>10251256.599999994</v>
      </c>
      <c r="Q10" s="174">
        <f t="shared" ref="Q10:Q13" si="29">P10/B10</f>
        <v>0.35123744972566556</v>
      </c>
      <c r="R10" s="175">
        <f t="shared" si="3"/>
        <v>1.0240071370042496</v>
      </c>
      <c r="S10" s="176">
        <f>[1]Mērķi_apst_MK_120313!AM53</f>
        <v>12491659</v>
      </c>
      <c r="T10" s="173">
        <f>[1]Mērķi_apst_MK_120313!AN53</f>
        <v>152990921.42000005</v>
      </c>
      <c r="U10" s="177">
        <f t="shared" ref="U10:U27" si="30">T10-C10</f>
        <v>12629516.850000054</v>
      </c>
      <c r="V10" s="174">
        <f t="shared" ref="V10:V13" si="31">U10/B10</f>
        <v>0.43272346627840169</v>
      </c>
      <c r="W10" s="175">
        <f t="shared" si="4"/>
        <v>1.0110359920968106</v>
      </c>
      <c r="X10" s="176">
        <f>[1]Mērķi_apst_MK_120313!AT53</f>
        <v>14904342</v>
      </c>
      <c r="Y10" s="173">
        <f>[1]Mērķi_apst_MK_120313!AU53</f>
        <v>155506342.89000002</v>
      </c>
      <c r="Z10" s="177">
        <f t="shared" si="24"/>
        <v>15144938.320000023</v>
      </c>
      <c r="AA10" s="174">
        <f t="shared" si="5"/>
        <v>0.51890901958003055</v>
      </c>
      <c r="AB10" s="175">
        <f t="shared" ref="AB10:AB13" si="32">Z10/X10</f>
        <v>1.0161426998924221</v>
      </c>
      <c r="AC10" s="172">
        <f>[1]Mērķi_apst_MK_120313!BA53</f>
        <v>17313795</v>
      </c>
      <c r="AD10" s="173">
        <f>[1]Mērķi_apst_MK_120313!BB53</f>
        <v>158185046.44</v>
      </c>
      <c r="AE10" s="177">
        <f t="shared" ref="AE10:AE27" si="33">AD10-C10</f>
        <v>17823641.870000005</v>
      </c>
      <c r="AF10" s="174">
        <f t="shared" si="7"/>
        <v>0.61068908520370058</v>
      </c>
      <c r="AG10" s="175">
        <f t="shared" si="8"/>
        <v>1.029447435989626</v>
      </c>
      <c r="AH10" s="172">
        <f>[1]Mērķi_apst_MK_120313!BH53</f>
        <v>19678760</v>
      </c>
      <c r="AI10" s="173">
        <f>[1]Mērķi_apst_MK_120313!BI53</f>
        <v>160989856.86999997</v>
      </c>
      <c r="AJ10" s="173">
        <f t="shared" si="11"/>
        <v>20628452.299999982</v>
      </c>
      <c r="AK10" s="174">
        <f t="shared" ref="AK10:AK28" si="34">AJ10/B10</f>
        <v>0.70678993418616975</v>
      </c>
      <c r="AL10" s="175">
        <f t="shared" si="12"/>
        <v>1.0482597633184196</v>
      </c>
      <c r="AM10" s="173">
        <f t="shared" si="10"/>
        <v>949692.29999998212</v>
      </c>
      <c r="AN10" s="180">
        <f>[1]Mērķi_apst_MK_120313!BO53</f>
        <v>22212951</v>
      </c>
      <c r="AO10" s="173">
        <f>[1]Mērķi_apst_MK_120313!BP53</f>
        <v>163104061.51999998</v>
      </c>
      <c r="AP10" s="173">
        <f t="shared" si="13"/>
        <v>22742656.949999988</v>
      </c>
      <c r="AQ10" s="174">
        <f t="shared" si="14"/>
        <v>0.77922864862281216</v>
      </c>
      <c r="AR10" s="175">
        <f t="shared" si="15"/>
        <v>1.0238467167194485</v>
      </c>
      <c r="AS10" s="173">
        <f>[1]Mērķi_apst_MK_120313!BV53</f>
        <v>24347162</v>
      </c>
      <c r="AT10" s="173">
        <f>[1]Mērķi_apst_MK_120313!BW53</f>
        <v>165742195.40999997</v>
      </c>
      <c r="AU10" s="173">
        <f t="shared" si="16"/>
        <v>25380790.839999974</v>
      </c>
      <c r="AV10" s="174">
        <f t="shared" si="17"/>
        <v>0.8696186813489899</v>
      </c>
      <c r="AW10" s="175">
        <f t="shared" si="18"/>
        <v>1.0424537709980315</v>
      </c>
      <c r="AX10" s="173">
        <f>[1]Mērķi_apst_MK_120313!CC53</f>
        <v>26592010</v>
      </c>
      <c r="AY10" s="173">
        <f>[1]Mērķi_apst_MK_120313!CD53</f>
        <v>167159401.46000001</v>
      </c>
      <c r="AZ10" s="173">
        <f t="shared" si="19"/>
        <v>26797996.890000015</v>
      </c>
      <c r="BA10" s="174">
        <f t="shared" si="20"/>
        <v>0.91817622489324169</v>
      </c>
      <c r="BB10" s="175">
        <f t="shared" si="21"/>
        <v>1.0077461948156614</v>
      </c>
      <c r="BC10" s="173">
        <f>[1]Mērķi_apst_MK_120313!CK53</f>
        <v>171173799.61000001</v>
      </c>
      <c r="BD10" s="173">
        <f t="shared" si="25"/>
        <v>30812395.040000021</v>
      </c>
      <c r="BE10" s="174">
        <f t="shared" si="22"/>
        <v>1.0557210180251815</v>
      </c>
      <c r="BF10" s="374"/>
    </row>
    <row r="11" spans="1:58" ht="15">
      <c r="A11" s="181" t="s">
        <v>816</v>
      </c>
      <c r="B11" s="170">
        <f>[1]Mērķi_apst_MK_120313!CJ69</f>
        <v>687224.55999999994</v>
      </c>
      <c r="C11" s="171">
        <f>[1]Mērķi_apst_MK_120313!K69</f>
        <v>4108704.98</v>
      </c>
      <c r="D11" s="172">
        <f>[1]Mērķi_apst_MK_120313!R69</f>
        <v>193858.71</v>
      </c>
      <c r="E11" s="173">
        <f>[1]Mērķi_apst_MK_120313!S69</f>
        <v>4210465.41</v>
      </c>
      <c r="F11" s="173">
        <f>E11-C11</f>
        <v>101760.43000000017</v>
      </c>
      <c r="G11" s="174">
        <f>F11/B11</f>
        <v>0.14807449547495824</v>
      </c>
      <c r="H11" s="175">
        <f>F11/D11</f>
        <v>0.52492059809951364</v>
      </c>
      <c r="I11" s="172">
        <f>[1]Mērķi_apst_MK_120313!Y69</f>
        <v>315180.92000000004</v>
      </c>
      <c r="J11" s="173">
        <f>[1]Mērķi_apst_MK_120313!Z69</f>
        <v>4259693.83</v>
      </c>
      <c r="K11" s="173">
        <f>J11-C11</f>
        <v>150988.85000000009</v>
      </c>
      <c r="L11" s="174">
        <f>K11/B11</f>
        <v>0.21970816933550819</v>
      </c>
      <c r="M11" s="175">
        <f>K11/I11</f>
        <v>0.47905453794601549</v>
      </c>
      <c r="N11" s="172">
        <f>[1]Mērķi_apst_MK_120313!AF69</f>
        <v>348409.64</v>
      </c>
      <c r="O11" s="173">
        <f>[1]Mērķi_apst_MK_120313!AG69</f>
        <v>4284362.46</v>
      </c>
      <c r="P11" s="173">
        <f>O11-C11</f>
        <v>175657.47999999998</v>
      </c>
      <c r="Q11" s="174">
        <f>P11/B11</f>
        <v>0.2556041943553356</v>
      </c>
      <c r="R11" s="175">
        <f>P11/N11</f>
        <v>0.50416940243100039</v>
      </c>
      <c r="S11" s="176">
        <f>[1]Mērķi_apst_MK_120313!AM69</f>
        <v>447804.3</v>
      </c>
      <c r="T11" s="173">
        <f>[1]Mērķi_apst_MK_120313!AN69</f>
        <v>4321841.25</v>
      </c>
      <c r="U11" s="177">
        <f>T11-C11</f>
        <v>213136.27000000002</v>
      </c>
      <c r="V11" s="174">
        <f>U11/B11</f>
        <v>0.31014064747627768</v>
      </c>
      <c r="W11" s="175">
        <f>U11/S11</f>
        <v>0.47595851580701665</v>
      </c>
      <c r="X11" s="176">
        <f>[1]Mērķi_apst_MK_120313!AT69</f>
        <v>495532.47</v>
      </c>
      <c r="Y11" s="173">
        <f>[1]Mērķi_apst_MK_120313!AU69</f>
        <v>4356357.9400000004</v>
      </c>
      <c r="Z11" s="177">
        <f>Y11-C11</f>
        <v>247652.96000000043</v>
      </c>
      <c r="AA11" s="174">
        <f>Z11/B11</f>
        <v>0.36036686465338263</v>
      </c>
      <c r="AB11" s="175">
        <f>Z11/X11</f>
        <v>0.49977140751240873</v>
      </c>
      <c r="AC11" s="172">
        <f>[1]Mērķi_apst_MK_120313!BA69</f>
        <v>512206.43999999994</v>
      </c>
      <c r="AD11" s="173">
        <f>[1]Mērķi_apst_MK_120313!BB69</f>
        <v>4357152.12</v>
      </c>
      <c r="AE11" s="177">
        <f>AD11-C11</f>
        <v>248447.14000000013</v>
      </c>
      <c r="AF11" s="174">
        <f>AE11/B11</f>
        <v>0.36152249855563973</v>
      </c>
      <c r="AG11" s="178">
        <f>AE11/AC11</f>
        <v>0.48505274552971289</v>
      </c>
      <c r="AH11" s="172">
        <f>[1]Mērķi_apst_MK_120313!BH69</f>
        <v>564335.99</v>
      </c>
      <c r="AI11" s="173">
        <f>[1]Mērķi_apst_MK_120313!BI69</f>
        <v>4370187.46</v>
      </c>
      <c r="AJ11" s="173">
        <f t="shared" si="11"/>
        <v>261482.47999999998</v>
      </c>
      <c r="AK11" s="174">
        <f t="shared" si="34"/>
        <v>0.38049059247824324</v>
      </c>
      <c r="AL11" s="178">
        <f t="shared" si="12"/>
        <v>0.46334539110291367</v>
      </c>
      <c r="AM11" s="179">
        <f t="shared" si="10"/>
        <v>-302853.51</v>
      </c>
      <c r="AN11" s="180">
        <f>[1]Mērķi_apst_MK_120313!BO69</f>
        <v>638621.44999999995</v>
      </c>
      <c r="AO11" s="173">
        <f>[1]Mērķi_apst_MK_120313!BP69</f>
        <v>4394916.18</v>
      </c>
      <c r="AP11" s="173">
        <f t="shared" si="13"/>
        <v>286211.19999999972</v>
      </c>
      <c r="AQ11" s="174">
        <f t="shared" si="14"/>
        <v>0.41647405616586192</v>
      </c>
      <c r="AR11" s="175">
        <f t="shared" si="15"/>
        <v>0.44817035193540672</v>
      </c>
      <c r="AS11" s="173">
        <f>[1]Mērķi_apst_MK_120313!BV69</f>
        <v>646856.35999999987</v>
      </c>
      <c r="AT11" s="173">
        <f>[1]Mērķi_apst_MK_120313!BW69</f>
        <v>4398837.51</v>
      </c>
      <c r="AU11" s="173">
        <f t="shared" si="16"/>
        <v>290132.5299999998</v>
      </c>
      <c r="AV11" s="174">
        <f t="shared" si="17"/>
        <v>0.42218009496051745</v>
      </c>
      <c r="AW11" s="175">
        <f t="shared" si="18"/>
        <v>0.44852698054943735</v>
      </c>
      <c r="AX11" s="173">
        <f>[1]Mērķi_apst_MK_120313!CC69</f>
        <v>669121.35999999987</v>
      </c>
      <c r="AY11" s="173">
        <f>[1]Mērķi_apst_MK_120313!CD69</f>
        <v>4423050.49</v>
      </c>
      <c r="AZ11" s="173">
        <f t="shared" si="19"/>
        <v>314345.51000000024</v>
      </c>
      <c r="BA11" s="174">
        <f t="shared" si="20"/>
        <v>0.45741309070793434</v>
      </c>
      <c r="BB11" s="366">
        <f t="shared" si="21"/>
        <v>0.46978848500666653</v>
      </c>
      <c r="BC11" s="173">
        <f>[1]Mērķi_apst_MK_120313!CK69</f>
        <v>4434255.57</v>
      </c>
      <c r="BD11" s="173">
        <f t="shared" si="25"/>
        <v>325550.59000000032</v>
      </c>
      <c r="BE11" s="248">
        <f t="shared" si="22"/>
        <v>0.47371792125706386</v>
      </c>
      <c r="BF11" s="373"/>
    </row>
    <row r="12" spans="1:58" ht="15">
      <c r="A12" s="169" t="s">
        <v>817</v>
      </c>
      <c r="B12" s="170">
        <f>[1]Mērķi_apst_MK_120313!CJ72</f>
        <v>1488837.7699999998</v>
      </c>
      <c r="C12" s="171">
        <f>[1]Mērķi_apst_MK_120313!K72</f>
        <v>6549643.6299999999</v>
      </c>
      <c r="D12" s="172">
        <f>[1]Mērķi_apst_MK_120313!R72</f>
        <v>946225.19</v>
      </c>
      <c r="E12" s="173">
        <f>[1]Mērķi_apst_MK_120313!S72</f>
        <v>7496756.3399999999</v>
      </c>
      <c r="F12" s="173">
        <f>E12-C12</f>
        <v>947112.71</v>
      </c>
      <c r="G12" s="174">
        <f>F12/B12</f>
        <v>0.63614231791016429</v>
      </c>
      <c r="H12" s="175">
        <f>F12/D12</f>
        <v>1.0009379585424059</v>
      </c>
      <c r="I12" s="172">
        <f>[1]Mērķi_apst_MK_120313!Y72</f>
        <v>946225.19</v>
      </c>
      <c r="J12" s="173">
        <f>[1]Mērķi_apst_MK_120313!Z72</f>
        <v>7510651.1500000004</v>
      </c>
      <c r="K12" s="173">
        <f>J12-C12</f>
        <v>961007.52000000048</v>
      </c>
      <c r="L12" s="174">
        <f>K12/B12</f>
        <v>0.64547497340828519</v>
      </c>
      <c r="M12" s="175">
        <f>K12/I12</f>
        <v>1.0156224228188224</v>
      </c>
      <c r="N12" s="172">
        <f>[1]Mērķi_apst_MK_120313!AF72</f>
        <v>946225.19</v>
      </c>
      <c r="O12" s="173">
        <f>[1]Mērķi_apst_MK_120313!AG72</f>
        <v>7510651.1500000004</v>
      </c>
      <c r="P12" s="173">
        <f>O12-C12</f>
        <v>961007.52000000048</v>
      </c>
      <c r="Q12" s="174">
        <f>P12/B12</f>
        <v>0.64547497340828519</v>
      </c>
      <c r="R12" s="175">
        <f>P12/N12</f>
        <v>1.0156224228188224</v>
      </c>
      <c r="S12" s="176">
        <f>[1]Mērķi_apst_MK_120313!AM72</f>
        <v>1001525.9199999999</v>
      </c>
      <c r="T12" s="173">
        <f>[1]Mērķi_apst_MK_120313!AN72</f>
        <v>7510651.1500000004</v>
      </c>
      <c r="U12" s="177">
        <f>T12-C12</f>
        <v>961007.52000000048</v>
      </c>
      <c r="V12" s="174">
        <f>U12/B12</f>
        <v>0.64547497340828519</v>
      </c>
      <c r="W12" s="175">
        <f>U12/S12</f>
        <v>0.95954333363633815</v>
      </c>
      <c r="X12" s="176">
        <f>[1]Mērķi_apst_MK_120313!AT72</f>
        <v>1001525.9199999999</v>
      </c>
      <c r="Y12" s="173">
        <f>[1]Mērķi_apst_MK_120313!AU72</f>
        <v>7510651.1500000004</v>
      </c>
      <c r="Z12" s="177">
        <f>Y12-C12</f>
        <v>961007.52000000048</v>
      </c>
      <c r="AA12" s="174">
        <f>Z12/B12</f>
        <v>0.64547497340828519</v>
      </c>
      <c r="AB12" s="175">
        <f>Z12/X12</f>
        <v>0.95954333363633815</v>
      </c>
      <c r="AC12" s="172">
        <f>[1]Mērķi_apst_MK_120313!BA72</f>
        <v>1001525.9199999999</v>
      </c>
      <c r="AD12" s="173">
        <f>[1]Mērķi_apst_MK_120313!BB72</f>
        <v>7510651.1500000004</v>
      </c>
      <c r="AE12" s="177">
        <f>AD12-C12</f>
        <v>961007.52000000048</v>
      </c>
      <c r="AF12" s="174">
        <f>AE12/B12</f>
        <v>0.64547497340828519</v>
      </c>
      <c r="AG12" s="175">
        <f>AE12/AC12</f>
        <v>0.95954333363633815</v>
      </c>
      <c r="AH12" s="172">
        <f>[1]Mērķi_apst_MK_120313!BH72</f>
        <v>1309146.1399999999</v>
      </c>
      <c r="AI12" s="173">
        <f>[1]Mērķi_apst_MK_120313!BI72</f>
        <v>7693010.6900000004</v>
      </c>
      <c r="AJ12" s="173">
        <f t="shared" si="11"/>
        <v>1143367.0600000005</v>
      </c>
      <c r="AK12" s="174">
        <f t="shared" si="34"/>
        <v>0.76795946679939531</v>
      </c>
      <c r="AL12" s="178">
        <f t="shared" si="12"/>
        <v>0.87336854539402342</v>
      </c>
      <c r="AM12" s="179">
        <f t="shared" si="10"/>
        <v>-165779.07999999938</v>
      </c>
      <c r="AN12" s="180">
        <f>[1]Mērķi_apst_MK_120313!BO72</f>
        <v>1309146.1399999999</v>
      </c>
      <c r="AO12" s="173">
        <f>[1]Mērķi_apst_MK_120313!BP72</f>
        <v>7693010.6900000004</v>
      </c>
      <c r="AP12" s="173">
        <f t="shared" si="13"/>
        <v>1143367.0600000005</v>
      </c>
      <c r="AQ12" s="174">
        <f t="shared" si="14"/>
        <v>0.76795946679939531</v>
      </c>
      <c r="AR12" s="175">
        <f t="shared" si="15"/>
        <v>0.87336854539402342</v>
      </c>
      <c r="AS12" s="173">
        <f>[1]Mērķi_apst_MK_120313!BV72</f>
        <v>1309146.1399999999</v>
      </c>
      <c r="AT12" s="173">
        <f>[1]Mērķi_apst_MK_120313!BW72</f>
        <v>7693010.6900000004</v>
      </c>
      <c r="AU12" s="173">
        <f t="shared" si="16"/>
        <v>1143367.0600000005</v>
      </c>
      <c r="AV12" s="174">
        <f t="shared" si="17"/>
        <v>0.76795946679939531</v>
      </c>
      <c r="AW12" s="175">
        <f t="shared" si="18"/>
        <v>0.87336854539402342</v>
      </c>
      <c r="AX12" s="173">
        <f>[1]Mērķi_apst_MK_120313!CC72</f>
        <v>1488837.7699999998</v>
      </c>
      <c r="AY12" s="173">
        <f>[1]Mērķi_apst_MK_120313!CD72</f>
        <v>8109966.8700000001</v>
      </c>
      <c r="AZ12" s="173">
        <f t="shared" si="19"/>
        <v>1560323.2400000002</v>
      </c>
      <c r="BA12" s="174">
        <f t="shared" si="20"/>
        <v>1.0480142776066197</v>
      </c>
      <c r="BB12" s="175">
        <f t="shared" si="21"/>
        <v>1.0480142776066197</v>
      </c>
      <c r="BC12" s="173">
        <f>[1]Mērķi_apst_MK_120313!CK72</f>
        <v>8194164.9199999999</v>
      </c>
      <c r="BD12" s="173">
        <f t="shared" si="25"/>
        <v>1644521.29</v>
      </c>
      <c r="BE12" s="174">
        <f t="shared" si="22"/>
        <v>1.104567148373728</v>
      </c>
      <c r="BF12" s="374"/>
    </row>
    <row r="13" spans="1:58" ht="15">
      <c r="A13" s="169" t="s">
        <v>818</v>
      </c>
      <c r="B13" s="170">
        <f>[1]Mērķi_apst_MK_120313!CJ76</f>
        <v>1952665.6159999999</v>
      </c>
      <c r="C13" s="171">
        <f>[1]Mērķi_apst_MK_120313!K76</f>
        <v>5502817.4700000007</v>
      </c>
      <c r="D13" s="172">
        <f>[1]Mērķi_apst_MK_120313!R76</f>
        <v>264623.8235</v>
      </c>
      <c r="E13" s="173">
        <f>[1]Mērķi_apst_MK_120313!S76</f>
        <v>5698441.1399999997</v>
      </c>
      <c r="F13" s="173">
        <f t="shared" si="26"/>
        <v>195623.66999999899</v>
      </c>
      <c r="G13" s="174">
        <f t="shared" si="27"/>
        <v>0.10018288251560989</v>
      </c>
      <c r="H13" s="175">
        <f t="shared" si="0"/>
        <v>0.73925192151113706</v>
      </c>
      <c r="I13" s="172">
        <f>[1]Mērķi_apst_MK_120313!Y76</f>
        <v>402286.6985</v>
      </c>
      <c r="J13" s="173">
        <f>[1]Mērķi_apst_MK_120313!Z76</f>
        <v>5910148.1199999992</v>
      </c>
      <c r="K13" s="173">
        <f t="shared" si="23"/>
        <v>407330.64999999851</v>
      </c>
      <c r="L13" s="174">
        <f t="shared" si="1"/>
        <v>0.20860235703561369</v>
      </c>
      <c r="M13" s="175">
        <f t="shared" si="2"/>
        <v>1.0125382010362407</v>
      </c>
      <c r="N13" s="172">
        <f>[1]Mērķi_apst_MK_120313!AF76</f>
        <v>719511.64800000004</v>
      </c>
      <c r="O13" s="173">
        <f>[1]Mērķi_apst_MK_120313!AG76</f>
        <v>6009796.71</v>
      </c>
      <c r="P13" s="173">
        <f t="shared" si="28"/>
        <v>506979.23999999929</v>
      </c>
      <c r="Q13" s="174">
        <f t="shared" si="29"/>
        <v>0.25963443809623538</v>
      </c>
      <c r="R13" s="175">
        <f t="shared" si="3"/>
        <v>0.70461575070984706</v>
      </c>
      <c r="S13" s="176">
        <f>[1]Mērķi_apst_MK_120313!AM76</f>
        <v>866089.99249999993</v>
      </c>
      <c r="T13" s="173">
        <f>[1]Mērķi_apst_MK_120313!AN76</f>
        <v>6163236.7400000002</v>
      </c>
      <c r="U13" s="177">
        <f t="shared" si="30"/>
        <v>660419.26999999955</v>
      </c>
      <c r="V13" s="174">
        <f t="shared" si="31"/>
        <v>0.3382142157820428</v>
      </c>
      <c r="W13" s="175">
        <f t="shared" si="4"/>
        <v>0.7625296166899187</v>
      </c>
      <c r="X13" s="176">
        <f>[1]Mērķi_apst_MK_120313!AT76</f>
        <v>1099488.8160000001</v>
      </c>
      <c r="Y13" s="173">
        <f>[1]Mērķi_apst_MK_120313!AU76</f>
        <v>6247496.3500000006</v>
      </c>
      <c r="Z13" s="177">
        <f t="shared" si="24"/>
        <v>744678.87999999989</v>
      </c>
      <c r="AA13" s="174">
        <f t="shared" si="5"/>
        <v>0.3813652854324649</v>
      </c>
      <c r="AB13" s="175">
        <f t="shared" si="32"/>
        <v>0.67729554786121604</v>
      </c>
      <c r="AC13" s="172">
        <f>[1]Mērķi_apst_MK_120313!BA76</f>
        <v>1203795.7365000001</v>
      </c>
      <c r="AD13" s="173">
        <f>[1]Mērķi_apst_MK_120313!BB76</f>
        <v>6355576.2200000007</v>
      </c>
      <c r="AE13" s="177">
        <f t="shared" si="33"/>
        <v>852758.75</v>
      </c>
      <c r="AF13" s="174">
        <f t="shared" si="7"/>
        <v>0.43671519742681841</v>
      </c>
      <c r="AG13" s="178">
        <f t="shared" si="8"/>
        <v>0.70839156855578378</v>
      </c>
      <c r="AH13" s="172">
        <f>[1]Mērķi_apst_MK_120313!BH76</f>
        <v>1396897.4170000001</v>
      </c>
      <c r="AI13" s="173">
        <f>[1]Mērķi_apst_MK_120313!BI76</f>
        <v>6483082.79</v>
      </c>
      <c r="AJ13" s="173">
        <f t="shared" si="11"/>
        <v>980265.31999999937</v>
      </c>
      <c r="AK13" s="174">
        <f t="shared" si="34"/>
        <v>0.50201391982722321</v>
      </c>
      <c r="AL13" s="178">
        <f t="shared" si="12"/>
        <v>0.70174467220737891</v>
      </c>
      <c r="AM13" s="179">
        <f t="shared" si="10"/>
        <v>-416632.09700000077</v>
      </c>
      <c r="AN13" s="180">
        <f>[1]Mērķi_apst_MK_120313!BO76</f>
        <v>1491376.2975000001</v>
      </c>
      <c r="AO13" s="173">
        <f>[1]Mērķi_apst_MK_120313!BP76</f>
        <v>6547714.0800000001</v>
      </c>
      <c r="AP13" s="173">
        <f t="shared" si="13"/>
        <v>1044896.6099999994</v>
      </c>
      <c r="AQ13" s="174">
        <f t="shared" si="14"/>
        <v>0.53511292534584143</v>
      </c>
      <c r="AR13" s="175">
        <f t="shared" si="15"/>
        <v>0.70062573191726574</v>
      </c>
      <c r="AS13" s="173">
        <f>[1]Mērķi_apst_MK_120313!BV76</f>
        <v>1654821.2094999999</v>
      </c>
      <c r="AT13" s="173">
        <f>[1]Mērķi_apst_MK_120313!BW76</f>
        <v>6619358.9400000004</v>
      </c>
      <c r="AU13" s="173">
        <f t="shared" si="16"/>
        <v>1116541.4699999997</v>
      </c>
      <c r="AV13" s="174">
        <f t="shared" si="17"/>
        <v>0.57180372351064113</v>
      </c>
      <c r="AW13" s="175">
        <f t="shared" si="18"/>
        <v>0.67472030427828511</v>
      </c>
      <c r="AX13" s="173">
        <f>[1]Mērķi_apst_MK_120313!CC76</f>
        <v>1821652.4509999999</v>
      </c>
      <c r="AY13" s="173">
        <f>[1]Mērķi_apst_MK_120313!CD76</f>
        <v>6672960.5300000003</v>
      </c>
      <c r="AZ13" s="173">
        <f t="shared" si="19"/>
        <v>1170143.0599999996</v>
      </c>
      <c r="BA13" s="174">
        <f t="shared" si="20"/>
        <v>0.59925419406780789</v>
      </c>
      <c r="BB13" s="366">
        <f t="shared" si="21"/>
        <v>0.64235252962640987</v>
      </c>
      <c r="BC13" s="173">
        <f>[1]Mērķi_apst_MK_120313!CK76</f>
        <v>6813774.7299999995</v>
      </c>
      <c r="BD13" s="173">
        <f t="shared" si="25"/>
        <v>1310957.2599999988</v>
      </c>
      <c r="BE13" s="248">
        <f t="shared" si="22"/>
        <v>0.6713680259733722</v>
      </c>
      <c r="BF13" s="373">
        <f>BD13-B13</f>
        <v>-641708.35600000108</v>
      </c>
    </row>
    <row r="14" spans="1:58" ht="42.75">
      <c r="A14" s="182" t="s">
        <v>819</v>
      </c>
      <c r="B14" s="160">
        <f>SUM(B15:B22)</f>
        <v>252634604.44030005</v>
      </c>
      <c r="C14" s="161">
        <f>SUM(C15:C22)</f>
        <v>909873174.53413606</v>
      </c>
      <c r="D14" s="162">
        <f>SUM(D15:D22)</f>
        <v>28124665.984000001</v>
      </c>
      <c r="E14" s="163">
        <f>SUM(E15:E22)</f>
        <v>956044213.57999992</v>
      </c>
      <c r="F14" s="163">
        <f>SUM(F15:F22)</f>
        <v>46171039.045864016</v>
      </c>
      <c r="G14" s="164">
        <f>F14/B14</f>
        <v>0.18275817419452001</v>
      </c>
      <c r="H14" s="165">
        <f t="shared" si="0"/>
        <v>1.6416564403691236</v>
      </c>
      <c r="I14" s="162">
        <f>SUM(I15:I22)</f>
        <v>53881209.298000008</v>
      </c>
      <c r="J14" s="163">
        <f>SUM(J15:J22)</f>
        <v>975031311.99000001</v>
      </c>
      <c r="K14" s="163">
        <f>SUM(K15:K22)</f>
        <v>65158137.455864005</v>
      </c>
      <c r="L14" s="164">
        <f t="shared" si="1"/>
        <v>0.25791453866828246</v>
      </c>
      <c r="M14" s="165">
        <f t="shared" si="2"/>
        <v>1.2092924101887703</v>
      </c>
      <c r="N14" s="162">
        <f>SUM(N15:N22)</f>
        <v>66428862.068000011</v>
      </c>
      <c r="O14" s="163">
        <f>SUM(O15:O22)</f>
        <v>993286819.16999996</v>
      </c>
      <c r="P14" s="163">
        <f>SUM(P15:P22)</f>
        <v>83413644.635864064</v>
      </c>
      <c r="Q14" s="164">
        <f>P14/B14</f>
        <v>0.33017505587036672</v>
      </c>
      <c r="R14" s="165">
        <f>P14/N14</f>
        <v>1.2556837801989977</v>
      </c>
      <c r="S14" s="162">
        <f>SUM(S15:S22)</f>
        <v>91539319.868000001</v>
      </c>
      <c r="T14" s="163">
        <f>SUM(T15:T22)</f>
        <v>1019951751.39</v>
      </c>
      <c r="U14" s="163">
        <f>SUM(U15:U22)</f>
        <v>110078576.85586409</v>
      </c>
      <c r="V14" s="164">
        <f>U14/B14</f>
        <v>0.43572248188144275</v>
      </c>
      <c r="W14" s="165">
        <f>U14/S14</f>
        <v>1.2025277991424643</v>
      </c>
      <c r="X14" s="162">
        <f>SUM(X15:X22)</f>
        <v>110895082.314</v>
      </c>
      <c r="Y14" s="163">
        <f>SUM(Y15:Y22)</f>
        <v>1048818046.822816</v>
      </c>
      <c r="Z14" s="163">
        <f>SUM(Z15:Z22)</f>
        <v>138944872.28868011</v>
      </c>
      <c r="AA14" s="164">
        <f t="shared" si="5"/>
        <v>0.54998353292299706</v>
      </c>
      <c r="AB14" s="165">
        <f>Z14/X14</f>
        <v>1.2529398904746469</v>
      </c>
      <c r="AC14" s="162">
        <f>SUM(AC15:AC22)</f>
        <v>131896342.39399999</v>
      </c>
      <c r="AD14" s="163">
        <f>SUM(AD15:AD22)</f>
        <v>1039834438.7141361</v>
      </c>
      <c r="AE14" s="163">
        <f>SUM(AE15:AE22)</f>
        <v>129961264.1800001</v>
      </c>
      <c r="AF14" s="164">
        <f t="shared" si="7"/>
        <v>0.5144238433524303</v>
      </c>
      <c r="AG14" s="165">
        <f t="shared" si="8"/>
        <v>0.98532879548532559</v>
      </c>
      <c r="AH14" s="162">
        <f>SUM(AH15:AH22)</f>
        <v>149491775.62399998</v>
      </c>
      <c r="AI14" s="163">
        <f>SUM(AI15:AI22)</f>
        <v>1053800488.754136</v>
      </c>
      <c r="AJ14" s="163">
        <f>SUM(AJ15:AJ22)</f>
        <v>143927314.22000009</v>
      </c>
      <c r="AK14" s="164">
        <f t="shared" si="34"/>
        <v>0.56970546271309197</v>
      </c>
      <c r="AL14" s="165">
        <f t="shared" si="12"/>
        <v>0.96277747467529207</v>
      </c>
      <c r="AM14" s="163">
        <f t="shared" si="10"/>
        <v>-5564461.4039998949</v>
      </c>
      <c r="AN14" s="166">
        <f>SUM(AN15:AN22)</f>
        <v>167980394.22400001</v>
      </c>
      <c r="AO14" s="163">
        <f>SUM(AO15:AO22)</f>
        <v>1086584398.9441359</v>
      </c>
      <c r="AP14" s="163">
        <f>SUM(AP15:AP22)</f>
        <v>176711224.41000003</v>
      </c>
      <c r="AQ14" s="164">
        <f>AP14/B14</f>
        <v>0.69947355312426551</v>
      </c>
      <c r="AR14" s="165">
        <f>AP14/AN14</f>
        <v>1.0519752928687474</v>
      </c>
      <c r="AS14" s="163">
        <f>SUM(AS15:AS22)</f>
        <v>189822558.28800002</v>
      </c>
      <c r="AT14" s="163">
        <f>SUM(AT15:AT22)</f>
        <v>1109830656.4841361</v>
      </c>
      <c r="AU14" s="163">
        <f>SUM(AU15:AU22)</f>
        <v>199957481.95000017</v>
      </c>
      <c r="AV14" s="167">
        <f t="shared" si="17"/>
        <v>0.79148888725278332</v>
      </c>
      <c r="AW14" s="168">
        <f t="shared" si="18"/>
        <v>1.0533915660678399</v>
      </c>
      <c r="AX14" s="163">
        <f>SUM(AX15:AX22)</f>
        <v>220224720.05800003</v>
      </c>
      <c r="AY14" s="163">
        <f>SUM(AY15:AY22)</f>
        <v>1127178603.554136</v>
      </c>
      <c r="AZ14" s="163">
        <f>SUM(AZ15:AZ22)</f>
        <v>217305429.0200001</v>
      </c>
      <c r="BA14" s="164">
        <f>AZ14/B14</f>
        <v>0.86015702204149724</v>
      </c>
      <c r="BB14" s="165">
        <f>AZ14/AX14</f>
        <v>0.98674403565035262</v>
      </c>
      <c r="BC14" s="163">
        <f>SUM(BC15:BC22)</f>
        <v>1163114566.1741359</v>
      </c>
      <c r="BD14" s="163">
        <f>SUM(BD15:BD22)</f>
        <v>253241391.63999999</v>
      </c>
      <c r="BE14" s="164">
        <f t="shared" si="22"/>
        <v>1.0024018372346268</v>
      </c>
      <c r="BF14" s="372"/>
    </row>
    <row r="15" spans="1:58" ht="15">
      <c r="A15" s="169" t="s">
        <v>812</v>
      </c>
      <c r="B15" s="170">
        <f>[1]Mērķi_apst_MK_120313!CJ86</f>
        <v>41103211.300300002</v>
      </c>
      <c r="C15" s="171">
        <f>[1]Mērķi_apst_MK_120313!K86</f>
        <v>214543347.81413597</v>
      </c>
      <c r="D15" s="172">
        <f>[1]Mērķi_apst_MK_120313!R86</f>
        <v>6918053.1500000004</v>
      </c>
      <c r="E15" s="173">
        <f>[1]Mērķi_apst_MK_120313!S86</f>
        <v>245768991.72999996</v>
      </c>
      <c r="F15" s="173">
        <f t="shared" ref="F15:F22" si="35">E15-C15</f>
        <v>31225643.915863991</v>
      </c>
      <c r="G15" s="174">
        <f t="shared" ref="G15:G28" si="36">F15/B15</f>
        <v>0.75968866976668759</v>
      </c>
      <c r="H15" s="183">
        <f t="shared" si="0"/>
        <v>4.5136461427539034</v>
      </c>
      <c r="I15" s="172">
        <f>[1]Mērķi_apst_MK_120313!Y86</f>
        <v>8722077.5600000005</v>
      </c>
      <c r="J15" s="173">
        <f>[1]Mērķi_apst_MK_120313!Z86</f>
        <v>248154411.97999996</v>
      </c>
      <c r="K15" s="173">
        <f t="shared" ref="K15:K22" si="37">J15-C15</f>
        <v>33611064.165863991</v>
      </c>
      <c r="L15" s="174">
        <f t="shared" si="1"/>
        <v>0.81772355741992042</v>
      </c>
      <c r="M15" s="183">
        <f t="shared" si="2"/>
        <v>3.8535617156176709</v>
      </c>
      <c r="N15" s="172">
        <f>[1]Mērķi_apst_MK_120313!AF86</f>
        <v>12997180.140000001</v>
      </c>
      <c r="O15" s="173">
        <f>[1]Mērķi_apst_MK_120313!AG86</f>
        <v>251339984.47</v>
      </c>
      <c r="P15" s="173">
        <f>O15-C15</f>
        <v>36796636.65586403</v>
      </c>
      <c r="Q15" s="174">
        <f t="shared" ref="Q15:Q28" si="38">P15/B15</f>
        <v>0.89522534838039436</v>
      </c>
      <c r="R15" s="183">
        <f t="shared" si="3"/>
        <v>2.8311246177637441</v>
      </c>
      <c r="S15" s="176">
        <f>[1]Mērķi_apst_MK_120313!AM86</f>
        <v>17476382.640000001</v>
      </c>
      <c r="T15" s="173">
        <f>[1]Mērķi_apst_MK_120313!AN86</f>
        <v>254130874.58000001</v>
      </c>
      <c r="U15" s="177">
        <f t="shared" si="30"/>
        <v>39587526.765864044</v>
      </c>
      <c r="V15" s="174">
        <f t="shared" ref="V15:V28" si="39">U15/B15</f>
        <v>0.96312491198406935</v>
      </c>
      <c r="W15" s="183">
        <f t="shared" ref="W15:W28" si="40">U15/S15</f>
        <v>2.2652014196150629</v>
      </c>
      <c r="X15" s="176">
        <f>[1]Mērķi_apst_MK_120313!AT86</f>
        <v>22031550.170000002</v>
      </c>
      <c r="Y15" s="173">
        <f>[1]Mērķi_apst_MK_120313!AU86</f>
        <v>258942869.28281599</v>
      </c>
      <c r="Z15" s="177">
        <f t="shared" ref="Z15:Z22" si="41">Y15-C15</f>
        <v>44399521.468680024</v>
      </c>
      <c r="AA15" s="174">
        <f t="shared" si="5"/>
        <v>1.0801959278630855</v>
      </c>
      <c r="AB15" s="183">
        <f t="shared" ref="AB15:AB28" si="42">Z15/X15</f>
        <v>2.015269970841095</v>
      </c>
      <c r="AC15" s="172">
        <f>[1]Mērķi_apst_MK_120313!BA86</f>
        <v>25537959.870000001</v>
      </c>
      <c r="AD15" s="173">
        <f>[1]Mērķi_apst_MK_120313!BB86</f>
        <v>236426069.44413602</v>
      </c>
      <c r="AE15" s="177">
        <f t="shared" si="33"/>
        <v>21882721.630000055</v>
      </c>
      <c r="AF15" s="174">
        <f t="shared" si="7"/>
        <v>0.53238471977590562</v>
      </c>
      <c r="AG15" s="184">
        <f t="shared" si="8"/>
        <v>0.85687038985859498</v>
      </c>
      <c r="AH15" s="172">
        <f>[1]Mērķi_apst_MK_120313!BH86</f>
        <v>28288559.27</v>
      </c>
      <c r="AI15" s="173">
        <f>[1]Mērķi_apst_MK_120313!BI86</f>
        <v>237642141.934136</v>
      </c>
      <c r="AJ15" s="173">
        <f t="shared" si="11"/>
        <v>23098794.120000035</v>
      </c>
      <c r="AK15" s="185">
        <f t="shared" si="34"/>
        <v>0.56197054656484813</v>
      </c>
      <c r="AL15" s="175">
        <f t="shared" si="12"/>
        <v>0.81654190655429715</v>
      </c>
      <c r="AM15" s="186">
        <f t="shared" si="10"/>
        <v>-5189765.149999965</v>
      </c>
      <c r="AN15" s="180">
        <f>[1]Mērķi_apst_MK_120313!BO86</f>
        <v>30969984.710000001</v>
      </c>
      <c r="AO15" s="173">
        <f>[1]Mērķi_apst_MK_120313!BP86</f>
        <v>246633170.54413599</v>
      </c>
      <c r="AP15" s="173">
        <f>AO15-C15</f>
        <v>32089822.730000019</v>
      </c>
      <c r="AQ15" s="174">
        <f>AP15/B15</f>
        <v>0.78071327555289582</v>
      </c>
      <c r="AR15" s="175">
        <f t="shared" si="15"/>
        <v>1.0361588173351093</v>
      </c>
      <c r="AS15" s="173">
        <f>[1]Mērķi_apst_MK_120313!BV86</f>
        <v>36097286.710000001</v>
      </c>
      <c r="AT15" s="173">
        <f>[1]Mērķi_apst_MK_120313!BW86</f>
        <v>248193445.32413599</v>
      </c>
      <c r="AU15" s="173">
        <f>AT15-C15</f>
        <v>33650097.51000002</v>
      </c>
      <c r="AV15" s="174">
        <f>AU15/B15</f>
        <v>0.81867319962307705</v>
      </c>
      <c r="AW15" s="175">
        <f t="shared" si="18"/>
        <v>0.9322057300411436</v>
      </c>
      <c r="AX15" s="173">
        <f>[1]Mērķi_apst_MK_120313!CC86</f>
        <v>39883779.109999999</v>
      </c>
      <c r="AY15" s="173">
        <f>[1]Mērķi_apst_MK_120313!CD86</f>
        <v>249907455.214136</v>
      </c>
      <c r="AZ15" s="173">
        <f t="shared" si="19"/>
        <v>35364107.400000036</v>
      </c>
      <c r="BA15" s="174">
        <f t="shared" si="20"/>
        <v>0.86037334508075092</v>
      </c>
      <c r="BB15" s="366">
        <f t="shared" si="21"/>
        <v>0.88667895041905009</v>
      </c>
      <c r="BC15" s="173">
        <f>[1]Mērķi_apst_MK_120313!CK86</f>
        <v>253470897.74413598</v>
      </c>
      <c r="BD15" s="173">
        <f t="shared" si="25"/>
        <v>38927549.930000007</v>
      </c>
      <c r="BE15" s="174">
        <f t="shared" si="22"/>
        <v>0.94706833598950169</v>
      </c>
      <c r="BF15" s="374"/>
    </row>
    <row r="16" spans="1:58" ht="15">
      <c r="A16" s="169" t="s">
        <v>813</v>
      </c>
      <c r="B16" s="170">
        <f>[1]Mērķi_apst_MK_120313!CJ117</f>
        <v>7806244.9000000004</v>
      </c>
      <c r="C16" s="171">
        <f>[1]Mērķi_apst_MK_120313!K117</f>
        <v>26527824.710000001</v>
      </c>
      <c r="D16" s="172">
        <f>[1]Mērķi_apst_MK_120313!R117</f>
        <v>439958.82999999996</v>
      </c>
      <c r="E16" s="173">
        <f>[1]Mērķi_apst_MK_120313!S117</f>
        <v>26974749.800000001</v>
      </c>
      <c r="F16" s="173">
        <f>E16-C16</f>
        <v>446925.08999999985</v>
      </c>
      <c r="G16" s="174">
        <f>F16/B16</f>
        <v>5.7252250694825091E-2</v>
      </c>
      <c r="H16" s="183">
        <f>F16/D16</f>
        <v>1.015833890639267</v>
      </c>
      <c r="I16" s="172">
        <f>[1]Mērķi_apst_MK_120313!Y117</f>
        <v>1869574.2599999998</v>
      </c>
      <c r="J16" s="173">
        <f>[1]Mērķi_apst_MK_120313!Z117</f>
        <v>28585779.18</v>
      </c>
      <c r="K16" s="173">
        <f>J16-C16</f>
        <v>2057954.4699999988</v>
      </c>
      <c r="L16" s="174">
        <f>K16/B16</f>
        <v>0.26362924765529694</v>
      </c>
      <c r="M16" s="183">
        <f>K16/I16</f>
        <v>1.1007610203191389</v>
      </c>
      <c r="N16" s="172">
        <f>[1]Mērķi_apst_MK_120313!AF117</f>
        <v>1982623.27</v>
      </c>
      <c r="O16" s="173">
        <f>[1]Mērķi_apst_MK_120313!AG117</f>
        <v>28585779.18</v>
      </c>
      <c r="P16" s="173">
        <f>O16-C16</f>
        <v>2057954.4699999988</v>
      </c>
      <c r="Q16" s="174">
        <f>P16/B16</f>
        <v>0.26362924765529694</v>
      </c>
      <c r="R16" s="183">
        <f>P16/N16</f>
        <v>1.0379957206897903</v>
      </c>
      <c r="S16" s="176">
        <f>[1]Mērķi_apst_MK_120313!AM117</f>
        <v>2280170.4500000002</v>
      </c>
      <c r="T16" s="173">
        <f>[1]Mērķi_apst_MK_120313!AN117</f>
        <v>28950142.880000003</v>
      </c>
      <c r="U16" s="177">
        <f>T16-C16</f>
        <v>2422318.1700000018</v>
      </c>
      <c r="V16" s="174">
        <f>U16/B16</f>
        <v>0.31030517246518896</v>
      </c>
      <c r="W16" s="183">
        <f>U16/S16</f>
        <v>1.0623408307041264</v>
      </c>
      <c r="X16" s="176">
        <f>[1]Mērķi_apst_MK_120313!AT117</f>
        <v>3745492.38</v>
      </c>
      <c r="Y16" s="173">
        <f>[1]Mērķi_apst_MK_120313!AU117</f>
        <v>30360207.579999998</v>
      </c>
      <c r="Z16" s="177">
        <f>Y16-C16</f>
        <v>3832382.8699999973</v>
      </c>
      <c r="AA16" s="174">
        <f>Z16/B16</f>
        <v>0.4909380783070228</v>
      </c>
      <c r="AB16" s="183">
        <f>Z16/X16</f>
        <v>1.0231986828925272</v>
      </c>
      <c r="AC16" s="172">
        <f>[1]Mērķi_apst_MK_120313!BA117</f>
        <v>3745492.38</v>
      </c>
      <c r="AD16" s="173">
        <f>[1]Mērķi_apst_MK_120313!BB117</f>
        <v>30473556.280000001</v>
      </c>
      <c r="AE16" s="177">
        <f>AD16-C16</f>
        <v>3945731.5700000003</v>
      </c>
      <c r="AF16" s="174">
        <f>AE16/B16</f>
        <v>0.50545833759327741</v>
      </c>
      <c r="AG16" s="183">
        <f>AE16/AC16</f>
        <v>1.0534613796224037</v>
      </c>
      <c r="AH16" s="172">
        <f>[1]Mērķi_apst_MK_120313!BH117</f>
        <v>4201735.0199999996</v>
      </c>
      <c r="AI16" s="173">
        <f>[1]Mērķi_apst_MK_120313!BI117</f>
        <v>31208234.02</v>
      </c>
      <c r="AJ16" s="173">
        <f t="shared" si="11"/>
        <v>4680409.3099999987</v>
      </c>
      <c r="AK16" s="174">
        <f t="shared" si="34"/>
        <v>0.59957244103371632</v>
      </c>
      <c r="AL16" s="175">
        <f t="shared" si="12"/>
        <v>1.11392300745324</v>
      </c>
      <c r="AM16" s="173">
        <f t="shared" si="10"/>
        <v>478674.28999999911</v>
      </c>
      <c r="AN16" s="180">
        <f>[1]Mērķi_apst_MK_120313!BO117</f>
        <v>5707610.9699999997</v>
      </c>
      <c r="AO16" s="173">
        <f>[1]Mērķi_apst_MK_120313!BP117</f>
        <v>32145547.009999998</v>
      </c>
      <c r="AP16" s="173">
        <f t="shared" ref="AP16:AP22" si="43">AO16-C16</f>
        <v>5617722.299999997</v>
      </c>
      <c r="AQ16" s="174">
        <f t="shared" ref="AQ16:AQ27" si="44">AP16/B16</f>
        <v>0.7196446398959373</v>
      </c>
      <c r="AR16" s="175">
        <f t="shared" si="15"/>
        <v>0.98425108675547968</v>
      </c>
      <c r="AS16" s="173">
        <f>[1]Mērķi_apst_MK_120313!BV117</f>
        <v>5797223.75</v>
      </c>
      <c r="AT16" s="173">
        <f>[1]Mērķi_apst_MK_120313!BW117</f>
        <v>32532798.620000001</v>
      </c>
      <c r="AU16" s="173">
        <f t="shared" ref="AU16:AU22" si="45">AT16-C16</f>
        <v>6004973.9100000001</v>
      </c>
      <c r="AV16" s="174">
        <f t="shared" ref="AV16:AV23" si="46">AU16/B16</f>
        <v>0.76925256469983405</v>
      </c>
      <c r="AW16" s="175">
        <f t="shared" si="18"/>
        <v>1.0358361465692953</v>
      </c>
      <c r="AX16" s="173">
        <f>[1]Mērķi_apst_MK_120313!CC117</f>
        <v>6196425.2800000003</v>
      </c>
      <c r="AY16" s="173">
        <f>[1]Mērķi_apst_MK_120313!CD117</f>
        <v>32734795.579999998</v>
      </c>
      <c r="AZ16" s="173">
        <f t="shared" si="19"/>
        <v>6206970.8699999973</v>
      </c>
      <c r="BA16" s="174">
        <f t="shared" si="20"/>
        <v>0.79512889353496929</v>
      </c>
      <c r="BB16" s="175">
        <f t="shared" si="21"/>
        <v>1.0017018828636626</v>
      </c>
      <c r="BC16" s="173">
        <f>[1]Mērķi_apst_MK_120313!CK117</f>
        <v>34429368.700000003</v>
      </c>
      <c r="BD16" s="173">
        <f t="shared" si="25"/>
        <v>7901543.9900000021</v>
      </c>
      <c r="BE16" s="174">
        <f t="shared" si="22"/>
        <v>1.0122080579357691</v>
      </c>
      <c r="BF16" s="374"/>
    </row>
    <row r="17" spans="1:58" ht="15">
      <c r="A17" s="169" t="s">
        <v>820</v>
      </c>
      <c r="B17" s="170">
        <f>[1]Mērķi_apst_MK_120313!CJ122</f>
        <v>37165759.864</v>
      </c>
      <c r="C17" s="171">
        <f>[1]Mērķi_apst_MK_120313!K122</f>
        <v>167344128.54000002</v>
      </c>
      <c r="D17" s="172">
        <f>[1]Mērķi_apst_MK_120313!R122</f>
        <v>3513660.0240000002</v>
      </c>
      <c r="E17" s="173">
        <f>[1]Mērķi_apst_MK_120313!S122</f>
        <v>171213468.69999999</v>
      </c>
      <c r="F17" s="173">
        <f t="shared" si="35"/>
        <v>3869340.1599999666</v>
      </c>
      <c r="G17" s="174">
        <f t="shared" si="36"/>
        <v>0.10411034710870903</v>
      </c>
      <c r="H17" s="183">
        <f t="shared" si="0"/>
        <v>1.1012278175949006</v>
      </c>
      <c r="I17" s="172">
        <f>[1]Mērķi_apst_MK_120313!Y122</f>
        <v>6650556.6740000006</v>
      </c>
      <c r="J17" s="173">
        <f>[1]Mērķi_apst_MK_120313!Z122</f>
        <v>173239733.75</v>
      </c>
      <c r="K17" s="173">
        <f t="shared" si="37"/>
        <v>5895605.2099999785</v>
      </c>
      <c r="L17" s="174">
        <f t="shared" si="1"/>
        <v>0.15863001944729938</v>
      </c>
      <c r="M17" s="183">
        <f t="shared" si="2"/>
        <v>0.88648296661368742</v>
      </c>
      <c r="N17" s="172">
        <f>[1]Mērķi_apst_MK_120313!AF122</f>
        <v>7978227.6740000006</v>
      </c>
      <c r="O17" s="173">
        <f>[1]Mērķi_apst_MK_120313!AG122</f>
        <v>175617865</v>
      </c>
      <c r="P17" s="173">
        <f t="shared" ref="P17:P22" si="47">O17-C17</f>
        <v>8273736.4599999785</v>
      </c>
      <c r="Q17" s="174">
        <f t="shared" si="38"/>
        <v>0.22261717479410925</v>
      </c>
      <c r="R17" s="183">
        <f t="shared" si="3"/>
        <v>1.0370394024932383</v>
      </c>
      <c r="S17" s="176">
        <f>[1]Mērķi_apst_MK_120313!AM122</f>
        <v>14241309.674000001</v>
      </c>
      <c r="T17" s="173">
        <f>[1]Mērķi_apst_MK_120313!AN122</f>
        <v>179009622.78999996</v>
      </c>
      <c r="U17" s="177">
        <f t="shared" si="30"/>
        <v>11665494.24999994</v>
      </c>
      <c r="V17" s="174">
        <f t="shared" si="39"/>
        <v>0.3138774585179282</v>
      </c>
      <c r="W17" s="183">
        <f t="shared" si="40"/>
        <v>0.81913072021018818</v>
      </c>
      <c r="X17" s="176">
        <f>[1]Mērķi_apst_MK_120313!AT122</f>
        <v>17217360.674000002</v>
      </c>
      <c r="Y17" s="173">
        <f>[1]Mērķi_apst_MK_120313!AU122</f>
        <v>182348973.09999999</v>
      </c>
      <c r="Z17" s="177">
        <f t="shared" si="41"/>
        <v>15004844.559999973</v>
      </c>
      <c r="AA17" s="174">
        <f t="shared" si="5"/>
        <v>0.4037276411112522</v>
      </c>
      <c r="AB17" s="183">
        <f t="shared" si="42"/>
        <v>0.87149504759221552</v>
      </c>
      <c r="AC17" s="172">
        <f>[1]Mērķi_apst_MK_120313!BA122</f>
        <v>20374938.674000002</v>
      </c>
      <c r="AD17" s="173">
        <f>[1]Mērķi_apst_MK_120313!BB122</f>
        <v>185884179.44</v>
      </c>
      <c r="AE17" s="177">
        <f t="shared" si="33"/>
        <v>18540050.899999976</v>
      </c>
      <c r="AF17" s="174">
        <f t="shared" si="7"/>
        <v>0.49884762124717086</v>
      </c>
      <c r="AG17" s="184">
        <f t="shared" si="8"/>
        <v>0.90994388727454256</v>
      </c>
      <c r="AH17" s="172">
        <f>[1]Mērķi_apst_MK_120313!BH122</f>
        <v>21935753.864</v>
      </c>
      <c r="AI17" s="173">
        <f>[1]Mērķi_apst_MK_120313!BI122</f>
        <v>186240273.09999996</v>
      </c>
      <c r="AJ17" s="173">
        <f t="shared" si="11"/>
        <v>18896144.559999943</v>
      </c>
      <c r="AK17" s="185">
        <f t="shared" si="34"/>
        <v>0.50842885034898433</v>
      </c>
      <c r="AL17" s="175">
        <f t="shared" si="12"/>
        <v>0.86143128142094394</v>
      </c>
      <c r="AM17" s="186">
        <f t="shared" si="10"/>
        <v>-3039609.3040000573</v>
      </c>
      <c r="AN17" s="180">
        <f>[1]Mērķi_apst_MK_120313!BO122</f>
        <v>27111435.864</v>
      </c>
      <c r="AO17" s="173">
        <f>[1]Mērķi_apst_MK_120313!BP122</f>
        <v>191810678.57999998</v>
      </c>
      <c r="AP17" s="173">
        <f t="shared" si="43"/>
        <v>24466550.039999962</v>
      </c>
      <c r="AQ17" s="174">
        <f t="shared" si="44"/>
        <v>0.65830888779161167</v>
      </c>
      <c r="AR17" s="175">
        <f t="shared" si="15"/>
        <v>0.90244390458448354</v>
      </c>
      <c r="AS17" s="173">
        <f>[1]Mērķi_apst_MK_120313!BV122</f>
        <v>27604430.864</v>
      </c>
      <c r="AT17" s="173">
        <f>[1]Mērķi_apst_MK_120313!BW122</f>
        <v>195201043.81</v>
      </c>
      <c r="AU17" s="173">
        <f t="shared" si="45"/>
        <v>27856915.269999981</v>
      </c>
      <c r="AV17" s="174">
        <f t="shared" si="46"/>
        <v>0.74953170261919289</v>
      </c>
      <c r="AW17" s="175">
        <f t="shared" si="18"/>
        <v>1.0091465173559966</v>
      </c>
      <c r="AX17" s="173">
        <f>[1]Mērķi_apst_MK_120313!CC122</f>
        <v>30043489.864</v>
      </c>
      <c r="AY17" s="173">
        <f>[1]Mērķi_apst_MK_120313!CD122</f>
        <v>196225034.04999998</v>
      </c>
      <c r="AZ17" s="173">
        <f t="shared" si="19"/>
        <v>28880905.509999961</v>
      </c>
      <c r="BA17" s="174">
        <f t="shared" si="20"/>
        <v>0.77708368174586884</v>
      </c>
      <c r="BB17" s="175">
        <f t="shared" si="21"/>
        <v>0.96130328536189391</v>
      </c>
      <c r="BC17" s="173">
        <f>[1]Mērķi_apst_MK_120313!CK122</f>
        <v>202458623.39999998</v>
      </c>
      <c r="BD17" s="173">
        <f t="shared" si="25"/>
        <v>35114494.859999955</v>
      </c>
      <c r="BE17" s="174">
        <f t="shared" si="22"/>
        <v>0.94480766674739858</v>
      </c>
      <c r="BF17" s="374"/>
    </row>
    <row r="18" spans="1:58" ht="15">
      <c r="A18" s="169" t="s">
        <v>821</v>
      </c>
      <c r="B18" s="170">
        <f>[1]Mērķi_apst_MK_120313!CJ138</f>
        <v>6807205.2300000004</v>
      </c>
      <c r="C18" s="171">
        <f>[1]Mērķi_apst_MK_120313!K138</f>
        <v>11695311.630000001</v>
      </c>
      <c r="D18" s="172">
        <f>[1]Mērķi_apst_MK_120313!R138</f>
        <v>858301.42</v>
      </c>
      <c r="E18" s="173">
        <f>[1]Mērķi_apst_MK_120313!S138</f>
        <v>12461663.940000001</v>
      </c>
      <c r="F18" s="173">
        <f>E18-C18</f>
        <v>766352.31000000052</v>
      </c>
      <c r="G18" s="174">
        <f>F18/B18</f>
        <v>0.1125795806218113</v>
      </c>
      <c r="H18" s="183">
        <f>F18/D18</f>
        <v>0.89287084017640383</v>
      </c>
      <c r="I18" s="172">
        <f>[1]Mērķi_apst_MK_120313!Y138</f>
        <v>1077502.42</v>
      </c>
      <c r="J18" s="173">
        <f>[1]Mērķi_apst_MK_120313!Z138</f>
        <v>12604965.609999999</v>
      </c>
      <c r="K18" s="173">
        <f>J18-C18</f>
        <v>909653.97999999858</v>
      </c>
      <c r="L18" s="174">
        <f>K18/B18</f>
        <v>0.1336310496400295</v>
      </c>
      <c r="M18" s="183">
        <f>K18/I18</f>
        <v>0.84422453547714416</v>
      </c>
      <c r="N18" s="172">
        <f>[1]Mērķi_apst_MK_120313!AF138</f>
        <v>3068243.23</v>
      </c>
      <c r="O18" s="173">
        <f>[1]Mērķi_apst_MK_120313!AG138</f>
        <v>14287514.849999998</v>
      </c>
      <c r="P18" s="173">
        <f>O18-C18</f>
        <v>2592203.2199999969</v>
      </c>
      <c r="Q18" s="174">
        <f>P18/B18</f>
        <v>0.38080285997194724</v>
      </c>
      <c r="R18" s="183">
        <f>P18/N18</f>
        <v>0.84484932441291394</v>
      </c>
      <c r="S18" s="176">
        <f>[1]Mērķi_apst_MK_120313!AM138</f>
        <v>3437587.23</v>
      </c>
      <c r="T18" s="173">
        <f>[1]Mērķi_apst_MK_120313!AN138</f>
        <v>14468081.16</v>
      </c>
      <c r="U18" s="177">
        <f>T18-C18</f>
        <v>2772769.5299999993</v>
      </c>
      <c r="V18" s="174">
        <f>U18/B18</f>
        <v>0.40732862258657054</v>
      </c>
      <c r="W18" s="183">
        <f>U18/S18</f>
        <v>0.80660339490497801</v>
      </c>
      <c r="X18" s="176">
        <f>[1]Mērķi_apst_MK_120313!AT138</f>
        <v>3889058.23</v>
      </c>
      <c r="Y18" s="173">
        <f>[1]Mērķi_apst_MK_120313!AU138</f>
        <v>14650791.209999999</v>
      </c>
      <c r="Z18" s="177">
        <f>Y18-C18</f>
        <v>2955479.5799999982</v>
      </c>
      <c r="AA18" s="174">
        <f>Z18/B18</f>
        <v>0.43416930739430609</v>
      </c>
      <c r="AB18" s="183">
        <f>Z18/X18</f>
        <v>0.7599473716288373</v>
      </c>
      <c r="AC18" s="172">
        <f>[1]Mērķi_apst_MK_120313!BA138</f>
        <v>4564439.2300000004</v>
      </c>
      <c r="AD18" s="173">
        <f>[1]Mērķi_apst_MK_120313!BB138</f>
        <v>14966553.75</v>
      </c>
      <c r="AE18" s="177">
        <f>AD18-C18</f>
        <v>3271242.1199999992</v>
      </c>
      <c r="AF18" s="174">
        <f>AE18/B18</f>
        <v>0.48055582422920412</v>
      </c>
      <c r="AG18" s="184">
        <f>AE18/AC18</f>
        <v>0.71667995895302983</v>
      </c>
      <c r="AH18" s="172">
        <f>[1]Mērķi_apst_MK_120313!BH138</f>
        <v>4969663.2300000004</v>
      </c>
      <c r="AI18" s="173">
        <f>[1]Mērķi_apst_MK_120313!BI138</f>
        <v>15444806.520000001</v>
      </c>
      <c r="AJ18" s="173">
        <f t="shared" si="11"/>
        <v>3749494.8900000006</v>
      </c>
      <c r="AK18" s="185">
        <f t="shared" si="34"/>
        <v>0.55081267029758707</v>
      </c>
      <c r="AL18" s="175">
        <f t="shared" si="12"/>
        <v>0.75447665495031946</v>
      </c>
      <c r="AM18" s="186">
        <f t="shared" si="10"/>
        <v>-1220168.3399999999</v>
      </c>
      <c r="AN18" s="180">
        <f>[1]Mērķi_apst_MK_120313!BO138</f>
        <v>5097494.2300000004</v>
      </c>
      <c r="AO18" s="173">
        <f>[1]Mērķi_apst_MK_120313!BP138</f>
        <v>15481759.140000001</v>
      </c>
      <c r="AP18" s="173">
        <f t="shared" si="43"/>
        <v>3786447.51</v>
      </c>
      <c r="AQ18" s="174">
        <f t="shared" si="44"/>
        <v>0.55624112716813146</v>
      </c>
      <c r="AR18" s="175">
        <f t="shared" si="15"/>
        <v>0.74280564904141133</v>
      </c>
      <c r="AS18" s="173">
        <f>[1]Mērķi_apst_MK_120313!BV138</f>
        <v>6196245.2300000004</v>
      </c>
      <c r="AT18" s="173">
        <f>[1]Mērķi_apst_MK_120313!BW138</f>
        <v>15796541.09</v>
      </c>
      <c r="AU18" s="173">
        <f t="shared" si="45"/>
        <v>4101229.459999999</v>
      </c>
      <c r="AV18" s="174">
        <f t="shared" si="46"/>
        <v>0.60248359222746672</v>
      </c>
      <c r="AW18" s="175">
        <f t="shared" si="18"/>
        <v>0.66188946818039329</v>
      </c>
      <c r="AX18" s="173">
        <f>[1]Mērķi_apst_MK_120313!CC138</f>
        <v>6805330.2300000004</v>
      </c>
      <c r="AY18" s="173">
        <f>[1]Mērķi_apst_MK_120313!CD138</f>
        <v>16028934.25</v>
      </c>
      <c r="AZ18" s="173">
        <f t="shared" si="19"/>
        <v>4333622.6199999992</v>
      </c>
      <c r="BA18" s="174">
        <f t="shared" si="20"/>
        <v>0.6366228831916676</v>
      </c>
      <c r="BB18" s="366">
        <f t="shared" si="21"/>
        <v>0.63679828509953129</v>
      </c>
      <c r="BC18" s="173">
        <f>[1]Mērķi_apst_MK_120313!CK138</f>
        <v>18080677.039999999</v>
      </c>
      <c r="BD18" s="173">
        <f t="shared" si="25"/>
        <v>6385365.4099999983</v>
      </c>
      <c r="BE18" s="174">
        <f t="shared" si="22"/>
        <v>0.9380303948908556</v>
      </c>
      <c r="BF18" s="374"/>
    </row>
    <row r="19" spans="1:58" ht="90">
      <c r="A19" s="169" t="s">
        <v>815</v>
      </c>
      <c r="B19" s="170">
        <f>[1]Mērķi_apst_MK_120313!CJ142</f>
        <v>229117.49</v>
      </c>
      <c r="C19" s="171">
        <f>[1]Mērķi_apst_MK_120313!K142</f>
        <v>8589644.7899999991</v>
      </c>
      <c r="D19" s="172">
        <f>[1]Mērķi_apst_MK_120313!R142</f>
        <v>0</v>
      </c>
      <c r="E19" s="173">
        <f>[1]Mērķi_apst_MK_120313!S142</f>
        <v>8589644.7899999991</v>
      </c>
      <c r="F19" s="173">
        <f>E19-C19</f>
        <v>0</v>
      </c>
      <c r="G19" s="174">
        <f>F19/B19</f>
        <v>0</v>
      </c>
      <c r="H19" s="183">
        <f>IFERROR(F19/D19,1)</f>
        <v>1</v>
      </c>
      <c r="I19" s="172">
        <f>[1]Mērķi_apst_MK_120313!Y142</f>
        <v>0</v>
      </c>
      <c r="J19" s="173">
        <f>[1]Mērķi_apst_MK_120313!Z142</f>
        <v>8589644.7899999991</v>
      </c>
      <c r="K19" s="173">
        <f>J19-C19</f>
        <v>0</v>
      </c>
      <c r="L19" s="174">
        <f>K19/B19</f>
        <v>0</v>
      </c>
      <c r="M19" s="183">
        <f>IFERROR(K19/I19,1)</f>
        <v>1</v>
      </c>
      <c r="N19" s="172">
        <f>[1]Mērķi_apst_MK_120313!AF142</f>
        <v>87472</v>
      </c>
      <c r="O19" s="173">
        <f>[1]Mērķi_apst_MK_120313!AG142</f>
        <v>8707393.0500000007</v>
      </c>
      <c r="P19" s="173">
        <f>O19-C19</f>
        <v>117748.26000000164</v>
      </c>
      <c r="Q19" s="174">
        <f>P19/B19</f>
        <v>0.51392087090340266</v>
      </c>
      <c r="R19" s="183">
        <f>IFERROR(P19/N19,1)</f>
        <v>1.3461251600512352</v>
      </c>
      <c r="S19" s="176">
        <f>[1]Mērķi_apst_MK_120313!AM142</f>
        <v>93117.49</v>
      </c>
      <c r="T19" s="173">
        <f>[1]Mērķi_apst_MK_120313!AN142</f>
        <v>8707393.0500000007</v>
      </c>
      <c r="U19" s="177">
        <f>T19-C19</f>
        <v>117748.26000000164</v>
      </c>
      <c r="V19" s="174">
        <f>U19/B19</f>
        <v>0.51392087090340266</v>
      </c>
      <c r="W19" s="183">
        <f>U19/S19</f>
        <v>1.2645128213829822</v>
      </c>
      <c r="X19" s="176">
        <f>[1]Mērķi_apst_MK_120313!AT142</f>
        <v>93117.49</v>
      </c>
      <c r="Y19" s="173">
        <f>[1]Mērķi_apst_MK_120313!AU142</f>
        <v>8764801.9299999997</v>
      </c>
      <c r="Z19" s="177">
        <f>Y19-C19</f>
        <v>175157.1400000006</v>
      </c>
      <c r="AA19" s="174">
        <f>Z19/B19</f>
        <v>0.7644861158351578</v>
      </c>
      <c r="AB19" s="183">
        <f>Z19/X19</f>
        <v>1.8810337349084536</v>
      </c>
      <c r="AC19" s="172">
        <f>[1]Mērķi_apst_MK_120313!BA142</f>
        <v>93117.49</v>
      </c>
      <c r="AD19" s="173">
        <f>[1]Mērķi_apst_MK_120313!BB142</f>
        <v>8764801.9299999997</v>
      </c>
      <c r="AE19" s="177">
        <f>AD19-C19</f>
        <v>175157.1400000006</v>
      </c>
      <c r="AF19" s="174">
        <f>AE19/B19</f>
        <v>0.7644861158351578</v>
      </c>
      <c r="AG19" s="183">
        <f>AE19/AC19</f>
        <v>1.8810337349084536</v>
      </c>
      <c r="AH19" s="172">
        <f>[1]Mērķi_apst_MK_120313!BH142</f>
        <v>93117.49</v>
      </c>
      <c r="AI19" s="173">
        <f>[1]Mērķi_apst_MK_120313!BI142</f>
        <v>8764801.9299999997</v>
      </c>
      <c r="AJ19" s="173">
        <f t="shared" si="11"/>
        <v>175157.1400000006</v>
      </c>
      <c r="AK19" s="174">
        <f t="shared" si="34"/>
        <v>0.7644861158351578</v>
      </c>
      <c r="AL19" s="175">
        <f t="shared" si="12"/>
        <v>1.8810337349084536</v>
      </c>
      <c r="AM19" s="173">
        <f t="shared" si="10"/>
        <v>82039.650000000591</v>
      </c>
      <c r="AN19" s="180">
        <f>[1]Mērķi_apst_MK_120313!BO142</f>
        <v>93117.49</v>
      </c>
      <c r="AO19" s="173">
        <f>[1]Mērķi_apst_MK_120313!BP142</f>
        <v>8764801.9299999997</v>
      </c>
      <c r="AP19" s="173">
        <f t="shared" si="43"/>
        <v>175157.1400000006</v>
      </c>
      <c r="AQ19" s="174">
        <f t="shared" si="44"/>
        <v>0.7644861158351578</v>
      </c>
      <c r="AR19" s="175">
        <f t="shared" si="15"/>
        <v>1.8810337349084536</v>
      </c>
      <c r="AS19" s="173">
        <f>[1]Mērķi_apst_MK_120313!BV142</f>
        <v>127117.49</v>
      </c>
      <c r="AT19" s="173">
        <f>[1]Mērķi_apst_MK_120313!BW142</f>
        <v>8764801.9299999997</v>
      </c>
      <c r="AU19" s="173">
        <f t="shared" si="45"/>
        <v>175157.1400000006</v>
      </c>
      <c r="AV19" s="174">
        <f t="shared" si="46"/>
        <v>0.7644861158351578</v>
      </c>
      <c r="AW19" s="175">
        <f t="shared" si="18"/>
        <v>1.377915344300777</v>
      </c>
      <c r="AX19" s="173">
        <f>[1]Mērķi_apst_MK_120313!CC142</f>
        <v>161117.49</v>
      </c>
      <c r="AY19" s="173">
        <f>[1]Mērķi_apst_MK_120313!CD142</f>
        <v>8770651.8000000007</v>
      </c>
      <c r="AZ19" s="173">
        <f t="shared" si="19"/>
        <v>181007.01000000164</v>
      </c>
      <c r="BA19" s="174">
        <f t="shared" si="20"/>
        <v>0.79001830021794339</v>
      </c>
      <c r="BB19" s="175">
        <f t="shared" si="21"/>
        <v>1.1234473054415237</v>
      </c>
      <c r="BC19" s="173">
        <f>[1]Mērķi_apst_MK_120313!CK142</f>
        <v>8770651.8000000007</v>
      </c>
      <c r="BD19" s="173">
        <f t="shared" si="25"/>
        <v>181007.01000000164</v>
      </c>
      <c r="BE19" s="248">
        <f t="shared" si="22"/>
        <v>0.79001830021794339</v>
      </c>
      <c r="BF19" s="931" t="s">
        <v>1372</v>
      </c>
    </row>
    <row r="20" spans="1:58" ht="15">
      <c r="A20" s="169" t="s">
        <v>822</v>
      </c>
      <c r="B20" s="170">
        <f>[1]Mērķi_apst_MK_120313!CJ149</f>
        <v>58926214.816000007</v>
      </c>
      <c r="C20" s="171">
        <f>[1]Mērķi_apst_MK_120313!K149</f>
        <v>113607136.52</v>
      </c>
      <c r="D20" s="172">
        <f>[1]Mērķi_apst_MK_120313!R149</f>
        <v>4663297.3499999996</v>
      </c>
      <c r="E20" s="173">
        <f>[1]Mērķi_apst_MK_120313!S149</f>
        <v>114421394.29000001</v>
      </c>
      <c r="F20" s="173">
        <f t="shared" si="35"/>
        <v>814257.77000001073</v>
      </c>
      <c r="G20" s="174">
        <f t="shared" si="36"/>
        <v>1.3818260218182526E-2</v>
      </c>
      <c r="H20" s="183">
        <f t="shared" si="0"/>
        <v>0.17460987556369545</v>
      </c>
      <c r="I20" s="172">
        <f>[1]Mērķi_apst_MK_120313!Y149</f>
        <v>18058799.32</v>
      </c>
      <c r="J20" s="173">
        <f>[1]Mērķi_apst_MK_120313!Z149</f>
        <v>122356579.19</v>
      </c>
      <c r="K20" s="173">
        <f t="shared" si="37"/>
        <v>8749442.6700000018</v>
      </c>
      <c r="L20" s="174">
        <f t="shared" si="1"/>
        <v>0.14848132868063163</v>
      </c>
      <c r="M20" s="183">
        <f t="shared" si="2"/>
        <v>0.48449747488527944</v>
      </c>
      <c r="N20" s="172">
        <f>[1]Mērķi_apst_MK_120313!AF149</f>
        <v>18934317.990000002</v>
      </c>
      <c r="O20" s="173">
        <f>[1]Mērķi_apst_MK_120313!AG149</f>
        <v>130047067.81000002</v>
      </c>
      <c r="P20" s="173">
        <f t="shared" si="47"/>
        <v>16439931.290000021</v>
      </c>
      <c r="Q20" s="174">
        <f t="shared" si="38"/>
        <v>0.27899180935572582</v>
      </c>
      <c r="R20" s="183">
        <f t="shared" si="3"/>
        <v>0.86826107487381543</v>
      </c>
      <c r="S20" s="176">
        <f>[1]Mērķi_apst_MK_120313!AM149</f>
        <v>25618655.240000002</v>
      </c>
      <c r="T20" s="173">
        <f>[1]Mērķi_apst_MK_120313!AN149</f>
        <v>138584903.81</v>
      </c>
      <c r="U20" s="177">
        <f t="shared" si="30"/>
        <v>24977767.290000007</v>
      </c>
      <c r="V20" s="174">
        <f t="shared" si="39"/>
        <v>0.42388209336021854</v>
      </c>
      <c r="W20" s="183">
        <f t="shared" si="40"/>
        <v>0.97498354445242941</v>
      </c>
      <c r="X20" s="176">
        <f>[1]Mērķi_apst_MK_120313!AT149</f>
        <v>30317038.976</v>
      </c>
      <c r="Y20" s="173">
        <f>[1]Mērķi_apst_MK_120313!AU149</f>
        <v>144556639.28999999</v>
      </c>
      <c r="Z20" s="177">
        <f t="shared" si="41"/>
        <v>30949502.769999996</v>
      </c>
      <c r="AA20" s="174">
        <f t="shared" si="5"/>
        <v>0.52522468763081653</v>
      </c>
      <c r="AB20" s="183">
        <f t="shared" si="42"/>
        <v>1.0208616611437771</v>
      </c>
      <c r="AC20" s="172">
        <f>[1]Mērķi_apst_MK_120313!BA149</f>
        <v>32855097.205999997</v>
      </c>
      <c r="AD20" s="173">
        <f>[1]Mērķi_apst_MK_120313!BB149</f>
        <v>149333328.61000004</v>
      </c>
      <c r="AE20" s="177">
        <f t="shared" si="33"/>
        <v>35726192.090000048</v>
      </c>
      <c r="AF20" s="174">
        <f t="shared" si="7"/>
        <v>0.60628689966862515</v>
      </c>
      <c r="AG20" s="183">
        <f t="shared" si="8"/>
        <v>1.0873865892405801</v>
      </c>
      <c r="AH20" s="172">
        <f>[1]Mērķi_apst_MK_120313!BH149</f>
        <v>36989502.665999994</v>
      </c>
      <c r="AI20" s="173">
        <f>[1]Mērķi_apst_MK_120313!BI149</f>
        <v>151266118.43000001</v>
      </c>
      <c r="AJ20" s="173">
        <f t="shared" si="11"/>
        <v>37658981.910000011</v>
      </c>
      <c r="AK20" s="174">
        <f t="shared" si="34"/>
        <v>0.63908706893174838</v>
      </c>
      <c r="AL20" s="175">
        <f t="shared" si="12"/>
        <v>1.0180991685680432</v>
      </c>
      <c r="AM20" s="173">
        <f t="shared" si="10"/>
        <v>669479.24400001764</v>
      </c>
      <c r="AN20" s="180">
        <f>[1]Mērķi_apst_MK_120313!BO149</f>
        <v>43215518.176000006</v>
      </c>
      <c r="AO20" s="173">
        <f>[1]Mērķi_apst_MK_120313!BP149</f>
        <v>157118585.53</v>
      </c>
      <c r="AP20" s="173">
        <f t="shared" si="43"/>
        <v>43511449.010000005</v>
      </c>
      <c r="AQ20" s="174">
        <f t="shared" si="44"/>
        <v>0.7384056339927253</v>
      </c>
      <c r="AR20" s="175">
        <f t="shared" si="15"/>
        <v>1.006847790943864</v>
      </c>
      <c r="AS20" s="173">
        <f>[1]Mērķi_apst_MK_120313!BV149</f>
        <v>43258565.816000007</v>
      </c>
      <c r="AT20" s="173">
        <f>[1]Mērķi_apst_MK_120313!BW149</f>
        <v>164613558.43000004</v>
      </c>
      <c r="AU20" s="173">
        <f t="shared" si="45"/>
        <v>51006421.910000041</v>
      </c>
      <c r="AV20" s="174">
        <f t="shared" si="46"/>
        <v>0.86559813945745701</v>
      </c>
      <c r="AW20" s="175">
        <f t="shared" si="18"/>
        <v>1.1791057088428563</v>
      </c>
      <c r="AX20" s="173">
        <f>[1]Mērķi_apst_MK_120313!CC149</f>
        <v>48981144.816000007</v>
      </c>
      <c r="AY20" s="173">
        <f>[1]Mērķi_apst_MK_120313!CD149</f>
        <v>171448700.70000002</v>
      </c>
      <c r="AZ20" s="173">
        <f t="shared" si="19"/>
        <v>57841564.180000022</v>
      </c>
      <c r="BA20" s="174">
        <f t="shared" si="20"/>
        <v>0.98159307127758233</v>
      </c>
      <c r="BB20" s="175">
        <f t="shared" si="21"/>
        <v>1.1808944931214778</v>
      </c>
      <c r="BC20" s="173">
        <f>[1]Mērķi_apst_MK_120313!CK149</f>
        <v>178132438.28</v>
      </c>
      <c r="BD20" s="173">
        <f t="shared" si="25"/>
        <v>64525301.760000005</v>
      </c>
      <c r="BE20" s="174">
        <f t="shared" si="22"/>
        <v>1.0950186086359597</v>
      </c>
      <c r="BF20" s="374"/>
    </row>
    <row r="21" spans="1:58" ht="15">
      <c r="A21" s="181" t="s">
        <v>816</v>
      </c>
      <c r="B21" s="170">
        <f>[1]Mērķi_apst_MK_120313!CJ159</f>
        <v>78250995.230000004</v>
      </c>
      <c r="C21" s="171">
        <f>[1]Mērķi_apst_MK_120313!K159</f>
        <v>276114680.68999994</v>
      </c>
      <c r="D21" s="172">
        <f>[1]Mērķi_apst_MK_120313!R159</f>
        <v>9175497.1400000006</v>
      </c>
      <c r="E21" s="173">
        <f>[1]Mērķi_apst_MK_120313!S159</f>
        <v>282319657.76999998</v>
      </c>
      <c r="F21" s="173">
        <f t="shared" si="35"/>
        <v>6204977.0800000429</v>
      </c>
      <c r="G21" s="174">
        <f t="shared" si="36"/>
        <v>7.9295823161890822E-2</v>
      </c>
      <c r="H21" s="183">
        <f t="shared" si="0"/>
        <v>0.6762551374954755</v>
      </c>
      <c r="I21" s="172">
        <f>[1]Mērķi_apst_MK_120313!Y159</f>
        <v>14513740.254000003</v>
      </c>
      <c r="J21" s="173">
        <f>[1]Mērķi_apst_MK_120313!Z159</f>
        <v>285385186.44999999</v>
      </c>
      <c r="K21" s="173">
        <f t="shared" si="37"/>
        <v>9270505.7600000501</v>
      </c>
      <c r="L21" s="174">
        <f t="shared" si="1"/>
        <v>0.11847141027090614</v>
      </c>
      <c r="M21" s="183">
        <f t="shared" si="2"/>
        <v>0.63873995246987336</v>
      </c>
      <c r="N21" s="172">
        <f>[1]Mērķi_apst_MK_120313!AF159</f>
        <v>16054097.664000001</v>
      </c>
      <c r="O21" s="173">
        <f>[1]Mērķi_apst_MK_120313!AG159</f>
        <v>288129024.14999998</v>
      </c>
      <c r="P21" s="173">
        <f t="shared" si="47"/>
        <v>12014343.460000038</v>
      </c>
      <c r="Q21" s="174">
        <f t="shared" si="38"/>
        <v>0.15353598282918654</v>
      </c>
      <c r="R21" s="183">
        <f t="shared" si="3"/>
        <v>0.74836616242476328</v>
      </c>
      <c r="S21" s="176">
        <f>[1]Mērķi_apst_MK_120313!AM159</f>
        <v>21734450.524</v>
      </c>
      <c r="T21" s="173">
        <f>[1]Mērķi_apst_MK_120313!AN159</f>
        <v>296575063.34000003</v>
      </c>
      <c r="U21" s="177">
        <f t="shared" si="30"/>
        <v>20460382.650000095</v>
      </c>
      <c r="V21" s="174">
        <f t="shared" si="39"/>
        <v>0.26147121311188076</v>
      </c>
      <c r="W21" s="183">
        <f t="shared" si="40"/>
        <v>0.94138025837860351</v>
      </c>
      <c r="X21" s="176">
        <f>[1]Mērķi_apst_MK_120313!AT159</f>
        <v>25623616.643999998</v>
      </c>
      <c r="Y21" s="173">
        <f>[1]Mērķi_apst_MK_120313!AU159</f>
        <v>309029804.56000006</v>
      </c>
      <c r="Z21" s="177">
        <f t="shared" si="41"/>
        <v>32915123.870000124</v>
      </c>
      <c r="AA21" s="174">
        <f t="shared" si="5"/>
        <v>0.42063521075040672</v>
      </c>
      <c r="AB21" s="183">
        <f t="shared" si="42"/>
        <v>1.2845619854255625</v>
      </c>
      <c r="AC21" s="172">
        <f>[1]Mērķi_apst_MK_120313!BA159</f>
        <v>35417396.544000007</v>
      </c>
      <c r="AD21" s="173">
        <f>[1]Mērķi_apst_MK_120313!BB159</f>
        <v>312418708.47999996</v>
      </c>
      <c r="AE21" s="177">
        <f t="shared" si="33"/>
        <v>36304027.790000021</v>
      </c>
      <c r="AF21" s="174">
        <f t="shared" si="7"/>
        <v>0.46394333622585954</v>
      </c>
      <c r="AG21" s="183">
        <f t="shared" si="8"/>
        <v>1.0250337781010677</v>
      </c>
      <c r="AH21" s="172">
        <f>[1]Mērķi_apst_MK_120313!BH159</f>
        <v>41277611.174000002</v>
      </c>
      <c r="AI21" s="173">
        <f>[1]Mērķi_apst_MK_120313!BI159</f>
        <v>320606037.59000003</v>
      </c>
      <c r="AJ21" s="173">
        <f t="shared" si="11"/>
        <v>44491356.900000095</v>
      </c>
      <c r="AK21" s="174">
        <f t="shared" si="34"/>
        <v>0.56857240945279275</v>
      </c>
      <c r="AL21" s="175">
        <f t="shared" si="12"/>
        <v>1.07785687288087</v>
      </c>
      <c r="AM21" s="173">
        <f t="shared" si="10"/>
        <v>3213745.7260000929</v>
      </c>
      <c r="AN21" s="180">
        <f>[1]Mērķi_apst_MK_120313!BO159</f>
        <v>42910097.294</v>
      </c>
      <c r="AO21" s="173">
        <f>[1]Mērķi_apst_MK_120313!BP159</f>
        <v>328032460.27999997</v>
      </c>
      <c r="AP21" s="173">
        <f t="shared" si="43"/>
        <v>51917779.590000033</v>
      </c>
      <c r="AQ21" s="174">
        <f t="shared" si="44"/>
        <v>0.66347756264824731</v>
      </c>
      <c r="AR21" s="175">
        <f t="shared" si="15"/>
        <v>1.2099198758344356</v>
      </c>
      <c r="AS21" s="173">
        <f>[1]Mērķi_apst_MK_120313!BV159</f>
        <v>55935085.147999994</v>
      </c>
      <c r="AT21" s="173">
        <f>[1]Mērķi_apst_MK_120313!BW159</f>
        <v>335394894.16000003</v>
      </c>
      <c r="AU21" s="173">
        <f t="shared" si="45"/>
        <v>59280213.470000088</v>
      </c>
      <c r="AV21" s="174">
        <f t="shared" si="46"/>
        <v>0.75756497787357391</v>
      </c>
      <c r="AW21" s="175">
        <f t="shared" si="18"/>
        <v>1.0598037584666071</v>
      </c>
      <c r="AX21" s="173">
        <f>[1]Mērķi_apst_MK_120313!CC159</f>
        <v>69262793.928000003</v>
      </c>
      <c r="AY21" s="173">
        <f>[1]Mērķi_apst_MK_120313!CD159</f>
        <v>341081678.92000002</v>
      </c>
      <c r="AZ21" s="173">
        <f t="shared" si="19"/>
        <v>64966998.230000079</v>
      </c>
      <c r="BA21" s="174">
        <f t="shared" si="20"/>
        <v>0.8302386191900204</v>
      </c>
      <c r="BB21" s="175">
        <f t="shared" si="21"/>
        <v>0.93797830762551271</v>
      </c>
      <c r="BC21" s="173">
        <f>[1]Mērķi_apst_MK_120313!CK159</f>
        <v>353345278.23999995</v>
      </c>
      <c r="BD21" s="173">
        <f t="shared" si="25"/>
        <v>77230597.550000012</v>
      </c>
      <c r="BE21" s="174">
        <f t="shared" si="22"/>
        <v>0.98695993990874142</v>
      </c>
      <c r="BF21" s="374"/>
    </row>
    <row r="22" spans="1:58" ht="15">
      <c r="A22" s="169" t="s">
        <v>823</v>
      </c>
      <c r="B22" s="170">
        <f>[1]Mērķi_apst_MK_120313!CJ172</f>
        <v>22345855.609999999</v>
      </c>
      <c r="C22" s="171">
        <f>[1]Mērķi_apst_MK_120313!K172</f>
        <v>91451099.840000004</v>
      </c>
      <c r="D22" s="172">
        <f>[1]Mērķi_apst_MK_120313!R172</f>
        <v>2555898.0699999998</v>
      </c>
      <c r="E22" s="173">
        <f>[1]Mērķi_apst_MK_120313!S172</f>
        <v>94294642.560000002</v>
      </c>
      <c r="F22" s="173">
        <f t="shared" si="35"/>
        <v>2843542.7199999988</v>
      </c>
      <c r="G22" s="174">
        <f t="shared" si="36"/>
        <v>0.1272514585983221</v>
      </c>
      <c r="H22" s="183">
        <f t="shared" si="0"/>
        <v>1.1125415185277709</v>
      </c>
      <c r="I22" s="172">
        <f>[1]Mērķi_apst_MK_120313!Y172</f>
        <v>2988958.81</v>
      </c>
      <c r="J22" s="173">
        <f>[1]Mērķi_apst_MK_120313!Z172</f>
        <v>96115011.039999992</v>
      </c>
      <c r="K22" s="173">
        <f t="shared" si="37"/>
        <v>4663911.1999999881</v>
      </c>
      <c r="L22" s="174">
        <f t="shared" si="1"/>
        <v>0.2087148185953927</v>
      </c>
      <c r="M22" s="183">
        <f t="shared" si="2"/>
        <v>1.5603798835889571</v>
      </c>
      <c r="N22" s="172">
        <f>[1]Mērķi_apst_MK_120313!AF172</f>
        <v>5326700.0999999996</v>
      </c>
      <c r="O22" s="173">
        <f>[1]Mērķi_apst_MK_120313!AG172</f>
        <v>96572190.659999996</v>
      </c>
      <c r="P22" s="173">
        <f t="shared" si="47"/>
        <v>5121090.8199999928</v>
      </c>
      <c r="Q22" s="174">
        <f t="shared" si="38"/>
        <v>0.22917407636466836</v>
      </c>
      <c r="R22" s="183">
        <f t="shared" si="3"/>
        <v>0.96140025228752657</v>
      </c>
      <c r="S22" s="176">
        <f>[1]Mērķi_apst_MK_120313!AM172</f>
        <v>6657646.6199999992</v>
      </c>
      <c r="T22" s="173">
        <f>[1]Mērķi_apst_MK_120313!AN172</f>
        <v>99525669.780000001</v>
      </c>
      <c r="U22" s="177">
        <f t="shared" si="30"/>
        <v>8074569.9399999976</v>
      </c>
      <c r="V22" s="174">
        <f t="shared" si="39"/>
        <v>0.36134530182798391</v>
      </c>
      <c r="W22" s="183">
        <f t="shared" si="40"/>
        <v>1.2128264536816162</v>
      </c>
      <c r="X22" s="176">
        <f>[1]Mērķi_apst_MK_120313!AT172</f>
        <v>7977847.75</v>
      </c>
      <c r="Y22" s="173">
        <f>[1]Mērķi_apst_MK_120313!AU172</f>
        <v>100163959.87</v>
      </c>
      <c r="Z22" s="177">
        <f t="shared" si="41"/>
        <v>8712860.0300000012</v>
      </c>
      <c r="AA22" s="174">
        <f t="shared" si="5"/>
        <v>0.38990943922956822</v>
      </c>
      <c r="AB22" s="183">
        <f t="shared" si="42"/>
        <v>1.0921316504191247</v>
      </c>
      <c r="AC22" s="172">
        <f>[1]Mērķi_apst_MK_120313!BA172</f>
        <v>9307901</v>
      </c>
      <c r="AD22" s="173">
        <f>[1]Mērķi_apst_MK_120313!BB172</f>
        <v>101567240.78</v>
      </c>
      <c r="AE22" s="177">
        <f t="shared" si="33"/>
        <v>10116140.939999998</v>
      </c>
      <c r="AF22" s="174">
        <f t="shared" si="7"/>
        <v>0.45270770189139325</v>
      </c>
      <c r="AG22" s="183">
        <f t="shared" si="8"/>
        <v>1.0868337490912288</v>
      </c>
      <c r="AH22" s="172">
        <f>[1]Mērķi_apst_MK_120313!BH172</f>
        <v>11735832.91</v>
      </c>
      <c r="AI22" s="173">
        <f>[1]Mērķi_apst_MK_120313!BI172</f>
        <v>102628075.23</v>
      </c>
      <c r="AJ22" s="173">
        <f t="shared" si="11"/>
        <v>11176975.390000001</v>
      </c>
      <c r="AK22" s="187">
        <f t="shared" si="34"/>
        <v>0.50018113358784033</v>
      </c>
      <c r="AL22" s="175">
        <f t="shared" si="12"/>
        <v>0.9523802422643729</v>
      </c>
      <c r="AM22" s="179">
        <f t="shared" si="10"/>
        <v>-558857.51999999955</v>
      </c>
      <c r="AN22" s="180">
        <f>[1]Mērķi_apst_MK_120313!BO172</f>
        <v>12875135.489999998</v>
      </c>
      <c r="AO22" s="173">
        <f>[1]Mērķi_apst_MK_120313!BP172</f>
        <v>106597395.93000001</v>
      </c>
      <c r="AP22" s="173">
        <f t="shared" si="43"/>
        <v>15146296.090000004</v>
      </c>
      <c r="AQ22" s="174">
        <f t="shared" si="44"/>
        <v>0.67781231358274241</v>
      </c>
      <c r="AR22" s="175">
        <f t="shared" si="15"/>
        <v>1.1763989669672987</v>
      </c>
      <c r="AS22" s="173">
        <f>[1]Mērķi_apst_MK_120313!BV172</f>
        <v>14806603.279999999</v>
      </c>
      <c r="AT22" s="173">
        <f>[1]Mērķi_apst_MK_120313!BW172</f>
        <v>109333573.12000002</v>
      </c>
      <c r="AU22" s="173">
        <f t="shared" si="45"/>
        <v>17882473.280000016</v>
      </c>
      <c r="AV22" s="174">
        <f t="shared" si="46"/>
        <v>0.80025905439026579</v>
      </c>
      <c r="AW22" s="175">
        <f t="shared" si="18"/>
        <v>1.2077363688236817</v>
      </c>
      <c r="AX22" s="173">
        <f>[1]Mērķi_apst_MK_120313!CC172</f>
        <v>18890639.34</v>
      </c>
      <c r="AY22" s="173">
        <f>[1]Mērķi_apst_MK_120313!CD172</f>
        <v>110981353.04000001</v>
      </c>
      <c r="AZ22" s="173">
        <f t="shared" si="19"/>
        <v>19530253.200000003</v>
      </c>
      <c r="BA22" s="174">
        <f t="shared" si="20"/>
        <v>0.87399889898420424</v>
      </c>
      <c r="BB22" s="175">
        <f t="shared" si="21"/>
        <v>1.0338587725109787</v>
      </c>
      <c r="BC22" s="173">
        <f>[1]Mērķi_apst_MK_120313!CK172</f>
        <v>114426630.97000001</v>
      </c>
      <c r="BD22" s="173">
        <f t="shared" si="25"/>
        <v>22975531.13000001</v>
      </c>
      <c r="BE22" s="174">
        <f t="shared" si="22"/>
        <v>1.0281786265421953</v>
      </c>
      <c r="BF22" s="374"/>
    </row>
    <row r="23" spans="1:58" ht="29.25">
      <c r="A23" s="159" t="s">
        <v>824</v>
      </c>
      <c r="B23" s="160">
        <f>SUM(B24:B27)</f>
        <v>183225324.12256026</v>
      </c>
      <c r="C23" s="161">
        <f>SUM(C27:C27)</f>
        <v>271201334.31</v>
      </c>
      <c r="D23" s="162">
        <f>SUM(D24:D27)</f>
        <v>15347366.770000001</v>
      </c>
      <c r="E23" s="163">
        <f>SUM(E27:E27)</f>
        <v>272236674.06</v>
      </c>
      <c r="F23" s="163">
        <f>SUM(F27:F27)</f>
        <v>1035339.75</v>
      </c>
      <c r="G23" s="164">
        <f t="shared" si="36"/>
        <v>5.6506367499039407E-3</v>
      </c>
      <c r="H23" s="165">
        <f t="shared" si="0"/>
        <v>6.7460416207932972E-2</v>
      </c>
      <c r="I23" s="162">
        <f>SUM(I24:I27)</f>
        <v>20543604.509999998</v>
      </c>
      <c r="J23" s="163">
        <f t="shared" ref="J23:K23" si="48">SUM(J24:J27)</f>
        <v>550848783.20000005</v>
      </c>
      <c r="K23" s="163">
        <f t="shared" si="48"/>
        <v>14086046.430000007</v>
      </c>
      <c r="L23" s="164">
        <f t="shared" si="1"/>
        <v>7.6878272681224921E-2</v>
      </c>
      <c r="M23" s="165">
        <f t="shared" si="2"/>
        <v>0.68566577122059325</v>
      </c>
      <c r="N23" s="162">
        <f t="shared" ref="N23:P23" si="49">SUM(N24:N27)</f>
        <v>33969672.683021903</v>
      </c>
      <c r="O23" s="163">
        <f t="shared" si="49"/>
        <v>594854945.76999998</v>
      </c>
      <c r="P23" s="163">
        <f t="shared" si="49"/>
        <v>58092209</v>
      </c>
      <c r="Q23" s="164">
        <f t="shared" si="38"/>
        <v>0.31705338374045855</v>
      </c>
      <c r="R23" s="165">
        <f t="shared" si="3"/>
        <v>1.7101197748377064</v>
      </c>
      <c r="S23" s="162">
        <f t="shared" ref="S23:U23" si="50">SUM(S24:S27)</f>
        <v>48070683.883021906</v>
      </c>
      <c r="T23" s="163">
        <f t="shared" si="50"/>
        <v>599305714.35000002</v>
      </c>
      <c r="U23" s="163">
        <f t="shared" si="50"/>
        <v>62542977.580000028</v>
      </c>
      <c r="V23" s="164">
        <f t="shared" si="39"/>
        <v>0.34134461423118967</v>
      </c>
      <c r="W23" s="165">
        <f t="shared" si="40"/>
        <v>1.3010627793895313</v>
      </c>
      <c r="X23" s="162">
        <f t="shared" ref="X23:Z23" si="51">SUM(X24:X27)</f>
        <v>62106592.843021899</v>
      </c>
      <c r="Y23" s="163">
        <f t="shared" si="51"/>
        <v>596797687.13000011</v>
      </c>
      <c r="Z23" s="163">
        <f t="shared" si="51"/>
        <v>60034950.360000022</v>
      </c>
      <c r="AA23" s="164">
        <f t="shared" si="5"/>
        <v>0.32765640146905878</v>
      </c>
      <c r="AB23" s="165">
        <f t="shared" si="42"/>
        <v>0.96664375892816923</v>
      </c>
      <c r="AC23" s="162">
        <f t="shared" ref="AC23:AE23" si="52">SUM(AC24:AC27)</f>
        <v>81561490.244285271</v>
      </c>
      <c r="AD23" s="163">
        <f t="shared" si="52"/>
        <v>604864676.80000007</v>
      </c>
      <c r="AE23" s="163">
        <f t="shared" si="52"/>
        <v>68101940.030000031</v>
      </c>
      <c r="AF23" s="164">
        <v>0.36152249855563973</v>
      </c>
      <c r="AG23" s="165">
        <f t="shared" si="8"/>
        <v>0.83497665167749546</v>
      </c>
      <c r="AH23" s="162">
        <f t="shared" ref="AH23:AJ23" si="53">SUM(AH24:AH27)</f>
        <v>102845870.10428527</v>
      </c>
      <c r="AI23" s="163">
        <f t="shared" si="53"/>
        <v>616459131.43000007</v>
      </c>
      <c r="AJ23" s="163">
        <f t="shared" si="53"/>
        <v>79696394.660000026</v>
      </c>
      <c r="AK23" s="164">
        <f t="shared" si="34"/>
        <v>0.43496386234629192</v>
      </c>
      <c r="AL23" s="165">
        <f t="shared" si="12"/>
        <v>0.77491098650036438</v>
      </c>
      <c r="AM23" s="163">
        <f t="shared" si="10"/>
        <v>-23149475.444285244</v>
      </c>
      <c r="AN23" s="166">
        <f t="shared" ref="AN23:AP23" si="54">SUM(AN24:AN27)</f>
        <v>113414306.68428527</v>
      </c>
      <c r="AO23" s="163">
        <f t="shared" si="54"/>
        <v>626171240.11000001</v>
      </c>
      <c r="AP23" s="163">
        <f t="shared" si="54"/>
        <v>89408503.340000033</v>
      </c>
      <c r="AQ23" s="164">
        <f>AP23/B23</f>
        <v>0.48797022883252905</v>
      </c>
      <c r="AR23" s="165">
        <f>AP23/AN23</f>
        <v>0.7883353163625918</v>
      </c>
      <c r="AS23" s="163">
        <f t="shared" ref="AS23:AU23" si="55">SUM(AS24:AS27)</f>
        <v>147743902.24697363</v>
      </c>
      <c r="AT23" s="163">
        <f t="shared" si="55"/>
        <v>634703951.50999999</v>
      </c>
      <c r="AU23" s="163">
        <f t="shared" si="55"/>
        <v>97941214.73999998</v>
      </c>
      <c r="AV23" s="167">
        <f t="shared" si="46"/>
        <v>0.53453972702204988</v>
      </c>
      <c r="AW23" s="168">
        <f t="shared" si="18"/>
        <v>0.66291206100863764</v>
      </c>
      <c r="AX23" s="163">
        <f t="shared" ref="AX23:AZ23" si="56">SUM(AX24:AX27)</f>
        <v>176885821.74697363</v>
      </c>
      <c r="AY23" s="163">
        <f t="shared" si="56"/>
        <v>645922983.14999998</v>
      </c>
      <c r="AZ23" s="163">
        <f t="shared" si="56"/>
        <v>109160246.37999997</v>
      </c>
      <c r="BA23" s="164">
        <f>AZ23/B23</f>
        <v>0.59577051863738106</v>
      </c>
      <c r="BB23" s="165">
        <f>AZ23/AX23</f>
        <v>0.61712264613355083</v>
      </c>
      <c r="BC23" s="163">
        <f>SUM(BC24:BC27)</f>
        <v>684607145.4000001</v>
      </c>
      <c r="BD23" s="163">
        <f>SUM(BD24:BD27)</f>
        <v>147844408.63</v>
      </c>
      <c r="BE23" s="164">
        <f t="shared" si="22"/>
        <v>0.80689942472748033</v>
      </c>
      <c r="BF23" s="372"/>
    </row>
    <row r="24" spans="1:58" ht="15">
      <c r="A24" s="169" t="s">
        <v>812</v>
      </c>
      <c r="B24" s="170">
        <f>[1]Mērķi_apst_MK_120313!CJ179</f>
        <v>19096369.161399998</v>
      </c>
      <c r="C24" s="171">
        <f>[1]Mērķi_apst_MK_120313!K179</f>
        <v>22501090.289999999</v>
      </c>
      <c r="D24" s="172">
        <f>[1]Mērķi_apst_MK_120313!R179</f>
        <v>1641104.49</v>
      </c>
      <c r="E24" s="173">
        <f>[1]Mērķi_apst_MK_120313!S179</f>
        <v>23533365.84</v>
      </c>
      <c r="F24" s="173">
        <f>E24-C24</f>
        <v>1032275.5500000007</v>
      </c>
      <c r="G24" s="174">
        <f>F24/B24</f>
        <v>5.4056116179748294E-2</v>
      </c>
      <c r="H24" s="183">
        <f>F24/D24</f>
        <v>0.62901269010604</v>
      </c>
      <c r="I24" s="172">
        <f>[1]Mērķi_apst_MK_120313!Y179</f>
        <v>1985393</v>
      </c>
      <c r="J24" s="173">
        <f>[1]Mērķi_apst_MK_120313!Z179</f>
        <v>23684384.939999998</v>
      </c>
      <c r="K24" s="173">
        <f>J24-C24</f>
        <v>1183294.6499999985</v>
      </c>
      <c r="L24" s="174">
        <f>K24/B24</f>
        <v>6.1964378673189019E-2</v>
      </c>
      <c r="M24" s="183">
        <f>K24/I24</f>
        <v>0.59600021255237556</v>
      </c>
      <c r="N24" s="172">
        <f>[1]Mērķi_apst_MK_120313!AF179</f>
        <v>4715738</v>
      </c>
      <c r="O24" s="173">
        <f>[1]Mērķi_apst_MK_120313!AG179</f>
        <v>24299307.310000002</v>
      </c>
      <c r="P24" s="173">
        <f>O24-C24</f>
        <v>1798217.0200000033</v>
      </c>
      <c r="Q24" s="174">
        <f>P24/B24</f>
        <v>9.4165388446448103E-2</v>
      </c>
      <c r="R24" s="183">
        <f>P24/N24</f>
        <v>0.38132250349786251</v>
      </c>
      <c r="S24" s="176">
        <f>[1]Mērķi_apst_MK_120313!AM179</f>
        <v>6347969</v>
      </c>
      <c r="T24" s="173">
        <f>[1]Mērķi_apst_MK_120313!AN179</f>
        <v>25819538.369999997</v>
      </c>
      <c r="U24" s="177">
        <f>T24-C24</f>
        <v>3318448.0799999982</v>
      </c>
      <c r="V24" s="174">
        <f>U24/B24</f>
        <v>0.17377377091702156</v>
      </c>
      <c r="W24" s="183">
        <f>U24/S24</f>
        <v>0.52275744887853082</v>
      </c>
      <c r="X24" s="176">
        <f>[1]Mērķi_apst_MK_120313!AT179</f>
        <v>7291797</v>
      </c>
      <c r="Y24" s="173">
        <f>[1]Mērķi_apst_MK_120313!AU179</f>
        <v>28893935.809999999</v>
      </c>
      <c r="Z24" s="177">
        <f>Y24-C24</f>
        <v>6392845.5199999996</v>
      </c>
      <c r="AA24" s="174">
        <f>Z24/B24</f>
        <v>0.33476759199450484</v>
      </c>
      <c r="AB24" s="183">
        <f>Z24/X24</f>
        <v>0.87671742918789419</v>
      </c>
      <c r="AC24" s="172">
        <f>[1]Mērķi_apst_MK_120313!BA179</f>
        <v>12426351</v>
      </c>
      <c r="AD24" s="173">
        <f>[1]Mērķi_apst_MK_120313!BB179</f>
        <v>30438752.469999999</v>
      </c>
      <c r="AE24" s="177">
        <f>AD24-C24</f>
        <v>7937662.1799999997</v>
      </c>
      <c r="AF24" s="174">
        <f>AE24/B24</f>
        <v>0.41566342339278867</v>
      </c>
      <c r="AG24" s="184">
        <f>AE24/AC24</f>
        <v>0.63877659499558637</v>
      </c>
      <c r="AH24" s="172">
        <f>[1]Mērķi_apst_MK_120313!BH179</f>
        <v>13250239</v>
      </c>
      <c r="AI24" s="173">
        <f>[1]Mērķi_apst_MK_120313!BI179</f>
        <v>30438752.469999999</v>
      </c>
      <c r="AJ24" s="173">
        <f t="shared" si="11"/>
        <v>7937662.1799999997</v>
      </c>
      <c r="AK24" s="174">
        <f t="shared" si="34"/>
        <v>0.41566342339278867</v>
      </c>
      <c r="AL24" s="188">
        <f t="shared" si="12"/>
        <v>0.59905803812293501</v>
      </c>
      <c r="AM24" s="186">
        <f t="shared" si="10"/>
        <v>-5312576.82</v>
      </c>
      <c r="AN24" s="180">
        <f>[1]Mērķi_apst_MK_120313!BO179</f>
        <v>15468370</v>
      </c>
      <c r="AO24" s="173">
        <f>[1]Mērķi_apst_MK_120313!BP179</f>
        <v>31187600.969999999</v>
      </c>
      <c r="AP24" s="173">
        <f>AO24-C24</f>
        <v>8686510.6799999997</v>
      </c>
      <c r="AQ24" s="174">
        <f t="shared" si="44"/>
        <v>0.45487760561092822</v>
      </c>
      <c r="AR24" s="175">
        <f t="shared" si="15"/>
        <v>0.56156600081327246</v>
      </c>
      <c r="AS24" s="173">
        <f>[1]Mērķi_apst_MK_120313!BV179</f>
        <v>16916145</v>
      </c>
      <c r="AT24" s="173">
        <f>[1]Mērķi_apst_MK_120313!BW179</f>
        <v>32799809.409999996</v>
      </c>
      <c r="AU24" s="173">
        <f>AT24-C24</f>
        <v>10298719.119999997</v>
      </c>
      <c r="AV24" s="174">
        <f>AU24/B24</f>
        <v>0.53930247331084669</v>
      </c>
      <c r="AW24" s="175">
        <f t="shared" si="18"/>
        <v>0.60881005217205209</v>
      </c>
      <c r="AX24" s="173">
        <f>[1]Mērķi_apst_MK_120313!CC179</f>
        <v>17703963</v>
      </c>
      <c r="AY24" s="173">
        <f>[1]Mērķi_apst_MK_120313!CD179</f>
        <v>33470878.169999994</v>
      </c>
      <c r="AZ24" s="173">
        <f t="shared" si="19"/>
        <v>10969787.879999995</v>
      </c>
      <c r="BA24" s="174">
        <f t="shared" si="20"/>
        <v>0.57444364356830313</v>
      </c>
      <c r="BB24" s="366">
        <f t="shared" si="21"/>
        <v>0.6196232945132113</v>
      </c>
      <c r="BC24" s="173">
        <f>[1]Mērķi_apst_MK_120313!CK179</f>
        <v>34559461.57</v>
      </c>
      <c r="BD24" s="173">
        <f t="shared" si="25"/>
        <v>12058371.280000001</v>
      </c>
      <c r="BE24" s="248">
        <f t="shared" si="22"/>
        <v>0.63144837524265662</v>
      </c>
      <c r="BF24" s="373">
        <f>BD24-B24</f>
        <v>-7037997.8813999966</v>
      </c>
    </row>
    <row r="25" spans="1:58" ht="15">
      <c r="A25" s="169" t="s">
        <v>813</v>
      </c>
      <c r="B25" s="170">
        <f>[1]Mērķi_apst_MK_120313!CJ185</f>
        <v>804255.54</v>
      </c>
      <c r="C25" s="171">
        <f>[1]Mērķi_apst_MK_120313!K185</f>
        <v>2870628.5</v>
      </c>
      <c r="D25" s="172">
        <f>[1]Mērķi_apst_MK_120313!R185</f>
        <v>69381.48</v>
      </c>
      <c r="E25" s="173">
        <f>[1]Mērķi_apst_MK_120313!S185</f>
        <v>2954519.33</v>
      </c>
      <c r="F25" s="173">
        <f>E25-C25</f>
        <v>83890.830000000075</v>
      </c>
      <c r="G25" s="174">
        <f>F25/B25</f>
        <v>0.10430867532476068</v>
      </c>
      <c r="H25" s="183">
        <f>F25/D25</f>
        <v>1.2091242504483917</v>
      </c>
      <c r="I25" s="172">
        <f>[1]Mērķi_apst_MK_120313!Y185</f>
        <v>158226.18</v>
      </c>
      <c r="J25" s="173">
        <f>[1]Mērķi_apst_MK_120313!Z185</f>
        <v>3290678.54</v>
      </c>
      <c r="K25" s="173">
        <f>J25-C25</f>
        <v>420050.04000000004</v>
      </c>
      <c r="L25" s="174">
        <f>K25/B25</f>
        <v>0.52228429784891506</v>
      </c>
      <c r="M25" s="183">
        <f>K25/I25</f>
        <v>2.654744240175678</v>
      </c>
      <c r="N25" s="172">
        <f>[1]Mērķi_apst_MK_120313!AF185</f>
        <v>206127.38</v>
      </c>
      <c r="O25" s="173">
        <f>[1]Mērķi_apst_MK_120313!AG185</f>
        <v>3290678.54</v>
      </c>
      <c r="P25" s="173">
        <f>O25-C25</f>
        <v>420050.04000000004</v>
      </c>
      <c r="Q25" s="174">
        <f>P25/B25</f>
        <v>0.52228429784891506</v>
      </c>
      <c r="R25" s="183">
        <f>P25/N25</f>
        <v>2.0378177804423654</v>
      </c>
      <c r="S25" s="176">
        <f>[1]Mērķi_apst_MK_120313!AM185</f>
        <v>238558.63</v>
      </c>
      <c r="T25" s="173">
        <f>[1]Mērķi_apst_MK_120313!AN185</f>
        <v>3385224.5300000003</v>
      </c>
      <c r="U25" s="177">
        <f>T25-C25</f>
        <v>514596.03000000026</v>
      </c>
      <c r="V25" s="174">
        <f>U25/B25</f>
        <v>0.63984144890068184</v>
      </c>
      <c r="W25" s="183">
        <f>U25/S25</f>
        <v>2.1571050688880979</v>
      </c>
      <c r="X25" s="176">
        <f>[1]Mērķi_apst_MK_120313!AT185</f>
        <v>384936.03</v>
      </c>
      <c r="Y25" s="173">
        <f>[1]Mērķi_apst_MK_120313!AU185</f>
        <v>3553937.99</v>
      </c>
      <c r="Z25" s="177">
        <f>Y25-C25</f>
        <v>683309.49000000022</v>
      </c>
      <c r="AA25" s="174">
        <f>Z25/B25</f>
        <v>0.8496173865336385</v>
      </c>
      <c r="AB25" s="183">
        <f>Z25/X25</f>
        <v>1.7751247915140607</v>
      </c>
      <c r="AC25" s="172">
        <f>[1]Mērķi_apst_MK_120313!BA185</f>
        <v>384936.03</v>
      </c>
      <c r="AD25" s="173">
        <f>[1]Mērķi_apst_MK_120313!BB185</f>
        <v>3558079.69</v>
      </c>
      <c r="AE25" s="177">
        <f>AD25-C25</f>
        <v>687451.19</v>
      </c>
      <c r="AF25" s="174">
        <f>AE25/B25</f>
        <v>0.85476711792373838</v>
      </c>
      <c r="AG25" s="183">
        <f>AE25/AC25</f>
        <v>1.7858842415972334</v>
      </c>
      <c r="AH25" s="172">
        <f>[1]Mērķi_apst_MK_120313!BH185</f>
        <v>461618.51</v>
      </c>
      <c r="AI25" s="173">
        <f>[1]Mērķi_apst_MK_120313!BI185</f>
        <v>3667534.75</v>
      </c>
      <c r="AJ25" s="173">
        <f t="shared" si="11"/>
        <v>796906.25</v>
      </c>
      <c r="AK25" s="174">
        <f t="shared" si="34"/>
        <v>0.99086199642466866</v>
      </c>
      <c r="AL25" s="175">
        <f t="shared" si="12"/>
        <v>1.7263307963972241</v>
      </c>
      <c r="AM25" s="173">
        <f t="shared" si="10"/>
        <v>335287.74</v>
      </c>
      <c r="AN25" s="180">
        <f>[1]Mērķi_apst_MK_120313!BO185</f>
        <v>574621.77</v>
      </c>
      <c r="AO25" s="173">
        <f>[1]Mērķi_apst_MK_120313!BP185</f>
        <v>3733859.44</v>
      </c>
      <c r="AP25" s="173">
        <f t="shared" ref="AP25:AP27" si="57">AO25-C25</f>
        <v>863230.94</v>
      </c>
      <c r="AQ25" s="174">
        <f t="shared" si="44"/>
        <v>1.0733291809217751</v>
      </c>
      <c r="AR25" s="175">
        <f t="shared" si="15"/>
        <v>1.5022593731525347</v>
      </c>
      <c r="AS25" s="173">
        <f>[1]Mērķi_apst_MK_120313!BV185</f>
        <v>612592.55000000005</v>
      </c>
      <c r="AT25" s="173">
        <f>[1]Mērķi_apst_MK_120313!BW185</f>
        <v>3831816.17</v>
      </c>
      <c r="AU25" s="173">
        <f t="shared" ref="AU25:AU27" si="58">AT25-C25</f>
        <v>961187.66999999993</v>
      </c>
      <c r="AV25" s="174">
        <f t="shared" ref="AV25:AV28" si="59">AU25/B25</f>
        <v>1.1951271980047533</v>
      </c>
      <c r="AW25" s="175">
        <f t="shared" si="18"/>
        <v>1.5690489053449963</v>
      </c>
      <c r="AX25" s="173">
        <f>[1]Mērķi_apst_MK_120313!CC185</f>
        <v>654603.1</v>
      </c>
      <c r="AY25" s="173">
        <f>[1]Mērķi_apst_MK_120313!CD185</f>
        <v>3871877.85</v>
      </c>
      <c r="AZ25" s="173">
        <f t="shared" si="19"/>
        <v>1001249.3500000001</v>
      </c>
      <c r="BA25" s="174">
        <f t="shared" si="20"/>
        <v>1.2449393261251269</v>
      </c>
      <c r="BB25" s="175">
        <f t="shared" si="21"/>
        <v>1.5295518001671549</v>
      </c>
      <c r="BC25" s="173">
        <f>[1]Mērķi_apst_MK_120313!CK185</f>
        <v>4065113.55</v>
      </c>
      <c r="BD25" s="173">
        <f t="shared" si="25"/>
        <v>1194485.0499999998</v>
      </c>
      <c r="BE25" s="174">
        <f t="shared" si="22"/>
        <v>1.4852058712582816</v>
      </c>
      <c r="BF25" s="374"/>
    </row>
    <row r="26" spans="1:58" ht="15">
      <c r="A26" s="169" t="s">
        <v>822</v>
      </c>
      <c r="B26" s="170">
        <f>[1]Mērķi_apst_MK_120313!CJ187</f>
        <v>110661781</v>
      </c>
      <c r="C26" s="171">
        <f>[1]Mērķi_apst_MK_120313!K187</f>
        <v>240189683.67000002</v>
      </c>
      <c r="D26" s="172">
        <f>[1]Mērķi_apst_MK_120313!R187</f>
        <v>12354111</v>
      </c>
      <c r="E26" s="173">
        <f>[1]Mērķi_apst_MK_120313!S187</f>
        <v>263023342.5</v>
      </c>
      <c r="F26" s="173">
        <f>E26-C26</f>
        <v>22833658.829999983</v>
      </c>
      <c r="G26" s="174">
        <f>F26/B26</f>
        <v>0.20633735173663961</v>
      </c>
      <c r="H26" s="183">
        <f>F26/D26</f>
        <v>1.8482640175403948</v>
      </c>
      <c r="I26" s="172">
        <f>[1]Mērķi_apst_MK_120313!Y187</f>
        <v>15794480</v>
      </c>
      <c r="J26" s="173">
        <f>[1]Mērķi_apst_MK_120313!Z187</f>
        <v>248719261.74000001</v>
      </c>
      <c r="K26" s="173">
        <f>J26-C26</f>
        <v>8529578.0699999928</v>
      </c>
      <c r="L26" s="174">
        <f>K26/B26</f>
        <v>7.7077903436236883E-2</v>
      </c>
      <c r="M26" s="183">
        <f>K26/I26</f>
        <v>0.5400353838809504</v>
      </c>
      <c r="N26" s="172">
        <f>[1]Mērķi_apst_MK_120313!AF187</f>
        <v>23715841</v>
      </c>
      <c r="O26" s="173">
        <f>[1]Mērķi_apst_MK_120313!AG187</f>
        <v>291637793.38</v>
      </c>
      <c r="P26" s="173">
        <f>O26-C26</f>
        <v>51448109.709999979</v>
      </c>
      <c r="Q26" s="174">
        <f>P26/B26</f>
        <v>0.46491308241279777</v>
      </c>
      <c r="R26" s="183">
        <f>P26/N26</f>
        <v>2.169356326431771</v>
      </c>
      <c r="S26" s="176">
        <f>[1]Mērķi_apst_MK_120313!AM187</f>
        <v>28399908</v>
      </c>
      <c r="T26" s="173">
        <f>[1]Mērķi_apst_MK_120313!AN187</f>
        <v>292687381.98000002</v>
      </c>
      <c r="U26" s="177">
        <f>T26-C26</f>
        <v>52497698.310000002</v>
      </c>
      <c r="V26" s="174">
        <f>U26/B26</f>
        <v>0.47439773547472547</v>
      </c>
      <c r="W26" s="183">
        <f>U26/S26</f>
        <v>1.8485164920252559</v>
      </c>
      <c r="X26" s="176">
        <f>[1]Mērķi_apst_MK_120313!AT187</f>
        <v>36570272</v>
      </c>
      <c r="Y26" s="173">
        <f>[1]Mērķi_apst_MK_120313!AU187</f>
        <v>284716507.60000002</v>
      </c>
      <c r="Z26" s="177">
        <f>Y26-C26</f>
        <v>44526823.930000007</v>
      </c>
      <c r="AA26" s="174">
        <f>Z26/B26</f>
        <v>0.40236858224792177</v>
      </c>
      <c r="AB26" s="183">
        <f>Z26/X26</f>
        <v>1.2175688474507382</v>
      </c>
      <c r="AC26" s="172">
        <f>[1]Mērķi_apst_MK_120313!BA187</f>
        <v>44691079</v>
      </c>
      <c r="AD26" s="173">
        <f>[1]Mērķi_apst_MK_120313!BB187</f>
        <v>290459751.89000005</v>
      </c>
      <c r="AE26" s="177">
        <f>AD26-C26</f>
        <v>50270068.220000029</v>
      </c>
      <c r="AF26" s="174">
        <f>AE26/B26</f>
        <v>0.4542676592201243</v>
      </c>
      <c r="AG26" s="183">
        <f>AE26/AC26</f>
        <v>1.1248345160787017</v>
      </c>
      <c r="AH26" s="172">
        <f>[1]Mērķi_apst_MK_120313!BH187</f>
        <v>58578656</v>
      </c>
      <c r="AI26" s="173">
        <f>[1]Mērķi_apst_MK_120313!BI187</f>
        <v>300050315.48000002</v>
      </c>
      <c r="AJ26" s="173">
        <f t="shared" si="11"/>
        <v>59860631.810000002</v>
      </c>
      <c r="AK26" s="174">
        <f t="shared" si="34"/>
        <v>0.54093320448186177</v>
      </c>
      <c r="AL26" s="175">
        <f t="shared" si="12"/>
        <v>1.0218846914138831</v>
      </c>
      <c r="AM26" s="173">
        <f t="shared" si="10"/>
        <v>1281975.8100000024</v>
      </c>
      <c r="AN26" s="180">
        <f>[1]Mērķi_apst_MK_120313!BO187</f>
        <v>63770773</v>
      </c>
      <c r="AO26" s="173">
        <f>[1]Mērķi_apst_MK_120313!BP187</f>
        <v>306597696.70000005</v>
      </c>
      <c r="AP26" s="173">
        <f t="shared" si="57"/>
        <v>66408013.030000031</v>
      </c>
      <c r="AQ26" s="174">
        <f t="shared" si="44"/>
        <v>0.60009889981799613</v>
      </c>
      <c r="AR26" s="175">
        <f t="shared" si="15"/>
        <v>1.0413549954929986</v>
      </c>
      <c r="AS26" s="173">
        <f>[1]Mērķi_apst_MK_120313!BV187</f>
        <v>88609592</v>
      </c>
      <c r="AT26" s="173">
        <f>[1]Mērķi_apst_MK_120313!BW187</f>
        <v>309261164.50999999</v>
      </c>
      <c r="AU26" s="173">
        <f t="shared" si="58"/>
        <v>69071480.839999974</v>
      </c>
      <c r="AV26" s="174">
        <f t="shared" si="59"/>
        <v>0.62416744259700618</v>
      </c>
      <c r="AW26" s="175">
        <f t="shared" si="18"/>
        <v>0.77950342938042161</v>
      </c>
      <c r="AX26" s="173">
        <f>[1]Mērķi_apst_MK_120313!CC187</f>
        <v>109726874</v>
      </c>
      <c r="AY26" s="173">
        <f>[1]Mērķi_apst_MK_120313!CD187</f>
        <v>317462467.31999999</v>
      </c>
      <c r="AZ26" s="173">
        <f t="shared" si="19"/>
        <v>77272783.649999976</v>
      </c>
      <c r="BA26" s="174">
        <f t="shared" si="20"/>
        <v>0.69827887235973529</v>
      </c>
      <c r="BB26" s="366">
        <f t="shared" si="21"/>
        <v>0.70422842493444204</v>
      </c>
      <c r="BC26" s="173">
        <f>[1]Mērķi_apst_MK_120313!CK187</f>
        <v>343658124.27000004</v>
      </c>
      <c r="BD26" s="173">
        <f t="shared" si="25"/>
        <v>103468440.60000002</v>
      </c>
      <c r="BE26" s="174">
        <f t="shared" si="22"/>
        <v>0.93499706642169467</v>
      </c>
      <c r="BF26" s="374"/>
    </row>
    <row r="27" spans="1:58" ht="15">
      <c r="A27" s="181" t="s">
        <v>816</v>
      </c>
      <c r="B27" s="170">
        <f>[1]Mērķi_apst_MK_120313!CJ194</f>
        <v>52662918.421160258</v>
      </c>
      <c r="C27" s="171">
        <f>[1]Mērķi_apst_MK_120313!K194</f>
        <v>271201334.31</v>
      </c>
      <c r="D27" s="172">
        <f>[1]Mērķi_apst_MK_120313!R194</f>
        <v>1282769.8</v>
      </c>
      <c r="E27" s="173">
        <f>[1]Mērķi_apst_MK_120313!S194</f>
        <v>272236674.06</v>
      </c>
      <c r="F27" s="173">
        <f>E27-C27</f>
        <v>1035339.75</v>
      </c>
      <c r="G27" s="174">
        <f t="shared" si="36"/>
        <v>1.9659748852505574E-2</v>
      </c>
      <c r="H27" s="183">
        <f t="shared" si="0"/>
        <v>0.80711266355038913</v>
      </c>
      <c r="I27" s="172">
        <f>[1]Mērķi_apst_MK_120313!Y194</f>
        <v>2605505.33</v>
      </c>
      <c r="J27" s="173">
        <f>[1]Mērķi_apst_MK_120313!Z194</f>
        <v>275154457.98000002</v>
      </c>
      <c r="K27" s="173">
        <f>J27-C27</f>
        <v>3953123.6700000167</v>
      </c>
      <c r="L27" s="174">
        <f t="shared" si="1"/>
        <v>7.5064652482526098E-2</v>
      </c>
      <c r="M27" s="183">
        <f t="shared" si="2"/>
        <v>1.5172195675377937</v>
      </c>
      <c r="N27" s="172">
        <f>[1]Mērķi_apst_MK_120313!AF194</f>
        <v>5331966.3030219059</v>
      </c>
      <c r="O27" s="173">
        <f>[1]Mērķi_apst_MK_120313!AG194</f>
        <v>275627166.54000002</v>
      </c>
      <c r="P27" s="173">
        <f>O27-C27</f>
        <v>4425832.2300000191</v>
      </c>
      <c r="Q27" s="174">
        <f t="shared" si="38"/>
        <v>8.4040770293157444E-2</v>
      </c>
      <c r="R27" s="183">
        <f t="shared" si="3"/>
        <v>0.83005630164835564</v>
      </c>
      <c r="S27" s="176">
        <f>[1]Mērķi_apst_MK_120313!AM194</f>
        <v>13084248.253021905</v>
      </c>
      <c r="T27" s="173">
        <f>[1]Mērķi_apst_MK_120313!AN194</f>
        <v>277413569.47000003</v>
      </c>
      <c r="U27" s="177">
        <f t="shared" si="30"/>
        <v>6212235.1600000262</v>
      </c>
      <c r="V27" s="174">
        <f t="shared" si="39"/>
        <v>0.11796222743143522</v>
      </c>
      <c r="W27" s="183">
        <f t="shared" si="40"/>
        <v>0.47478731982674388</v>
      </c>
      <c r="X27" s="176">
        <f>[1]Mērķi_apst_MK_120313!AT194</f>
        <v>17859587.813021902</v>
      </c>
      <c r="Y27" s="173">
        <f>[1]Mērķi_apst_MK_120313!AU194</f>
        <v>279633305.73000002</v>
      </c>
      <c r="Z27" s="177">
        <f>Y27-C27</f>
        <v>8431971.4200000167</v>
      </c>
      <c r="AA27" s="174">
        <f t="shared" si="5"/>
        <v>0.16011211821887947</v>
      </c>
      <c r="AB27" s="183">
        <f t="shared" si="42"/>
        <v>0.47212575722783712</v>
      </c>
      <c r="AC27" s="172">
        <f>[1]Mērķi_apst_MK_120313!BA194</f>
        <v>24059124.214285269</v>
      </c>
      <c r="AD27" s="173">
        <f>[1]Mērķi_apst_MK_120313!BB194</f>
        <v>280408092.75</v>
      </c>
      <c r="AE27" s="177">
        <f t="shared" si="33"/>
        <v>9206758.4399999976</v>
      </c>
      <c r="AF27" s="174">
        <f t="shared" si="7"/>
        <v>0.1748243112235244</v>
      </c>
      <c r="AG27" s="184">
        <f t="shared" si="8"/>
        <v>0.38267221857283656</v>
      </c>
      <c r="AH27" s="172">
        <f>[1]Mērķi_apst_MK_120313!BH194</f>
        <v>30555356.594285272</v>
      </c>
      <c r="AI27" s="173">
        <f>[1]Mērķi_apst_MK_120313!BI194</f>
        <v>282302528.73000002</v>
      </c>
      <c r="AJ27" s="173">
        <f t="shared" si="11"/>
        <v>11101194.420000017</v>
      </c>
      <c r="AK27" s="174">
        <f t="shared" si="34"/>
        <v>0.21079717480183349</v>
      </c>
      <c r="AL27" s="188">
        <f t="shared" si="12"/>
        <v>0.36331418308750024</v>
      </c>
      <c r="AM27" s="186">
        <f t="shared" si="10"/>
        <v>-19454162.174285255</v>
      </c>
      <c r="AN27" s="180">
        <f>[1]Mērķi_apst_MK_120313!BO194</f>
        <v>33600541.914285272</v>
      </c>
      <c r="AO27" s="173">
        <f>[1]Mērķi_apst_MK_120313!BP194</f>
        <v>284652083</v>
      </c>
      <c r="AP27" s="173">
        <f t="shared" si="57"/>
        <v>13450748.689999998</v>
      </c>
      <c r="AQ27" s="174">
        <f t="shared" si="44"/>
        <v>0.25541213995074397</v>
      </c>
      <c r="AR27" s="175">
        <f t="shared" si="15"/>
        <v>0.4003134450721883</v>
      </c>
      <c r="AS27" s="173">
        <f>[1]Mērķi_apst_MK_120313!BV194</f>
        <v>41605572.696973652</v>
      </c>
      <c r="AT27" s="173">
        <f>[1]Mērķi_apst_MK_120313!BW194</f>
        <v>288811161.42000002</v>
      </c>
      <c r="AU27" s="173">
        <f t="shared" si="58"/>
        <v>17609827.110000014</v>
      </c>
      <c r="AV27" s="174">
        <f t="shared" si="59"/>
        <v>0.33438760399052031</v>
      </c>
      <c r="AW27" s="175">
        <f t="shared" si="18"/>
        <v>0.42325645264536726</v>
      </c>
      <c r="AX27" s="173">
        <f>[1]Mērķi_apst_MK_120313!CC194</f>
        <v>48800381.646973655</v>
      </c>
      <c r="AY27" s="173">
        <f>[1]Mērķi_apst_MK_120313!CD194</f>
        <v>291117759.81</v>
      </c>
      <c r="AZ27" s="173">
        <f t="shared" si="19"/>
        <v>19916425.5</v>
      </c>
      <c r="BA27" s="174">
        <f t="shared" si="20"/>
        <v>0.37818689311372206</v>
      </c>
      <c r="BB27" s="366">
        <f t="shared" si="21"/>
        <v>0.40812028160101721</v>
      </c>
      <c r="BC27" s="173">
        <f>[1]Mērķi_apst_MK_120313!CK194</f>
        <v>302324446.00999999</v>
      </c>
      <c r="BD27" s="173">
        <f t="shared" si="25"/>
        <v>31123111.699999988</v>
      </c>
      <c r="BE27" s="248">
        <f t="shared" si="22"/>
        <v>0.59098721895926198</v>
      </c>
      <c r="BF27" s="373">
        <f>BD27-B27</f>
        <v>-21539806.72116027</v>
      </c>
    </row>
    <row r="28" spans="1:58" thickBot="1">
      <c r="A28" s="189" t="s">
        <v>825</v>
      </c>
      <c r="B28" s="190">
        <f>B6+B14+B23</f>
        <v>493606219.01186031</v>
      </c>
      <c r="C28" s="191">
        <f>C6+C14+C23</f>
        <v>1467511974.9741361</v>
      </c>
      <c r="D28" s="192">
        <f>D6+D14+D23</f>
        <v>53249404.487500004</v>
      </c>
      <c r="E28" s="193">
        <f>E6+E14+E23</f>
        <v>1524660102.6199999</v>
      </c>
      <c r="F28" s="193">
        <f>F6+F14+F23</f>
        <v>57148127.645864025</v>
      </c>
      <c r="G28" s="194">
        <f t="shared" si="36"/>
        <v>0.11577675775695784</v>
      </c>
      <c r="H28" s="195">
        <f t="shared" si="0"/>
        <v>1.0732162771750664</v>
      </c>
      <c r="I28" s="192">
        <f>I6+I14+I23</f>
        <v>87051936.116500005</v>
      </c>
      <c r="J28" s="193">
        <f>J6+J14+J23</f>
        <v>1824435617.6700001</v>
      </c>
      <c r="K28" s="193">
        <f>K6+K14+K23</f>
        <v>93051171.27586402</v>
      </c>
      <c r="L28" s="194">
        <f t="shared" si="1"/>
        <v>0.18851296375913001</v>
      </c>
      <c r="M28" s="195">
        <f t="shared" si="2"/>
        <v>1.0689155856491848</v>
      </c>
      <c r="N28" s="192">
        <f>N6+N14+N23</f>
        <v>117396325.24902192</v>
      </c>
      <c r="O28" s="193">
        <f>O6+O14+O23</f>
        <v>1892310933.9199998</v>
      </c>
      <c r="P28" s="193">
        <f>P6+P14+P23</f>
        <v>161598411.80586404</v>
      </c>
      <c r="Q28" s="194">
        <f t="shared" si="38"/>
        <v>0.32738325730450568</v>
      </c>
      <c r="R28" s="195">
        <f t="shared" si="3"/>
        <v>1.3765201888822358</v>
      </c>
      <c r="S28" s="192">
        <f>S6+S14+S23</f>
        <v>161757426.2135219</v>
      </c>
      <c r="T28" s="193">
        <f>T6+T14+T23</f>
        <v>1928457615.4900002</v>
      </c>
      <c r="U28" s="193">
        <f>U6+U14+U23</f>
        <v>198124082.22586417</v>
      </c>
      <c r="V28" s="194">
        <f t="shared" si="39"/>
        <v>0.40138084690765147</v>
      </c>
      <c r="W28" s="195">
        <f t="shared" si="40"/>
        <v>1.22482217270407</v>
      </c>
      <c r="X28" s="192">
        <f>X6+X14+X23</f>
        <v>199036797.86302188</v>
      </c>
      <c r="Y28" s="193">
        <f>Y6+Y14+Y23</f>
        <v>1958548270.7028162</v>
      </c>
      <c r="Z28" s="193">
        <f>Z6+Z14+Z23</f>
        <v>228690003.31868014</v>
      </c>
      <c r="AA28" s="194">
        <f t="shared" si="5"/>
        <v>0.46330454218443551</v>
      </c>
      <c r="AB28" s="195">
        <f t="shared" si="42"/>
        <v>1.1489835335678267</v>
      </c>
      <c r="AC28" s="192">
        <f>AC6+AC14+AC23</f>
        <v>244824054.23478526</v>
      </c>
      <c r="AD28" s="193">
        <f>AD6+AD14+AD23</f>
        <v>1960925240.314136</v>
      </c>
      <c r="AE28" s="193">
        <f>AE6+AE14+AE23</f>
        <v>231733645.85000008</v>
      </c>
      <c r="AF28" s="194">
        <f t="shared" si="7"/>
        <v>0.46947067707919621</v>
      </c>
      <c r="AG28" s="195">
        <f t="shared" si="8"/>
        <v>0.9465313634083049</v>
      </c>
      <c r="AH28" s="192">
        <f>AH6+AH14+AH23</f>
        <v>288910912.19528526</v>
      </c>
      <c r="AI28" s="193">
        <f t="shared" ref="AI28:AJ28" si="60">AI6+AI14+AI23</f>
        <v>1990284395.814136</v>
      </c>
      <c r="AJ28" s="193">
        <f t="shared" si="60"/>
        <v>261648340.37000006</v>
      </c>
      <c r="AK28" s="194">
        <f t="shared" si="34"/>
        <v>0.53007504827185581</v>
      </c>
      <c r="AL28" s="195">
        <f>AJ28/AH28</f>
        <v>0.90563675280337819</v>
      </c>
      <c r="AM28" s="193">
        <f t="shared" si="10"/>
        <v>-27262571.825285196</v>
      </c>
      <c r="AN28" s="196">
        <f>AN6+AN14+AN23</f>
        <v>321755094.23578531</v>
      </c>
      <c r="AO28" s="193">
        <f>AO23+AO14+AO6</f>
        <v>2072697897.5641358</v>
      </c>
      <c r="AP28" s="193">
        <f>AP23+AP14+AP6</f>
        <v>308438520.45000005</v>
      </c>
      <c r="AQ28" s="194">
        <f>AP28/B28</f>
        <v>0.62486757372598845</v>
      </c>
      <c r="AR28" s="195">
        <f>AP28/AN28</f>
        <v>0.95861270256679532</v>
      </c>
      <c r="AS28" s="193">
        <f>AS6+AS14+AS23</f>
        <v>381621720.80447364</v>
      </c>
      <c r="AT28" s="193">
        <f>AT23+AT14+AT6</f>
        <v>2109543136.4741361</v>
      </c>
      <c r="AU28" s="193">
        <f>AU23+AU14+AU6</f>
        <v>345283759.36000019</v>
      </c>
      <c r="AV28" s="197">
        <f t="shared" si="59"/>
        <v>0.69951257917944454</v>
      </c>
      <c r="AW28" s="198">
        <f t="shared" si="18"/>
        <v>0.90478015410686896</v>
      </c>
      <c r="AX28" s="193">
        <f>AX6+AX14+AX23</f>
        <v>446537430.53597367</v>
      </c>
      <c r="AY28" s="193">
        <f>AY6+AY14+AY23</f>
        <v>2144915015.9441361</v>
      </c>
      <c r="AZ28" s="193">
        <f>AZ6+AZ14+AZ23</f>
        <v>380655638.83000004</v>
      </c>
      <c r="BA28" s="194">
        <f>AZ28/B28</f>
        <v>0.77117269630845897</v>
      </c>
      <c r="BB28" s="195">
        <f>AZ28/AX28</f>
        <v>0.85246076319537989</v>
      </c>
      <c r="BC28" s="193">
        <f>BC23+BC14+BC6</f>
        <v>2225670753.0941362</v>
      </c>
      <c r="BD28" s="193">
        <f>BD23+BD14+BD6</f>
        <v>461411375.98000002</v>
      </c>
      <c r="BE28" s="194">
        <f t="shared" si="22"/>
        <v>0.93477626133578617</v>
      </c>
      <c r="BF28" s="375"/>
    </row>
    <row r="29" spans="1:58" s="205" customFormat="1" thickBot="1">
      <c r="A29" s="199"/>
      <c r="B29" s="200"/>
      <c r="C29" s="201"/>
      <c r="D29" s="201"/>
      <c r="E29" s="200"/>
      <c r="F29" s="200"/>
      <c r="G29" s="202"/>
      <c r="H29" s="201"/>
      <c r="I29" s="201"/>
      <c r="J29" s="200"/>
      <c r="K29" s="200"/>
      <c r="L29" s="202"/>
      <c r="M29" s="201"/>
      <c r="N29" s="201"/>
      <c r="O29" s="200"/>
      <c r="P29" s="200"/>
      <c r="Q29" s="202"/>
      <c r="R29" s="201"/>
      <c r="S29" s="203"/>
      <c r="T29" s="200"/>
      <c r="U29" s="204"/>
      <c r="V29" s="202"/>
      <c r="W29" s="201"/>
      <c r="X29" s="203"/>
      <c r="Y29" s="200"/>
      <c r="Z29" s="204"/>
      <c r="AA29" s="202"/>
      <c r="AB29" s="201"/>
      <c r="AC29" s="201"/>
      <c r="AD29" s="200"/>
      <c r="AE29" s="200"/>
      <c r="AF29" s="202"/>
      <c r="AG29" s="201"/>
      <c r="AH29" s="201"/>
      <c r="AI29" s="200"/>
      <c r="AJ29" s="200"/>
      <c r="AK29" s="202"/>
      <c r="AL29" s="201"/>
      <c r="AM29" s="201"/>
      <c r="AN29" s="201"/>
      <c r="AO29" s="200"/>
      <c r="AP29" s="200"/>
      <c r="AQ29" s="202"/>
      <c r="AR29" s="201"/>
      <c r="AS29" s="201"/>
      <c r="AT29" s="200"/>
      <c r="AU29" s="200"/>
      <c r="AV29" s="202"/>
      <c r="AW29" s="201"/>
      <c r="AX29" s="201"/>
      <c r="AY29" s="200"/>
      <c r="AZ29" s="200"/>
      <c r="BA29" s="202"/>
      <c r="BB29" s="201"/>
      <c r="BC29" s="200"/>
      <c r="BD29" s="200"/>
      <c r="BE29" s="202"/>
      <c r="BF29" s="200"/>
    </row>
    <row r="30" spans="1:58" s="205" customFormat="1" ht="137.25" customHeight="1">
      <c r="A30" s="206" t="s">
        <v>826</v>
      </c>
      <c r="B30" s="126" t="s">
        <v>752</v>
      </c>
      <c r="C30" s="207" t="s">
        <v>753</v>
      </c>
      <c r="D30" s="208" t="s">
        <v>754</v>
      </c>
      <c r="E30" s="129" t="s">
        <v>755</v>
      </c>
      <c r="F30" s="129" t="s">
        <v>756</v>
      </c>
      <c r="G30" s="130" t="s">
        <v>757</v>
      </c>
      <c r="H30" s="130" t="s">
        <v>758</v>
      </c>
      <c r="I30" s="208" t="s">
        <v>759</v>
      </c>
      <c r="J30" s="129" t="s">
        <v>760</v>
      </c>
      <c r="K30" s="129" t="s">
        <v>761</v>
      </c>
      <c r="L30" s="130" t="s">
        <v>762</v>
      </c>
      <c r="M30" s="130" t="s">
        <v>763</v>
      </c>
      <c r="N30" s="208" t="s">
        <v>764</v>
      </c>
      <c r="O30" s="129" t="s">
        <v>765</v>
      </c>
      <c r="P30" s="129" t="s">
        <v>766</v>
      </c>
      <c r="Q30" s="130" t="s">
        <v>762</v>
      </c>
      <c r="R30" s="130" t="s">
        <v>767</v>
      </c>
      <c r="S30" s="209" t="s">
        <v>768</v>
      </c>
      <c r="T30" s="129" t="s">
        <v>769</v>
      </c>
      <c r="U30" s="133" t="s">
        <v>770</v>
      </c>
      <c r="V30" s="130" t="s">
        <v>762</v>
      </c>
      <c r="W30" s="130" t="s">
        <v>771</v>
      </c>
      <c r="X30" s="210" t="s">
        <v>772</v>
      </c>
      <c r="Y30" s="129" t="s">
        <v>773</v>
      </c>
      <c r="Z30" s="133" t="s">
        <v>774</v>
      </c>
      <c r="AA30" s="130" t="s">
        <v>762</v>
      </c>
      <c r="AB30" s="211" t="s">
        <v>775</v>
      </c>
      <c r="AC30" s="134" t="s">
        <v>776</v>
      </c>
      <c r="AD30" s="129" t="s">
        <v>777</v>
      </c>
      <c r="AE30" s="129" t="s">
        <v>778</v>
      </c>
      <c r="AF30" s="130" t="s">
        <v>762</v>
      </c>
      <c r="AG30" s="131" t="s">
        <v>779</v>
      </c>
      <c r="AH30" s="134" t="s">
        <v>780</v>
      </c>
      <c r="AI30" s="129" t="s">
        <v>781</v>
      </c>
      <c r="AJ30" s="129" t="s">
        <v>782</v>
      </c>
      <c r="AK30" s="130" t="s">
        <v>762</v>
      </c>
      <c r="AL30" s="131" t="s">
        <v>783</v>
      </c>
      <c r="AM30" s="135" t="s">
        <v>784</v>
      </c>
      <c r="AN30" s="136" t="s">
        <v>785</v>
      </c>
      <c r="AO30" s="129" t="s">
        <v>786</v>
      </c>
      <c r="AP30" s="129" t="s">
        <v>787</v>
      </c>
      <c r="AQ30" s="130" t="s">
        <v>762</v>
      </c>
      <c r="AR30" s="130" t="s">
        <v>788</v>
      </c>
      <c r="AS30" s="131" t="s">
        <v>789</v>
      </c>
      <c r="AT30" s="129" t="s">
        <v>790</v>
      </c>
      <c r="AU30" s="129" t="s">
        <v>791</v>
      </c>
      <c r="AV30" s="130" t="s">
        <v>762</v>
      </c>
      <c r="AW30" s="130" t="s">
        <v>792</v>
      </c>
      <c r="AX30" s="131" t="s">
        <v>793</v>
      </c>
      <c r="AY30" s="129" t="s">
        <v>794</v>
      </c>
      <c r="AZ30" s="129" t="s">
        <v>795</v>
      </c>
      <c r="BA30" s="130" t="s">
        <v>762</v>
      </c>
      <c r="BB30" s="130" t="s">
        <v>796</v>
      </c>
      <c r="BC30" s="129" t="s">
        <v>797</v>
      </c>
      <c r="BD30" s="129" t="s">
        <v>798</v>
      </c>
      <c r="BE30" s="130" t="s">
        <v>762</v>
      </c>
      <c r="BF30" s="208"/>
    </row>
    <row r="31" spans="1:58" ht="16.5" customHeight="1">
      <c r="A31" s="137">
        <v>1</v>
      </c>
      <c r="B31" s="915">
        <v>2</v>
      </c>
      <c r="C31" s="212">
        <v>2.1</v>
      </c>
      <c r="D31" s="914">
        <v>3</v>
      </c>
      <c r="E31" s="139"/>
      <c r="F31" s="914">
        <v>4</v>
      </c>
      <c r="G31" s="914"/>
      <c r="H31" s="914" t="s">
        <v>799</v>
      </c>
      <c r="I31" s="914">
        <v>6</v>
      </c>
      <c r="J31" s="914"/>
      <c r="K31" s="914">
        <v>7</v>
      </c>
      <c r="L31" s="914"/>
      <c r="M31" s="914" t="s">
        <v>800</v>
      </c>
      <c r="N31" s="914">
        <v>9</v>
      </c>
      <c r="O31" s="914"/>
      <c r="P31" s="914">
        <v>10</v>
      </c>
      <c r="Q31" s="914"/>
      <c r="R31" s="914" t="s">
        <v>801</v>
      </c>
      <c r="S31" s="141">
        <v>12</v>
      </c>
      <c r="T31" s="914"/>
      <c r="U31" s="141">
        <v>13</v>
      </c>
      <c r="V31" s="914"/>
      <c r="W31" s="914" t="s">
        <v>802</v>
      </c>
      <c r="X31" s="141">
        <v>15</v>
      </c>
      <c r="Y31" s="914"/>
      <c r="Z31" s="141">
        <v>16</v>
      </c>
      <c r="AA31" s="914"/>
      <c r="AB31" s="912" t="s">
        <v>803</v>
      </c>
      <c r="AC31" s="913">
        <v>3</v>
      </c>
      <c r="AD31" s="914"/>
      <c r="AE31" s="914">
        <v>4</v>
      </c>
      <c r="AF31" s="914">
        <v>5</v>
      </c>
      <c r="AG31" s="915">
        <v>6</v>
      </c>
      <c r="AH31" s="913">
        <v>7</v>
      </c>
      <c r="AI31" s="914"/>
      <c r="AJ31" s="914">
        <v>8</v>
      </c>
      <c r="AK31" s="914">
        <v>9</v>
      </c>
      <c r="AL31" s="915">
        <v>10</v>
      </c>
      <c r="AM31" s="213">
        <v>11</v>
      </c>
      <c r="AN31" s="143">
        <v>24</v>
      </c>
      <c r="AO31" s="144"/>
      <c r="AP31" s="144">
        <v>25</v>
      </c>
      <c r="AQ31" s="144"/>
      <c r="AR31" s="144" t="s">
        <v>804</v>
      </c>
      <c r="AS31" s="144">
        <v>27</v>
      </c>
      <c r="AT31" s="144"/>
      <c r="AU31" s="144">
        <v>28</v>
      </c>
      <c r="AV31" s="144"/>
      <c r="AW31" s="144" t="s">
        <v>805</v>
      </c>
      <c r="AX31" s="144">
        <v>30</v>
      </c>
      <c r="AY31" s="144"/>
      <c r="AZ31" s="144">
        <v>31</v>
      </c>
      <c r="BA31" s="144"/>
      <c r="BB31" s="144" t="s">
        <v>806</v>
      </c>
      <c r="BC31" s="144"/>
      <c r="BD31" s="144">
        <v>34</v>
      </c>
      <c r="BE31" s="144" t="s">
        <v>807</v>
      </c>
      <c r="BF31" s="144"/>
    </row>
    <row r="32" spans="1:58" ht="16.5" customHeight="1">
      <c r="A32" s="137"/>
      <c r="B32" s="915"/>
      <c r="C32" s="212"/>
      <c r="D32" s="1074" t="s">
        <v>712</v>
      </c>
      <c r="E32" s="1074"/>
      <c r="F32" s="1074"/>
      <c r="G32" s="1074"/>
      <c r="H32" s="1074"/>
      <c r="I32" s="1074" t="s">
        <v>713</v>
      </c>
      <c r="J32" s="1074"/>
      <c r="K32" s="1074"/>
      <c r="L32" s="1074"/>
      <c r="M32" s="1074"/>
      <c r="N32" s="1074" t="s">
        <v>714</v>
      </c>
      <c r="O32" s="1074"/>
      <c r="P32" s="1074"/>
      <c r="Q32" s="1074"/>
      <c r="R32" s="1074"/>
      <c r="S32" s="1074" t="s">
        <v>715</v>
      </c>
      <c r="T32" s="1074"/>
      <c r="U32" s="1074"/>
      <c r="V32" s="1074"/>
      <c r="W32" s="1074"/>
      <c r="X32" s="1074" t="s">
        <v>716</v>
      </c>
      <c r="Y32" s="1074"/>
      <c r="Z32" s="1074"/>
      <c r="AA32" s="1074"/>
      <c r="AB32" s="1068"/>
      <c r="AC32" s="1073" t="s">
        <v>717</v>
      </c>
      <c r="AD32" s="1074"/>
      <c r="AE32" s="1074"/>
      <c r="AF32" s="1074"/>
      <c r="AG32" s="1075"/>
      <c r="AH32" s="1073" t="s">
        <v>718</v>
      </c>
      <c r="AI32" s="1074"/>
      <c r="AJ32" s="1074"/>
      <c r="AK32" s="1074"/>
      <c r="AL32" s="1075"/>
      <c r="AM32" s="911"/>
      <c r="AN32" s="1069" t="s">
        <v>719</v>
      </c>
      <c r="AO32" s="1069"/>
      <c r="AP32" s="1069"/>
      <c r="AQ32" s="1069"/>
      <c r="AR32" s="1070"/>
      <c r="AS32" s="1068" t="s">
        <v>720</v>
      </c>
      <c r="AT32" s="1069"/>
      <c r="AU32" s="1069"/>
      <c r="AV32" s="1069"/>
      <c r="AW32" s="1070"/>
      <c r="AX32" s="1068" t="s">
        <v>721</v>
      </c>
      <c r="AY32" s="1069"/>
      <c r="AZ32" s="1069"/>
      <c r="BA32" s="1069"/>
      <c r="BB32" s="1070"/>
      <c r="BC32" s="1069" t="s">
        <v>808</v>
      </c>
      <c r="BD32" s="1069"/>
      <c r="BE32" s="1071"/>
      <c r="BF32" s="100"/>
    </row>
    <row r="33" spans="1:58" s="205" customFormat="1" ht="15">
      <c r="A33" s="169" t="s">
        <v>812</v>
      </c>
      <c r="B33" s="170">
        <f t="shared" ref="B33:F34" si="61">B7+B15+B24</f>
        <v>66532285.114699997</v>
      </c>
      <c r="C33" s="180">
        <f t="shared" si="61"/>
        <v>258662838.92413595</v>
      </c>
      <c r="D33" s="173">
        <f t="shared" si="61"/>
        <v>8725022.9600000009</v>
      </c>
      <c r="E33" s="173">
        <f t="shared" si="61"/>
        <v>292223157.56999993</v>
      </c>
      <c r="F33" s="173">
        <f t="shared" si="61"/>
        <v>33560318.645863995</v>
      </c>
      <c r="G33" s="174">
        <f t="shared" ref="G33:G42" si="62">F33/B33</f>
        <v>0.50442155395695254</v>
      </c>
      <c r="H33" s="174">
        <f t="shared" ref="H33:H42" si="63">F33/D33</f>
        <v>3.8464447371338482</v>
      </c>
      <c r="I33" s="173">
        <f t="shared" ref="I33:K34" si="64">I7+I15+I24</f>
        <v>11407350.880000001</v>
      </c>
      <c r="J33" s="173">
        <f t="shared" si="64"/>
        <v>294764936.16999996</v>
      </c>
      <c r="K33" s="173">
        <f t="shared" si="64"/>
        <v>36102097.245863989</v>
      </c>
      <c r="L33" s="174">
        <f t="shared" ref="L33:L42" si="65">K33/B33</f>
        <v>0.54262524101832477</v>
      </c>
      <c r="M33" s="174">
        <f t="shared" ref="M33:M42" si="66">K33/I33</f>
        <v>3.1648099217461771</v>
      </c>
      <c r="N33" s="173">
        <f t="shared" ref="N33:P34" si="67">N7+N15+N24</f>
        <v>18850921.460000001</v>
      </c>
      <c r="O33" s="173">
        <f t="shared" si="67"/>
        <v>299237355.31</v>
      </c>
      <c r="P33" s="173">
        <f t="shared" si="67"/>
        <v>40574516.385864034</v>
      </c>
      <c r="Q33" s="174">
        <f t="shared" ref="Q33:Q42" si="68">P33/B33</f>
        <v>0.6098470286405252</v>
      </c>
      <c r="R33" s="174">
        <f t="shared" ref="R33:R42" si="69">P33/N33</f>
        <v>2.1523890209801997</v>
      </c>
      <c r="S33" s="177">
        <f t="shared" ref="S33:U34" si="70">S7+S15+S24</f>
        <v>25635787.960000001</v>
      </c>
      <c r="T33" s="173">
        <f t="shared" si="70"/>
        <v>303713755.35000002</v>
      </c>
      <c r="U33" s="177">
        <f t="shared" si="70"/>
        <v>45050916.425864041</v>
      </c>
      <c r="V33" s="174">
        <f t="shared" ref="V33:V41" si="71">U33/B33</f>
        <v>0.67712865037173131</v>
      </c>
      <c r="W33" s="174">
        <f t="shared" ref="W33:W42" si="72">U33/S33</f>
        <v>1.7573447126399169</v>
      </c>
      <c r="X33" s="177">
        <f t="shared" ref="X33:Z34" si="73">X7+X15+X24</f>
        <v>31661488.490000002</v>
      </c>
      <c r="Y33" s="173">
        <f t="shared" si="73"/>
        <v>311922467.70281601</v>
      </c>
      <c r="Z33" s="177">
        <f t="shared" si="73"/>
        <v>53259628.778680027</v>
      </c>
      <c r="AA33" s="174">
        <f t="shared" ref="AA33:AA42" si="74">Z33/B33</f>
        <v>0.80050803436048767</v>
      </c>
      <c r="AB33" s="214">
        <f t="shared" ref="AB33:AB42" si="75">Z33/X33</f>
        <v>1.6821580828551888</v>
      </c>
      <c r="AC33" s="172">
        <f t="shared" ref="AC33:AE34" si="76">AC7+AC15+AC24</f>
        <v>40865695.189999998</v>
      </c>
      <c r="AD33" s="173">
        <f t="shared" si="76"/>
        <v>291614342.04413605</v>
      </c>
      <c r="AE33" s="173">
        <f t="shared" si="76"/>
        <v>32951503.120000057</v>
      </c>
      <c r="AF33" s="174">
        <f t="shared" ref="AF33:AF42" si="77">AE33/B33</f>
        <v>0.49527087583407797</v>
      </c>
      <c r="AG33" s="184">
        <f>AE33/AC33</f>
        <v>0.80633653647138792</v>
      </c>
      <c r="AH33" s="172">
        <f t="shared" ref="AH33:AJ34" si="78">AH7+AH15+AH24</f>
        <v>44934104.590000004</v>
      </c>
      <c r="AI33" s="173">
        <f t="shared" si="78"/>
        <v>292949465.39413601</v>
      </c>
      <c r="AJ33" s="173">
        <f t="shared" si="78"/>
        <v>34286626.470000036</v>
      </c>
      <c r="AK33" s="185">
        <f>AJ33/B33</f>
        <v>0.51533817620859934</v>
      </c>
      <c r="AL33" s="183">
        <f>AJ33/AH33</f>
        <v>0.7630423880223588</v>
      </c>
      <c r="AM33" s="215">
        <f t="shared" ref="AM33:AM42" si="79">AJ33-AH33</f>
        <v>-10647478.119999968</v>
      </c>
      <c r="AN33" s="180">
        <f>AN7+AN15+AN24</f>
        <v>50204188.030000001</v>
      </c>
      <c r="AO33" s="173">
        <f t="shared" ref="AO33:AP34" si="80">AO7+AO15+AO24</f>
        <v>302918325.54413605</v>
      </c>
      <c r="AP33" s="173">
        <f t="shared" si="80"/>
        <v>44255486.62000002</v>
      </c>
      <c r="AQ33" s="174">
        <f>AP33/B33</f>
        <v>0.6651731042110558</v>
      </c>
      <c r="AR33" s="183">
        <f>AP33/AN33</f>
        <v>0.88150985717675034</v>
      </c>
      <c r="AS33" s="173">
        <f>AS7+AS15+AS24</f>
        <v>57363591.030000001</v>
      </c>
      <c r="AT33" s="173">
        <f t="shared" ref="AT33:AU34" si="81">AT7+AT15+AT24</f>
        <v>306849053.90413594</v>
      </c>
      <c r="AU33" s="173">
        <f t="shared" si="81"/>
        <v>48186214.980000019</v>
      </c>
      <c r="AV33" s="174">
        <f>AU33/B33</f>
        <v>0.7242531185713551</v>
      </c>
      <c r="AW33" s="183">
        <f>AU33/AS33</f>
        <v>0.8400139202373087</v>
      </c>
      <c r="AX33" s="173">
        <f>AX7+AX15+AX24</f>
        <v>62383240.43</v>
      </c>
      <c r="AY33" s="173">
        <f t="shared" ref="AY33:AZ34" si="82">AY7+AY15+AY24</f>
        <v>309616141.29413605</v>
      </c>
      <c r="AZ33" s="173">
        <f t="shared" si="82"/>
        <v>50953302.370000035</v>
      </c>
      <c r="BA33" s="174">
        <f>AZ33/B33</f>
        <v>0.76584326364497801</v>
      </c>
      <c r="BB33" s="183">
        <f>AZ33/AX33</f>
        <v>0.81677870560723032</v>
      </c>
      <c r="BC33" s="173">
        <f t="shared" ref="BC33:BD34" si="83">BC7+BC15+BC24</f>
        <v>314912920.04413599</v>
      </c>
      <c r="BD33" s="173">
        <f t="shared" si="83"/>
        <v>56250081.120000005</v>
      </c>
      <c r="BE33" s="174">
        <f>BD33/B33</f>
        <v>0.84545542097383652</v>
      </c>
      <c r="BF33" s="173"/>
    </row>
    <row r="34" spans="1:58" s="205" customFormat="1" ht="15">
      <c r="A34" s="169" t="s">
        <v>813</v>
      </c>
      <c r="B34" s="170">
        <f t="shared" si="61"/>
        <v>11287948.289999999</v>
      </c>
      <c r="C34" s="180">
        <f t="shared" si="61"/>
        <v>38966052.07</v>
      </c>
      <c r="D34" s="173">
        <f t="shared" si="61"/>
        <v>855578</v>
      </c>
      <c r="E34" s="173">
        <f t="shared" si="61"/>
        <v>39797088.689999998</v>
      </c>
      <c r="F34" s="173">
        <f t="shared" si="61"/>
        <v>831036.61999999918</v>
      </c>
      <c r="G34" s="174">
        <f t="shared" si="62"/>
        <v>7.362158282884898E-2</v>
      </c>
      <c r="H34" s="174">
        <f t="shared" si="63"/>
        <v>0.97131602261862648</v>
      </c>
      <c r="I34" s="173">
        <f t="shared" si="64"/>
        <v>2549261.62</v>
      </c>
      <c r="J34" s="173">
        <f t="shared" si="64"/>
        <v>41825249.189999998</v>
      </c>
      <c r="K34" s="173">
        <f t="shared" si="64"/>
        <v>2859197.1199999982</v>
      </c>
      <c r="L34" s="174">
        <f t="shared" si="65"/>
        <v>0.25329644028693532</v>
      </c>
      <c r="M34" s="174">
        <f t="shared" si="66"/>
        <v>1.1215785377100675</v>
      </c>
      <c r="N34" s="173">
        <f t="shared" si="67"/>
        <v>2710908.35</v>
      </c>
      <c r="O34" s="173">
        <f t="shared" si="67"/>
        <v>41825249.189999998</v>
      </c>
      <c r="P34" s="173">
        <f t="shared" si="67"/>
        <v>2859197.1199999982</v>
      </c>
      <c r="Q34" s="174">
        <f t="shared" si="68"/>
        <v>0.25329644028693532</v>
      </c>
      <c r="R34" s="174">
        <f t="shared" si="69"/>
        <v>1.054700768471202</v>
      </c>
      <c r="S34" s="177">
        <f t="shared" si="70"/>
        <v>3487822.01</v>
      </c>
      <c r="T34" s="173">
        <f t="shared" si="70"/>
        <v>42497868.859999999</v>
      </c>
      <c r="U34" s="177">
        <f t="shared" si="70"/>
        <v>3531816.7900000019</v>
      </c>
      <c r="V34" s="174">
        <f t="shared" si="71"/>
        <v>0.31288385623885617</v>
      </c>
      <c r="W34" s="174">
        <f t="shared" si="72"/>
        <v>1.0126138260134445</v>
      </c>
      <c r="X34" s="177">
        <f t="shared" si="73"/>
        <v>5296614.59</v>
      </c>
      <c r="Y34" s="173">
        <f t="shared" si="73"/>
        <v>44229592.689999998</v>
      </c>
      <c r="Z34" s="177">
        <f t="shared" si="73"/>
        <v>5263540.6199999973</v>
      </c>
      <c r="AA34" s="174">
        <f t="shared" si="74"/>
        <v>0.46629737174318664</v>
      </c>
      <c r="AB34" s="214">
        <f t="shared" si="75"/>
        <v>0.99375563967549274</v>
      </c>
      <c r="AC34" s="172">
        <f t="shared" si="76"/>
        <v>5296614.59</v>
      </c>
      <c r="AD34" s="173">
        <f t="shared" si="76"/>
        <v>44349898.489999995</v>
      </c>
      <c r="AE34" s="173">
        <f t="shared" si="76"/>
        <v>5383846.4199999999</v>
      </c>
      <c r="AF34" s="174">
        <f t="shared" si="77"/>
        <v>0.47695526960993906</v>
      </c>
      <c r="AG34" s="183">
        <f t="shared" ref="AG34:AG42" si="84">AE34/AC34</f>
        <v>1.0164693557588074</v>
      </c>
      <c r="AH34" s="172">
        <f t="shared" si="78"/>
        <v>6359555.129999999</v>
      </c>
      <c r="AI34" s="173">
        <f t="shared" si="78"/>
        <v>45630519.450000003</v>
      </c>
      <c r="AJ34" s="173">
        <f t="shared" si="78"/>
        <v>6664467.3800000008</v>
      </c>
      <c r="AK34" s="174">
        <f t="shared" ref="AK34:AK42" si="85">AJ34/B34</f>
        <v>0.59040555544571882</v>
      </c>
      <c r="AL34" s="183">
        <f t="shared" ref="AL34:AL42" si="86">AJ34/AH34</f>
        <v>1.0479455313724124</v>
      </c>
      <c r="AM34" s="172">
        <f t="shared" si="79"/>
        <v>304912.25000000186</v>
      </c>
      <c r="AN34" s="180">
        <f>AN8+AN16+AN25</f>
        <v>8179820.8599999994</v>
      </c>
      <c r="AO34" s="173">
        <f t="shared" si="80"/>
        <v>46752999.379999995</v>
      </c>
      <c r="AP34" s="173">
        <f t="shared" si="80"/>
        <v>7786947.3099999987</v>
      </c>
      <c r="AQ34" s="174">
        <f>AP34/B34</f>
        <v>0.6898461181735267</v>
      </c>
      <c r="AR34" s="183">
        <f t="shared" ref="AR34:AR42" si="87">AP34/AN34</f>
        <v>0.95197039681869011</v>
      </c>
      <c r="AS34" s="173">
        <f>AS8+AS16+AS25</f>
        <v>8307956.54</v>
      </c>
      <c r="AT34" s="173">
        <f t="shared" si="81"/>
        <v>47249461.990000002</v>
      </c>
      <c r="AU34" s="173">
        <f t="shared" si="81"/>
        <v>8283409.9200000018</v>
      </c>
      <c r="AV34" s="174">
        <f t="shared" ref="AV34:AV41" si="88">AU34/B34</f>
        <v>0.73382776986481058</v>
      </c>
      <c r="AW34" s="183">
        <f t="shared" ref="AW34:AW42" si="89">AU34/AS34</f>
        <v>0.99704540823223919</v>
      </c>
      <c r="AX34" s="173">
        <f>AX8+AX16+AX25</f>
        <v>9328368.209999999</v>
      </c>
      <c r="AY34" s="173">
        <f t="shared" si="82"/>
        <v>47723276.969999999</v>
      </c>
      <c r="AZ34" s="173">
        <f t="shared" si="82"/>
        <v>8757224.8999999966</v>
      </c>
      <c r="BA34" s="174">
        <f t="shared" ref="BA34:BA41" si="90">AZ34/B34</f>
        <v>0.77580306668821541</v>
      </c>
      <c r="BB34" s="183">
        <f t="shared" ref="BB34:BB40" si="91">AZ34/AX34</f>
        <v>0.9387735028096621</v>
      </c>
      <c r="BC34" s="173">
        <f t="shared" si="83"/>
        <v>49934589.68</v>
      </c>
      <c r="BD34" s="173">
        <f t="shared" si="83"/>
        <v>10968537.610000003</v>
      </c>
      <c r="BE34" s="174">
        <f t="shared" ref="BE34:BE41" si="92">BD34/B34</f>
        <v>0.97170338915505472</v>
      </c>
      <c r="BF34" s="173"/>
    </row>
    <row r="35" spans="1:58" s="205" customFormat="1" ht="15">
      <c r="A35" s="169" t="s">
        <v>820</v>
      </c>
      <c r="B35" s="170">
        <f>B9+B17</f>
        <v>52587054.864</v>
      </c>
      <c r="C35" s="180">
        <f>C9+C17</f>
        <v>297259024.02000004</v>
      </c>
      <c r="D35" s="173">
        <f>D9+D17</f>
        <v>5137369.0240000002</v>
      </c>
      <c r="E35" s="173">
        <f>E9+E17</f>
        <v>303011716.68000001</v>
      </c>
      <c r="F35" s="173">
        <f>F9+F17</f>
        <v>5752692.6599999517</v>
      </c>
      <c r="G35" s="174">
        <f t="shared" si="62"/>
        <v>0.10939370297267066</v>
      </c>
      <c r="H35" s="174">
        <f t="shared" si="63"/>
        <v>1.119774077572659</v>
      </c>
      <c r="I35" s="173">
        <f>I9+I17</f>
        <v>8546576.6740000006</v>
      </c>
      <c r="J35" s="173">
        <f>J9+J17</f>
        <v>305380268.08000004</v>
      </c>
      <c r="K35" s="173">
        <f>K9+K17</f>
        <v>8121244.0599999726</v>
      </c>
      <c r="L35" s="174">
        <f t="shared" si="65"/>
        <v>0.15443428199208029</v>
      </c>
      <c r="M35" s="174">
        <f t="shared" si="66"/>
        <v>0.95023356950696347</v>
      </c>
      <c r="N35" s="173">
        <f>N9+N17</f>
        <v>11290787.674000001</v>
      </c>
      <c r="O35" s="173">
        <f>O9+O17</f>
        <v>311369562.49000001</v>
      </c>
      <c r="P35" s="173">
        <f>P9+P17</f>
        <v>14110538.469999969</v>
      </c>
      <c r="Q35" s="174">
        <f t="shared" si="68"/>
        <v>0.26832722438045775</v>
      </c>
      <c r="R35" s="174">
        <f t="shared" si="69"/>
        <v>1.2497390684702347</v>
      </c>
      <c r="S35" s="177">
        <f>S9+S17</f>
        <v>18801123.674000002</v>
      </c>
      <c r="T35" s="173">
        <f>T9+T17</f>
        <v>317223121.98000002</v>
      </c>
      <c r="U35" s="177">
        <f>U9+U17</f>
        <v>19964097.959999949</v>
      </c>
      <c r="V35" s="174">
        <f t="shared" si="71"/>
        <v>0.37963901974793712</v>
      </c>
      <c r="W35" s="174">
        <f t="shared" si="72"/>
        <v>1.0618566371970746</v>
      </c>
      <c r="X35" s="177">
        <f>X9+X17</f>
        <v>22247266.674000002</v>
      </c>
      <c r="Y35" s="173">
        <f>Y9+Y17</f>
        <v>321660661.51999998</v>
      </c>
      <c r="Z35" s="177">
        <f>Z9+Z17</f>
        <v>24401637.49999997</v>
      </c>
      <c r="AA35" s="174">
        <f t="shared" si="74"/>
        <v>0.46402365683165159</v>
      </c>
      <c r="AB35" s="214">
        <f t="shared" si="75"/>
        <v>1.0968375512178197</v>
      </c>
      <c r="AC35" s="172">
        <f>AC9+AC17</f>
        <v>27642266.674000002</v>
      </c>
      <c r="AD35" s="173">
        <f>AD9+AD17</f>
        <v>325701878.30999994</v>
      </c>
      <c r="AE35" s="173">
        <f>AE9+AE17</f>
        <v>28442854.289999932</v>
      </c>
      <c r="AF35" s="174">
        <f t="shared" si="77"/>
        <v>0.5408717860994211</v>
      </c>
      <c r="AG35" s="183">
        <f t="shared" si="84"/>
        <v>1.0289624445578827</v>
      </c>
      <c r="AH35" s="172">
        <f>AH9+AH17</f>
        <v>30468372.864</v>
      </c>
      <c r="AI35" s="173">
        <f>AI9+AI17</f>
        <v>326728910.91999996</v>
      </c>
      <c r="AJ35" s="173">
        <f>AJ9+AJ17</f>
        <v>29469886.899999917</v>
      </c>
      <c r="AK35" s="187">
        <f t="shared" si="85"/>
        <v>0.56040192736053729</v>
      </c>
      <c r="AL35" s="183">
        <f t="shared" si="86"/>
        <v>0.96722877298184018</v>
      </c>
      <c r="AM35" s="216">
        <f t="shared" si="79"/>
        <v>-998485.96400008351</v>
      </c>
      <c r="AN35" s="180">
        <f>AN9+AN17</f>
        <v>36156312.864</v>
      </c>
      <c r="AO35" s="173">
        <f>AO9+AO17</f>
        <v>334042087.65999997</v>
      </c>
      <c r="AP35" s="173">
        <f>AP9+AP17</f>
        <v>36783063.639999956</v>
      </c>
      <c r="AQ35" s="174">
        <f t="shared" ref="AQ35:AQ42" si="93">AP35/B35</f>
        <v>0.69946993105295341</v>
      </c>
      <c r="AR35" s="183">
        <f t="shared" si="87"/>
        <v>1.0173344770623445</v>
      </c>
      <c r="AS35" s="173">
        <f>AS9+AS17</f>
        <v>37453405.864</v>
      </c>
      <c r="AT35" s="173">
        <f>AT9+AT17</f>
        <v>339015523.37</v>
      </c>
      <c r="AU35" s="173">
        <f>AU9+AU17</f>
        <v>41756499.349999994</v>
      </c>
      <c r="AV35" s="174">
        <f t="shared" si="88"/>
        <v>0.79404521622270241</v>
      </c>
      <c r="AW35" s="183">
        <f t="shared" si="89"/>
        <v>1.1148919140124478</v>
      </c>
      <c r="AX35" s="173">
        <f>AX9+AX17</f>
        <v>41625918.864</v>
      </c>
      <c r="AY35" s="173">
        <f>AY9+AY17</f>
        <v>344318672.49000001</v>
      </c>
      <c r="AZ35" s="173">
        <f>AZ9+AZ17</f>
        <v>47059648.469999969</v>
      </c>
      <c r="BA35" s="174">
        <f t="shared" si="90"/>
        <v>0.89489036021707358</v>
      </c>
      <c r="BB35" s="183">
        <f t="shared" si="91"/>
        <v>1.1305371690112842</v>
      </c>
      <c r="BC35" s="173">
        <f>BC9+BC17</f>
        <v>351469001.93000001</v>
      </c>
      <c r="BD35" s="173">
        <f>BD9+BD17</f>
        <v>54209977.909999967</v>
      </c>
      <c r="BE35" s="174">
        <f t="shared" si="92"/>
        <v>1.0308616455170792</v>
      </c>
      <c r="BF35" s="173"/>
    </row>
    <row r="36" spans="1:58" s="205" customFormat="1" ht="15">
      <c r="A36" s="169" t="s">
        <v>821</v>
      </c>
      <c r="B36" s="170">
        <f>B18</f>
        <v>6807205.2300000004</v>
      </c>
      <c r="C36" s="180">
        <f>C18</f>
        <v>11695311.630000001</v>
      </c>
      <c r="D36" s="173">
        <f>D18</f>
        <v>858301.42</v>
      </c>
      <c r="E36" s="173">
        <f>E18</f>
        <v>12461663.940000001</v>
      </c>
      <c r="F36" s="173">
        <f>F18</f>
        <v>766352.31000000052</v>
      </c>
      <c r="G36" s="174">
        <f t="shared" si="62"/>
        <v>0.1125795806218113</v>
      </c>
      <c r="H36" s="174">
        <f t="shared" si="63"/>
        <v>0.89287084017640383</v>
      </c>
      <c r="I36" s="173">
        <f>I18</f>
        <v>1077502.42</v>
      </c>
      <c r="J36" s="173">
        <f>J18</f>
        <v>12604965.609999999</v>
      </c>
      <c r="K36" s="173">
        <f>K18</f>
        <v>909653.97999999858</v>
      </c>
      <c r="L36" s="174">
        <f t="shared" si="65"/>
        <v>0.1336310496400295</v>
      </c>
      <c r="M36" s="174">
        <f t="shared" si="66"/>
        <v>0.84422453547714416</v>
      </c>
      <c r="N36" s="173">
        <f>N18</f>
        <v>3068243.23</v>
      </c>
      <c r="O36" s="173">
        <f>O18</f>
        <v>14287514.849999998</v>
      </c>
      <c r="P36" s="173">
        <f>P18</f>
        <v>2592203.2199999969</v>
      </c>
      <c r="Q36" s="174">
        <f t="shared" si="68"/>
        <v>0.38080285997194724</v>
      </c>
      <c r="R36" s="174">
        <f t="shared" si="69"/>
        <v>0.84484932441291394</v>
      </c>
      <c r="S36" s="177">
        <f>S18</f>
        <v>3437587.23</v>
      </c>
      <c r="T36" s="173">
        <f>T18</f>
        <v>14468081.16</v>
      </c>
      <c r="U36" s="177">
        <f>U18</f>
        <v>2772769.5299999993</v>
      </c>
      <c r="V36" s="174">
        <f t="shared" si="71"/>
        <v>0.40732862258657054</v>
      </c>
      <c r="W36" s="174">
        <f t="shared" si="72"/>
        <v>0.80660339490497801</v>
      </c>
      <c r="X36" s="177">
        <f>X18</f>
        <v>3889058.23</v>
      </c>
      <c r="Y36" s="173">
        <f>Y18</f>
        <v>14650791.209999999</v>
      </c>
      <c r="Z36" s="177">
        <f>Z18</f>
        <v>2955479.5799999982</v>
      </c>
      <c r="AA36" s="174">
        <f t="shared" si="74"/>
        <v>0.43416930739430609</v>
      </c>
      <c r="AB36" s="214">
        <f t="shared" si="75"/>
        <v>0.7599473716288373</v>
      </c>
      <c r="AC36" s="172">
        <f>AC18</f>
        <v>4564439.2300000004</v>
      </c>
      <c r="AD36" s="173">
        <f>AD18</f>
        <v>14966553.75</v>
      </c>
      <c r="AE36" s="173">
        <f>AE18</f>
        <v>3271242.1199999992</v>
      </c>
      <c r="AF36" s="174">
        <f t="shared" si="77"/>
        <v>0.48055582422920412</v>
      </c>
      <c r="AG36" s="184">
        <f t="shared" si="84"/>
        <v>0.71667995895302983</v>
      </c>
      <c r="AH36" s="172">
        <f>AH18</f>
        <v>4969663.2300000004</v>
      </c>
      <c r="AI36" s="173">
        <f>AI18</f>
        <v>15444806.520000001</v>
      </c>
      <c r="AJ36" s="173">
        <f>AJ18</f>
        <v>3749494.8900000006</v>
      </c>
      <c r="AK36" s="185">
        <f t="shared" si="85"/>
        <v>0.55081267029758707</v>
      </c>
      <c r="AL36" s="183">
        <f t="shared" si="86"/>
        <v>0.75447665495031946</v>
      </c>
      <c r="AM36" s="215">
        <f t="shared" si="79"/>
        <v>-1220168.3399999999</v>
      </c>
      <c r="AN36" s="180">
        <f>AN18</f>
        <v>5097494.2300000004</v>
      </c>
      <c r="AO36" s="173">
        <f>AO18</f>
        <v>15481759.140000001</v>
      </c>
      <c r="AP36" s="173">
        <f>AP18</f>
        <v>3786447.51</v>
      </c>
      <c r="AQ36" s="174">
        <f t="shared" si="93"/>
        <v>0.55624112716813146</v>
      </c>
      <c r="AR36" s="183">
        <f t="shared" si="87"/>
        <v>0.74280564904141133</v>
      </c>
      <c r="AS36" s="173">
        <f>AS18</f>
        <v>6196245.2300000004</v>
      </c>
      <c r="AT36" s="173">
        <f>AT18</f>
        <v>15796541.09</v>
      </c>
      <c r="AU36" s="173">
        <f>AU18</f>
        <v>4101229.459999999</v>
      </c>
      <c r="AV36" s="174">
        <f t="shared" si="88"/>
        <v>0.60248359222746672</v>
      </c>
      <c r="AW36" s="183">
        <f t="shared" si="89"/>
        <v>0.66188946818039329</v>
      </c>
      <c r="AX36" s="173">
        <f>AX18</f>
        <v>6805330.2300000004</v>
      </c>
      <c r="AY36" s="173">
        <f>AY18</f>
        <v>16028934.25</v>
      </c>
      <c r="AZ36" s="173">
        <f>AZ18</f>
        <v>4333622.6199999992</v>
      </c>
      <c r="BA36" s="174">
        <f t="shared" si="90"/>
        <v>0.6366228831916676</v>
      </c>
      <c r="BB36" s="183">
        <f t="shared" si="91"/>
        <v>0.63679828509953129</v>
      </c>
      <c r="BC36" s="173">
        <f>BC18</f>
        <v>18080677.039999999</v>
      </c>
      <c r="BD36" s="173">
        <f>BD18</f>
        <v>6385365.4099999983</v>
      </c>
      <c r="BE36" s="174">
        <f t="shared" si="92"/>
        <v>0.9380303948908556</v>
      </c>
      <c r="BF36" s="173"/>
    </row>
    <row r="37" spans="1:58" s="205" customFormat="1" ht="15">
      <c r="A37" s="169" t="s">
        <v>815</v>
      </c>
      <c r="B37" s="170">
        <f>B10+B19</f>
        <v>29415232.489999998</v>
      </c>
      <c r="C37" s="180">
        <f>C10+C19</f>
        <v>148951049.35999998</v>
      </c>
      <c r="D37" s="173">
        <f>D10+D19</f>
        <v>6236852</v>
      </c>
      <c r="E37" s="173">
        <f>E10+E19</f>
        <v>155764948.90000001</v>
      </c>
      <c r="F37" s="173">
        <f>F10+F19</f>
        <v>6813899.5400000215</v>
      </c>
      <c r="G37" s="174">
        <f t="shared" si="62"/>
        <v>0.23164527230292925</v>
      </c>
      <c r="H37" s="174">
        <f t="shared" si="63"/>
        <v>1.0925222435934061</v>
      </c>
      <c r="I37" s="173">
        <f>I10+I19</f>
        <v>7846068</v>
      </c>
      <c r="J37" s="173">
        <f>J10+J19</f>
        <v>157324139.84</v>
      </c>
      <c r="K37" s="173">
        <f>K10+K19</f>
        <v>8373090.4800000191</v>
      </c>
      <c r="L37" s="174">
        <f t="shared" si="65"/>
        <v>0.28465151457995563</v>
      </c>
      <c r="M37" s="174">
        <f t="shared" si="66"/>
        <v>1.0671702666864498</v>
      </c>
      <c r="N37" s="173">
        <f>N10+N19</f>
        <v>10098395</v>
      </c>
      <c r="O37" s="173">
        <f>O10+O19</f>
        <v>159320054.22</v>
      </c>
      <c r="P37" s="173">
        <f>P10+P19</f>
        <v>10369004.859999996</v>
      </c>
      <c r="Q37" s="174">
        <f t="shared" si="68"/>
        <v>0.35250460330459882</v>
      </c>
      <c r="R37" s="174">
        <f t="shared" si="69"/>
        <v>1.0267973138305637</v>
      </c>
      <c r="S37" s="177">
        <f>S10+S19</f>
        <v>12584776.49</v>
      </c>
      <c r="T37" s="173">
        <f>T10+T19</f>
        <v>161698314.47000006</v>
      </c>
      <c r="U37" s="177">
        <f>U10+U19</f>
        <v>12747265.110000055</v>
      </c>
      <c r="V37" s="174">
        <f t="shared" si="71"/>
        <v>0.43335591905770643</v>
      </c>
      <c r="W37" s="174">
        <f t="shared" si="72"/>
        <v>1.012911522117947</v>
      </c>
      <c r="X37" s="177">
        <f>X10+X19</f>
        <v>14997459.49</v>
      </c>
      <c r="Y37" s="173">
        <f>Y10+Y19</f>
        <v>164271144.82000002</v>
      </c>
      <c r="Z37" s="177">
        <f>Z10+Z19</f>
        <v>15320095.460000023</v>
      </c>
      <c r="AA37" s="174">
        <f t="shared" si="74"/>
        <v>0.52082183831823337</v>
      </c>
      <c r="AB37" s="214">
        <f t="shared" si="75"/>
        <v>1.0215127082166917</v>
      </c>
      <c r="AC37" s="172">
        <f>AC10+AC19</f>
        <v>17406912.489999998</v>
      </c>
      <c r="AD37" s="173">
        <f>AD10+AD19</f>
        <v>166949848.37</v>
      </c>
      <c r="AE37" s="173">
        <f>AE10+AE19</f>
        <v>17998799.010000005</v>
      </c>
      <c r="AF37" s="174">
        <f t="shared" si="77"/>
        <v>0.61188702200871181</v>
      </c>
      <c r="AG37" s="183">
        <f t="shared" si="84"/>
        <v>1.034002958327046</v>
      </c>
      <c r="AH37" s="172">
        <f>AH10+AH19</f>
        <v>19771877.489999998</v>
      </c>
      <c r="AI37" s="173">
        <f>AI10+AI19</f>
        <v>169754658.79999998</v>
      </c>
      <c r="AJ37" s="173">
        <f>AJ10+AJ19</f>
        <v>20803609.439999983</v>
      </c>
      <c r="AK37" s="174">
        <f t="shared" si="85"/>
        <v>0.70723933414676821</v>
      </c>
      <c r="AL37" s="183">
        <f t="shared" si="86"/>
        <v>1.0521817895403105</v>
      </c>
      <c r="AM37" s="172">
        <f t="shared" si="79"/>
        <v>1031731.9499999844</v>
      </c>
      <c r="AN37" s="180">
        <f>AN10+AN19</f>
        <v>22306068.489999998</v>
      </c>
      <c r="AO37" s="173">
        <f>AO10+AO19</f>
        <v>171868863.44999999</v>
      </c>
      <c r="AP37" s="173">
        <f>AP10+AP19</f>
        <v>22917814.089999989</v>
      </c>
      <c r="AQ37" s="174">
        <f t="shared" si="93"/>
        <v>0.77911381791019763</v>
      </c>
      <c r="AR37" s="183">
        <f t="shared" si="87"/>
        <v>1.027425074942016</v>
      </c>
      <c r="AS37" s="173">
        <f>AS10+AS19</f>
        <v>24474279.489999998</v>
      </c>
      <c r="AT37" s="173">
        <f>AT10+AT19</f>
        <v>174506997.33999997</v>
      </c>
      <c r="AU37" s="173">
        <f>AU10+AU19</f>
        <v>25555947.979999974</v>
      </c>
      <c r="AV37" s="174">
        <f t="shared" si="88"/>
        <v>0.86879979577547017</v>
      </c>
      <c r="AW37" s="183">
        <f t="shared" si="89"/>
        <v>1.0441961321248268</v>
      </c>
      <c r="AX37" s="173">
        <f>AX10+AX19</f>
        <v>26753127.489999998</v>
      </c>
      <c r="AY37" s="173">
        <f>AY10+AY19</f>
        <v>175930053.26000002</v>
      </c>
      <c r="AZ37" s="173">
        <f>AZ10+AZ19</f>
        <v>26979003.900000017</v>
      </c>
      <c r="BA37" s="174">
        <f t="shared" si="90"/>
        <v>0.91717799304057168</v>
      </c>
      <c r="BB37" s="183">
        <f t="shared" si="91"/>
        <v>1.0084429908273136</v>
      </c>
      <c r="BC37" s="173">
        <f>BC10+BC19</f>
        <v>179944451.41000003</v>
      </c>
      <c r="BD37" s="173">
        <f>BD10+BD19</f>
        <v>30993402.050000023</v>
      </c>
      <c r="BE37" s="174">
        <f t="shared" si="92"/>
        <v>1.0536514392852934</v>
      </c>
      <c r="BF37" s="173"/>
    </row>
    <row r="38" spans="1:58" s="205" customFormat="1" ht="15">
      <c r="A38" s="169" t="s">
        <v>822</v>
      </c>
      <c r="B38" s="170">
        <f>B20+B26</f>
        <v>169587995.81600001</v>
      </c>
      <c r="C38" s="180">
        <f>C20+C26</f>
        <v>353796820.19</v>
      </c>
      <c r="D38" s="173">
        <f>D20+D26</f>
        <v>17017408.350000001</v>
      </c>
      <c r="E38" s="173">
        <f>E20+E26</f>
        <v>377444736.79000002</v>
      </c>
      <c r="F38" s="173">
        <f>F20+F26</f>
        <v>23647916.599999994</v>
      </c>
      <c r="G38" s="174">
        <f t="shared" si="62"/>
        <v>0.13944334023298185</v>
      </c>
      <c r="H38" s="174">
        <f t="shared" si="63"/>
        <v>1.3896309069882542</v>
      </c>
      <c r="I38" s="173">
        <f>I20+I26</f>
        <v>33853279.32</v>
      </c>
      <c r="J38" s="173">
        <f>J20+J26</f>
        <v>371075840.93000001</v>
      </c>
      <c r="K38" s="173">
        <f>K20+K26</f>
        <v>17279020.739999995</v>
      </c>
      <c r="L38" s="174">
        <f t="shared" si="65"/>
        <v>0.10188823010059879</v>
      </c>
      <c r="M38" s="174">
        <f t="shared" si="66"/>
        <v>0.51040906780903239</v>
      </c>
      <c r="N38" s="173">
        <f>N20+N26</f>
        <v>42650158.990000002</v>
      </c>
      <c r="O38" s="173">
        <f>O20+O26</f>
        <v>421684861.19</v>
      </c>
      <c r="P38" s="173">
        <f>P20+P26</f>
        <v>67888041</v>
      </c>
      <c r="Q38" s="174">
        <f t="shared" si="68"/>
        <v>0.40031159442238662</v>
      </c>
      <c r="R38" s="174">
        <f t="shared" si="69"/>
        <v>1.5917418037273299</v>
      </c>
      <c r="S38" s="177">
        <f>S20+S26</f>
        <v>54018563.240000002</v>
      </c>
      <c r="T38" s="173">
        <f>T20+T26</f>
        <v>431272285.79000002</v>
      </c>
      <c r="U38" s="177">
        <f>U20+U26</f>
        <v>77475465.600000009</v>
      </c>
      <c r="V38" s="174">
        <f t="shared" si="71"/>
        <v>0.4568452220171263</v>
      </c>
      <c r="W38" s="174">
        <f t="shared" si="72"/>
        <v>1.4342378055444187</v>
      </c>
      <c r="X38" s="177">
        <f>X20+X26</f>
        <v>66887310.975999996</v>
      </c>
      <c r="Y38" s="173">
        <f>Y20+Y26</f>
        <v>429273146.88999999</v>
      </c>
      <c r="Z38" s="177">
        <f>Z20+Z26</f>
        <v>75476326.700000003</v>
      </c>
      <c r="AA38" s="174">
        <f t="shared" si="74"/>
        <v>0.44505701206523185</v>
      </c>
      <c r="AB38" s="214">
        <f t="shared" si="75"/>
        <v>1.128410241025863</v>
      </c>
      <c r="AC38" s="172">
        <f>AC20+AC26</f>
        <v>77546176.206</v>
      </c>
      <c r="AD38" s="173">
        <f>AD20+AD26</f>
        <v>439793080.50000012</v>
      </c>
      <c r="AE38" s="173">
        <f>AE20+AE26</f>
        <v>85996260.310000077</v>
      </c>
      <c r="AF38" s="174">
        <f t="shared" si="77"/>
        <v>0.50708931310978222</v>
      </c>
      <c r="AG38" s="183">
        <f t="shared" si="84"/>
        <v>1.1089684174955652</v>
      </c>
      <c r="AH38" s="172">
        <f>AH20+AH26</f>
        <v>95568158.665999994</v>
      </c>
      <c r="AI38" s="173">
        <f>AI20+AI26</f>
        <v>451316433.91000003</v>
      </c>
      <c r="AJ38" s="173">
        <f>AJ20+AJ26</f>
        <v>97519613.720000014</v>
      </c>
      <c r="AK38" s="174">
        <f t="shared" si="85"/>
        <v>0.57503842327264176</v>
      </c>
      <c r="AL38" s="183">
        <f t="shared" si="86"/>
        <v>1.02041951086261</v>
      </c>
      <c r="AM38" s="172">
        <f t="shared" si="79"/>
        <v>1951455.05400002</v>
      </c>
      <c r="AN38" s="180">
        <f>AN20+AN26</f>
        <v>106986291.176</v>
      </c>
      <c r="AO38" s="173">
        <f>AO20+AO26</f>
        <v>463716282.23000002</v>
      </c>
      <c r="AP38" s="173">
        <f>AP20+AP26</f>
        <v>109919462.04000004</v>
      </c>
      <c r="AQ38" s="174">
        <f t="shared" si="93"/>
        <v>0.64815591169118314</v>
      </c>
      <c r="AR38" s="183">
        <f t="shared" si="87"/>
        <v>1.0274163243884655</v>
      </c>
      <c r="AS38" s="173">
        <f>AS20+AS26</f>
        <v>131868157.81600001</v>
      </c>
      <c r="AT38" s="173">
        <f>AT20+AT26</f>
        <v>473874722.94000006</v>
      </c>
      <c r="AU38" s="173">
        <f>AU20+AU26</f>
        <v>120077902.75000001</v>
      </c>
      <c r="AV38" s="174">
        <f t="shared" si="88"/>
        <v>0.70805661787690699</v>
      </c>
      <c r="AW38" s="183">
        <f t="shared" si="89"/>
        <v>0.91059058334271015</v>
      </c>
      <c r="AX38" s="173">
        <f>AX20+AX26</f>
        <v>158708018.81600001</v>
      </c>
      <c r="AY38" s="173">
        <f>AY20+AY26</f>
        <v>488911168.01999998</v>
      </c>
      <c r="AZ38" s="173">
        <f>AZ20+AZ26</f>
        <v>135114347.82999998</v>
      </c>
      <c r="BA38" s="174">
        <f t="shared" si="90"/>
        <v>0.79672117816992583</v>
      </c>
      <c r="BB38" s="183">
        <f t="shared" si="91"/>
        <v>0.85133913735415201</v>
      </c>
      <c r="BC38" s="173">
        <f>BC20+BC26</f>
        <v>521790562.55000007</v>
      </c>
      <c r="BD38" s="173">
        <f>BD20+BD26</f>
        <v>167993742.36000001</v>
      </c>
      <c r="BE38" s="174">
        <f t="shared" si="92"/>
        <v>0.99059925528143078</v>
      </c>
      <c r="BF38" s="173"/>
    </row>
    <row r="39" spans="1:58" s="205" customFormat="1" ht="30">
      <c r="A39" s="217" t="s">
        <v>818</v>
      </c>
      <c r="B39" s="170">
        <f>B13</f>
        <v>1952665.6159999999</v>
      </c>
      <c r="C39" s="180">
        <f>C13</f>
        <v>5502817.4700000007</v>
      </c>
      <c r="D39" s="173">
        <f>D13</f>
        <v>264623.8235</v>
      </c>
      <c r="E39" s="173">
        <f>E13</f>
        <v>5698441.1399999997</v>
      </c>
      <c r="F39" s="173">
        <f>F13</f>
        <v>195623.66999999899</v>
      </c>
      <c r="G39" s="174">
        <f t="shared" si="62"/>
        <v>0.10018288251560989</v>
      </c>
      <c r="H39" s="174">
        <f t="shared" si="63"/>
        <v>0.73925192151113706</v>
      </c>
      <c r="I39" s="173">
        <f>I13</f>
        <v>402286.6985</v>
      </c>
      <c r="J39" s="173">
        <f>J13</f>
        <v>5910148.1199999992</v>
      </c>
      <c r="K39" s="173">
        <f>K13</f>
        <v>407330.64999999851</v>
      </c>
      <c r="L39" s="174">
        <f t="shared" si="65"/>
        <v>0.20860235703561369</v>
      </c>
      <c r="M39" s="174">
        <f t="shared" si="66"/>
        <v>1.0125382010362407</v>
      </c>
      <c r="N39" s="173">
        <f>N13</f>
        <v>719511.64800000004</v>
      </c>
      <c r="O39" s="173">
        <f>O13</f>
        <v>6009796.71</v>
      </c>
      <c r="P39" s="173">
        <f>P13</f>
        <v>506979.23999999929</v>
      </c>
      <c r="Q39" s="174">
        <f t="shared" si="68"/>
        <v>0.25963443809623538</v>
      </c>
      <c r="R39" s="174">
        <f t="shared" si="69"/>
        <v>0.70461575070984706</v>
      </c>
      <c r="S39" s="177">
        <f>S13</f>
        <v>866089.99249999993</v>
      </c>
      <c r="T39" s="173">
        <f>T13</f>
        <v>6163236.7400000002</v>
      </c>
      <c r="U39" s="177">
        <f>U13</f>
        <v>660419.26999999955</v>
      </c>
      <c r="V39" s="174">
        <f t="shared" si="71"/>
        <v>0.3382142157820428</v>
      </c>
      <c r="W39" s="174">
        <f t="shared" si="72"/>
        <v>0.7625296166899187</v>
      </c>
      <c r="X39" s="177">
        <f>X13</f>
        <v>1099488.8160000001</v>
      </c>
      <c r="Y39" s="173">
        <f>Y13</f>
        <v>6247496.3500000006</v>
      </c>
      <c r="Z39" s="177">
        <f>Z13</f>
        <v>744678.87999999989</v>
      </c>
      <c r="AA39" s="174">
        <f t="shared" si="74"/>
        <v>0.3813652854324649</v>
      </c>
      <c r="AB39" s="214">
        <f t="shared" si="75"/>
        <v>0.67729554786121604</v>
      </c>
      <c r="AC39" s="172">
        <f>AC13</f>
        <v>1203795.7365000001</v>
      </c>
      <c r="AD39" s="173">
        <f>AD13</f>
        <v>6355576.2200000007</v>
      </c>
      <c r="AE39" s="173">
        <f>AE13</f>
        <v>852758.75</v>
      </c>
      <c r="AF39" s="174">
        <f t="shared" si="77"/>
        <v>0.43671519742681841</v>
      </c>
      <c r="AG39" s="218">
        <f t="shared" si="84"/>
        <v>0.70839156855578378</v>
      </c>
      <c r="AH39" s="172">
        <f>AH13</f>
        <v>1396897.4170000001</v>
      </c>
      <c r="AI39" s="173">
        <f>AI13</f>
        <v>6483082.79</v>
      </c>
      <c r="AJ39" s="173">
        <f>AJ13</f>
        <v>980265.31999999937</v>
      </c>
      <c r="AK39" s="187">
        <f t="shared" si="85"/>
        <v>0.50201391982722321</v>
      </c>
      <c r="AL39" s="183">
        <f t="shared" si="86"/>
        <v>0.70174467220737891</v>
      </c>
      <c r="AM39" s="216">
        <f t="shared" si="79"/>
        <v>-416632.09700000077</v>
      </c>
      <c r="AN39" s="180">
        <f>AN13</f>
        <v>1491376.2975000001</v>
      </c>
      <c r="AO39" s="173">
        <f>AO13</f>
        <v>6547714.0800000001</v>
      </c>
      <c r="AP39" s="173">
        <f>AP13</f>
        <v>1044896.6099999994</v>
      </c>
      <c r="AQ39" s="174">
        <f t="shared" si="93"/>
        <v>0.53511292534584143</v>
      </c>
      <c r="AR39" s="183">
        <f t="shared" si="87"/>
        <v>0.70062573191726574</v>
      </c>
      <c r="AS39" s="173">
        <f>AS13</f>
        <v>1654821.2094999999</v>
      </c>
      <c r="AT39" s="173">
        <f>AT13</f>
        <v>6619358.9400000004</v>
      </c>
      <c r="AU39" s="173">
        <f>AU13</f>
        <v>1116541.4699999997</v>
      </c>
      <c r="AV39" s="174">
        <f t="shared" si="88"/>
        <v>0.57180372351064113</v>
      </c>
      <c r="AW39" s="183">
        <f t="shared" si="89"/>
        <v>0.67472030427828511</v>
      </c>
      <c r="AX39" s="173">
        <f>AX13</f>
        <v>1821652.4509999999</v>
      </c>
      <c r="AY39" s="173">
        <f>AY13</f>
        <v>6672960.5300000003</v>
      </c>
      <c r="AZ39" s="173">
        <f>AZ13</f>
        <v>1170143.0599999996</v>
      </c>
      <c r="BA39" s="174">
        <f t="shared" si="90"/>
        <v>0.59925419406780789</v>
      </c>
      <c r="BB39" s="183">
        <f t="shared" si="91"/>
        <v>0.64235252962640987</v>
      </c>
      <c r="BC39" s="173">
        <f>BC13</f>
        <v>6813774.7299999995</v>
      </c>
      <c r="BD39" s="173">
        <f>BD13</f>
        <v>1310957.2599999988</v>
      </c>
      <c r="BE39" s="174">
        <f t="shared" si="92"/>
        <v>0.6713680259733722</v>
      </c>
      <c r="BF39" s="173"/>
    </row>
    <row r="40" spans="1:58" s="205" customFormat="1" ht="15">
      <c r="A40" s="169" t="s">
        <v>817</v>
      </c>
      <c r="B40" s="170">
        <f>B12+B22</f>
        <v>23834693.379999999</v>
      </c>
      <c r="C40" s="180">
        <f>C12+C22</f>
        <v>98000743.469999999</v>
      </c>
      <c r="D40" s="173">
        <f>D12+D22</f>
        <v>3502123.26</v>
      </c>
      <c r="E40" s="173">
        <f>E12+E22</f>
        <v>101791398.90000001</v>
      </c>
      <c r="F40" s="173">
        <f>F12+F22</f>
        <v>3790655.4299999988</v>
      </c>
      <c r="G40" s="174">
        <f t="shared" si="62"/>
        <v>0.15903940401351196</v>
      </c>
      <c r="H40" s="174">
        <f t="shared" si="63"/>
        <v>1.0823877826618813</v>
      </c>
      <c r="I40" s="173">
        <f>I12+I22</f>
        <v>3935184</v>
      </c>
      <c r="J40" s="173">
        <f>J12+J22</f>
        <v>103625662.19</v>
      </c>
      <c r="K40" s="173">
        <f>K12+K22</f>
        <v>5624918.7199999886</v>
      </c>
      <c r="L40" s="174">
        <f t="shared" si="65"/>
        <v>0.23599710851409278</v>
      </c>
      <c r="M40" s="174">
        <f t="shared" si="66"/>
        <v>1.4293915405226258</v>
      </c>
      <c r="N40" s="173">
        <f>N12+N22</f>
        <v>6272925.2899999991</v>
      </c>
      <c r="O40" s="173">
        <f>O12+O22</f>
        <v>104082841.81</v>
      </c>
      <c r="P40" s="173">
        <f>P12+P22</f>
        <v>6082098.3399999933</v>
      </c>
      <c r="Q40" s="174">
        <f t="shared" si="68"/>
        <v>0.25517837561541956</v>
      </c>
      <c r="R40" s="174">
        <f t="shared" si="69"/>
        <v>0.96957927263947918</v>
      </c>
      <c r="S40" s="177">
        <f>S12+S22</f>
        <v>7659172.5399999991</v>
      </c>
      <c r="T40" s="173">
        <f>T12+T22</f>
        <v>107036320.93000001</v>
      </c>
      <c r="U40" s="177">
        <f>U12+U22</f>
        <v>9035577.4599999972</v>
      </c>
      <c r="V40" s="174">
        <f t="shared" si="71"/>
        <v>0.37909350525070601</v>
      </c>
      <c r="W40" s="174">
        <f t="shared" si="72"/>
        <v>1.1797067389214342</v>
      </c>
      <c r="X40" s="177">
        <f>X12+X22</f>
        <v>8979373.6699999999</v>
      </c>
      <c r="Y40" s="173">
        <f>Y12+Y22</f>
        <v>107674611.02000001</v>
      </c>
      <c r="Z40" s="177">
        <f>Z12+Z22</f>
        <v>9673867.5500000007</v>
      </c>
      <c r="AA40" s="174">
        <f t="shared" si="74"/>
        <v>0.40587337943761714</v>
      </c>
      <c r="AB40" s="214">
        <f t="shared" si="75"/>
        <v>1.077343243028219</v>
      </c>
      <c r="AC40" s="172">
        <f>AC12+AC22</f>
        <v>10309426.92</v>
      </c>
      <c r="AD40" s="173">
        <f>AD12+AD22</f>
        <v>109077891.93000001</v>
      </c>
      <c r="AE40" s="173">
        <f>AE12+AE22</f>
        <v>11077148.459999997</v>
      </c>
      <c r="AF40" s="174">
        <f t="shared" si="77"/>
        <v>0.46474893901068498</v>
      </c>
      <c r="AG40" s="183">
        <f t="shared" si="84"/>
        <v>1.0744679162049871</v>
      </c>
      <c r="AH40" s="172">
        <f>AH12+AH22</f>
        <v>13044979.050000001</v>
      </c>
      <c r="AI40" s="173">
        <f>AI12+AI22</f>
        <v>110321085.92</v>
      </c>
      <c r="AJ40" s="173">
        <f>AJ12+AJ22</f>
        <v>12320342.450000001</v>
      </c>
      <c r="AK40" s="174">
        <f t="shared" si="85"/>
        <v>0.51690794815670504</v>
      </c>
      <c r="AL40" s="183">
        <f t="shared" si="86"/>
        <v>0.94445091883838639</v>
      </c>
      <c r="AM40" s="216">
        <f t="shared" si="79"/>
        <v>-724636.59999999963</v>
      </c>
      <c r="AN40" s="180">
        <f>AN12+AN22</f>
        <v>14184281.629999999</v>
      </c>
      <c r="AO40" s="173">
        <f>AO12+AO22</f>
        <v>114290406.62</v>
      </c>
      <c r="AP40" s="173">
        <f>AP12+AP22</f>
        <v>16289663.150000004</v>
      </c>
      <c r="AQ40" s="174">
        <f t="shared" si="93"/>
        <v>0.68344336930589056</v>
      </c>
      <c r="AR40" s="183">
        <f t="shared" si="87"/>
        <v>1.1484306061399039</v>
      </c>
      <c r="AS40" s="173">
        <f>AS12+AS22</f>
        <v>16115749.42</v>
      </c>
      <c r="AT40" s="173">
        <f>AT12+AT22</f>
        <v>117026583.81000002</v>
      </c>
      <c r="AU40" s="173">
        <f>AU12+AU22</f>
        <v>19025840.340000018</v>
      </c>
      <c r="AV40" s="174">
        <f t="shared" si="88"/>
        <v>0.7982414557077897</v>
      </c>
      <c r="AW40" s="183">
        <f t="shared" si="89"/>
        <v>1.1805743465078038</v>
      </c>
      <c r="AX40" s="173">
        <f>AX12+AX22</f>
        <v>20379477.109999999</v>
      </c>
      <c r="AY40" s="173">
        <f>AY12+AY22</f>
        <v>119091319.91000001</v>
      </c>
      <c r="AZ40" s="173">
        <f>AZ12+AZ22</f>
        <v>21090576.440000005</v>
      </c>
      <c r="BA40" s="174">
        <f t="shared" si="90"/>
        <v>0.88486879624377224</v>
      </c>
      <c r="BB40" s="183">
        <f t="shared" si="91"/>
        <v>1.0348929134031155</v>
      </c>
      <c r="BC40" s="173">
        <f>BC12+BC22</f>
        <v>122620795.89000002</v>
      </c>
      <c r="BD40" s="173">
        <f>BD12+BD22</f>
        <v>24620052.420000009</v>
      </c>
      <c r="BE40" s="174">
        <f t="shared" si="92"/>
        <v>1.0329502472500449</v>
      </c>
      <c r="BF40" s="173"/>
    </row>
    <row r="41" spans="1:58" s="205" customFormat="1" ht="15">
      <c r="A41" s="181" t="s">
        <v>816</v>
      </c>
      <c r="B41" s="170">
        <f>B11+B21+B27</f>
        <v>131601138.21116027</v>
      </c>
      <c r="C41" s="180">
        <f>C11+C21+C27</f>
        <v>551424719.98000002</v>
      </c>
      <c r="D41" s="173">
        <f>D11+D21+D27</f>
        <v>10652125.650000002</v>
      </c>
      <c r="E41" s="173">
        <f>E11+E21+E27</f>
        <v>558766797.24000001</v>
      </c>
      <c r="F41" s="173">
        <f>F11+F21+F27</f>
        <v>7342077.2600000426</v>
      </c>
      <c r="G41" s="174">
        <f t="shared" si="62"/>
        <v>5.5790378106147766E-2</v>
      </c>
      <c r="H41" s="174">
        <f t="shared" si="63"/>
        <v>0.68925935547897343</v>
      </c>
      <c r="I41" s="173">
        <f>I11+I21+I27</f>
        <v>17434426.504000001</v>
      </c>
      <c r="J41" s="173">
        <f>J11+J21+J27</f>
        <v>564799338.25999999</v>
      </c>
      <c r="K41" s="173">
        <f>K11+K21+K27</f>
        <v>13374618.280000066</v>
      </c>
      <c r="L41" s="174">
        <f t="shared" si="65"/>
        <v>0.10162995899427447</v>
      </c>
      <c r="M41" s="174">
        <f t="shared" si="66"/>
        <v>0.7671384130089689</v>
      </c>
      <c r="N41" s="173">
        <f>N11+N21+N27</f>
        <v>21734473.607021905</v>
      </c>
      <c r="O41" s="173">
        <f>O11+O21+O27</f>
        <v>568040553.14999998</v>
      </c>
      <c r="P41" s="173">
        <f>P11+P21+P27</f>
        <v>16615833.170000058</v>
      </c>
      <c r="Q41" s="174">
        <f t="shared" si="68"/>
        <v>0.12625903845405323</v>
      </c>
      <c r="R41" s="174">
        <f t="shared" si="69"/>
        <v>0.76449209078759872</v>
      </c>
      <c r="S41" s="177">
        <f>S11+S21+S27</f>
        <v>35266503.077021904</v>
      </c>
      <c r="T41" s="173">
        <f>T11+T21+T27</f>
        <v>578310474.06000006</v>
      </c>
      <c r="U41" s="177">
        <f>U11+U21+U27</f>
        <v>26885754.080000121</v>
      </c>
      <c r="V41" s="174">
        <f t="shared" si="71"/>
        <v>0.20429727618966831</v>
      </c>
      <c r="W41" s="174">
        <f t="shared" si="72"/>
        <v>0.76235951212065856</v>
      </c>
      <c r="X41" s="177">
        <f>X11+X21+X27</f>
        <v>43978736.927021898</v>
      </c>
      <c r="Y41" s="173">
        <f>Y11+Y21+Y27</f>
        <v>593019468.23000002</v>
      </c>
      <c r="Z41" s="177">
        <f>Z11+Z21+Z27</f>
        <v>41594748.250000142</v>
      </c>
      <c r="AA41" s="174">
        <f t="shared" si="74"/>
        <v>0.31606678190928256</v>
      </c>
      <c r="AB41" s="214">
        <f t="shared" si="75"/>
        <v>0.94579224317019983</v>
      </c>
      <c r="AC41" s="172">
        <f>AC11+AC21+AC27</f>
        <v>59988727.198285274</v>
      </c>
      <c r="AD41" s="173">
        <f>AD11+AD21+AD27</f>
        <v>597183953.3499999</v>
      </c>
      <c r="AE41" s="173">
        <f>AE11+AE21+AE27</f>
        <v>45759233.37000002</v>
      </c>
      <c r="AF41" s="174">
        <f t="shared" si="77"/>
        <v>0.34771153192138171</v>
      </c>
      <c r="AG41" s="184">
        <f t="shared" si="84"/>
        <v>0.76279720386046146</v>
      </c>
      <c r="AH41" s="172">
        <f>AH11+AH21+AH27</f>
        <v>72397303.758285284</v>
      </c>
      <c r="AI41" s="173">
        <f>AI11+AI21+AI27</f>
        <v>607278753.77999997</v>
      </c>
      <c r="AJ41" s="173">
        <f>AJ11+AJ21+AJ27</f>
        <v>55854033.800000109</v>
      </c>
      <c r="AK41" s="185">
        <f t="shared" si="85"/>
        <v>0.424419078430611</v>
      </c>
      <c r="AL41" s="183">
        <f t="shared" si="86"/>
        <v>0.77149328635885928</v>
      </c>
      <c r="AM41" s="215">
        <f t="shared" si="79"/>
        <v>-16543269.958285175</v>
      </c>
      <c r="AN41" s="180">
        <f>AN11+AN21+AN27</f>
        <v>77149260.658285275</v>
      </c>
      <c r="AO41" s="173">
        <f>AO11+AO21+AO27</f>
        <v>617079459.46000004</v>
      </c>
      <c r="AP41" s="173">
        <f>AP11+AP21+AP27</f>
        <v>65654739.480000034</v>
      </c>
      <c r="AQ41" s="174">
        <f t="shared" si="93"/>
        <v>0.498891881730186</v>
      </c>
      <c r="AR41" s="183">
        <f t="shared" si="87"/>
        <v>0.85100931518712086</v>
      </c>
      <c r="AS41" s="173">
        <f>AS11+AS21+AS27</f>
        <v>98187514.204973638</v>
      </c>
      <c r="AT41" s="173">
        <f>AT11+AT21+AT27</f>
        <v>628604893.09000003</v>
      </c>
      <c r="AU41" s="173">
        <f>AU11+AU21+AU27</f>
        <v>77180173.110000104</v>
      </c>
      <c r="AV41" s="174">
        <f t="shared" si="88"/>
        <v>0.58647040716441867</v>
      </c>
      <c r="AW41" s="183">
        <f t="shared" si="89"/>
        <v>0.78604875309177125</v>
      </c>
      <c r="AX41" s="173">
        <f>AX11+AX21+AX27</f>
        <v>118732296.93497366</v>
      </c>
      <c r="AY41" s="173">
        <f>AY11+AY21+AY27</f>
        <v>636622489.22000003</v>
      </c>
      <c r="AZ41" s="173">
        <f>AZ11+AZ21+AZ27</f>
        <v>85197769.240000069</v>
      </c>
      <c r="BA41" s="174">
        <f t="shared" si="90"/>
        <v>0.64739386298693102</v>
      </c>
      <c r="BB41" s="183">
        <f>AZ41/AX41</f>
        <v>0.7175618718692901</v>
      </c>
      <c r="BC41" s="173">
        <f>BC11+BC21+BC27</f>
        <v>660103979.81999993</v>
      </c>
      <c r="BD41" s="173">
        <f>BD11+BD21+BD27</f>
        <v>108679259.84</v>
      </c>
      <c r="BE41" s="174">
        <f t="shared" si="92"/>
        <v>0.8258230993839808</v>
      </c>
      <c r="BF41" s="173"/>
    </row>
    <row r="42" spans="1:58" s="205" customFormat="1" thickBot="1">
      <c r="A42" s="189" t="s">
        <v>827</v>
      </c>
      <c r="B42" s="190">
        <f>SUM(B33:B41)</f>
        <v>493606219.01186025</v>
      </c>
      <c r="C42" s="196">
        <f>SUM(C33:C41)</f>
        <v>1764259377.1141362</v>
      </c>
      <c r="D42" s="193">
        <f>SUM(D33:D41)</f>
        <v>53249404.487499997</v>
      </c>
      <c r="E42" s="193">
        <f>SUM(E33:E41)</f>
        <v>1846959949.8500001</v>
      </c>
      <c r="F42" s="193">
        <f>SUM(F33:F41)</f>
        <v>82700572.735864013</v>
      </c>
      <c r="G42" s="194">
        <f t="shared" si="62"/>
        <v>0.1675436198948638</v>
      </c>
      <c r="H42" s="194">
        <f t="shared" si="63"/>
        <v>1.5530797674043006</v>
      </c>
      <c r="I42" s="193">
        <f>SUM(I33:I41)</f>
        <v>87051936.11650002</v>
      </c>
      <c r="J42" s="193">
        <f>SUM(J33:J41)</f>
        <v>1857310548.3900001</v>
      </c>
      <c r="K42" s="193">
        <f>SUM(K33:K41)</f>
        <v>93051171.27586402</v>
      </c>
      <c r="L42" s="194">
        <f t="shared" si="65"/>
        <v>0.18851296375913004</v>
      </c>
      <c r="M42" s="194">
        <f t="shared" si="66"/>
        <v>1.0689155856491845</v>
      </c>
      <c r="N42" s="193">
        <f>SUM(N33:N41)</f>
        <v>117396325.24902189</v>
      </c>
      <c r="O42" s="193">
        <f>SUM(O33:O41)</f>
        <v>1925857788.9200001</v>
      </c>
      <c r="P42" s="193">
        <f>SUM(P33:P41)</f>
        <v>161598411.80586404</v>
      </c>
      <c r="Q42" s="194">
        <f t="shared" si="68"/>
        <v>0.32738325730450568</v>
      </c>
      <c r="R42" s="194">
        <f t="shared" si="69"/>
        <v>1.376520188882236</v>
      </c>
      <c r="S42" s="193">
        <f>SUM(S33:S41)</f>
        <v>161757426.2135219</v>
      </c>
      <c r="T42" s="193">
        <f>SUM(T33:T41)</f>
        <v>1962383459.3400002</v>
      </c>
      <c r="U42" s="193">
        <f>SUM(U33:U41)</f>
        <v>198124082.2258642</v>
      </c>
      <c r="V42" s="194">
        <f>U42/B42</f>
        <v>0.40138084690765152</v>
      </c>
      <c r="W42" s="194">
        <f t="shared" si="72"/>
        <v>1.2248221727040702</v>
      </c>
      <c r="X42" s="193">
        <f>SUM(X33:X41)</f>
        <v>199036797.86302188</v>
      </c>
      <c r="Y42" s="193">
        <f>SUM(Y33:Y41)</f>
        <v>1992949380.432816</v>
      </c>
      <c r="Z42" s="193">
        <f>SUM(Z33:Z41)</f>
        <v>228690003.3186802</v>
      </c>
      <c r="AA42" s="194">
        <f t="shared" si="74"/>
        <v>0.46330454218443567</v>
      </c>
      <c r="AB42" s="219">
        <f t="shared" si="75"/>
        <v>1.1489835335678269</v>
      </c>
      <c r="AC42" s="192">
        <f>SUM(AC33:AC41)</f>
        <v>244824054.23478526</v>
      </c>
      <c r="AD42" s="193">
        <f>SUM(AD33:AD41)</f>
        <v>1995993022.9641361</v>
      </c>
      <c r="AE42" s="193">
        <f>SUM(AE33:AE41)</f>
        <v>231733645.85000008</v>
      </c>
      <c r="AF42" s="194">
        <f t="shared" si="77"/>
        <v>0.46947067707919626</v>
      </c>
      <c r="AG42" s="195">
        <f t="shared" si="84"/>
        <v>0.9465313634083049</v>
      </c>
      <c r="AH42" s="192">
        <f>SUM(AH33:AH41)</f>
        <v>288910912.19528526</v>
      </c>
      <c r="AI42" s="193">
        <f t="shared" ref="AI42:AJ42" si="94">SUM(AI33:AI41)</f>
        <v>2025907717.4841359</v>
      </c>
      <c r="AJ42" s="193">
        <f t="shared" si="94"/>
        <v>261648340.37000003</v>
      </c>
      <c r="AK42" s="194">
        <f t="shared" si="85"/>
        <v>0.53007504827185581</v>
      </c>
      <c r="AL42" s="195">
        <f t="shared" si="86"/>
        <v>0.90563675280337808</v>
      </c>
      <c r="AM42" s="192">
        <f t="shared" si="79"/>
        <v>-27262571.825285226</v>
      </c>
      <c r="AN42" s="196">
        <f>SUM(AN33:AN41)</f>
        <v>321755094.23578531</v>
      </c>
      <c r="AO42" s="193">
        <f t="shared" ref="AO42:AP42" si="95">SUM(AO33:AO41)</f>
        <v>2072697897.564136</v>
      </c>
      <c r="AP42" s="193">
        <f t="shared" si="95"/>
        <v>308438520.45000005</v>
      </c>
      <c r="AQ42" s="197">
        <f t="shared" si="93"/>
        <v>0.62486757372598856</v>
      </c>
      <c r="AR42" s="195">
        <f t="shared" si="87"/>
        <v>0.95861270256679532</v>
      </c>
      <c r="AS42" s="193">
        <f>SUM(AS33:AS41)</f>
        <v>381621720.8044737</v>
      </c>
      <c r="AT42" s="193">
        <f t="shared" ref="AT42:AU42" si="96">SUM(AT33:AT41)</f>
        <v>2109543136.4741359</v>
      </c>
      <c r="AU42" s="193">
        <f t="shared" si="96"/>
        <v>345283759.36000013</v>
      </c>
      <c r="AV42" s="197">
        <f>AU42/B42</f>
        <v>0.69951257917944454</v>
      </c>
      <c r="AW42" s="195">
        <f t="shared" si="89"/>
        <v>0.90478015410686874</v>
      </c>
      <c r="AX42" s="193">
        <f>SUM(AX33:AX41)</f>
        <v>446537430.53597367</v>
      </c>
      <c r="AY42" s="193">
        <f t="shared" ref="AY42:AZ42" si="97">SUM(AY33:AY41)</f>
        <v>2144915015.9441361</v>
      </c>
      <c r="AZ42" s="193">
        <f t="shared" si="97"/>
        <v>380655638.8300001</v>
      </c>
      <c r="BA42" s="197">
        <f>AZ42/B42</f>
        <v>0.77117269630845919</v>
      </c>
      <c r="BB42" s="195">
        <f>AZ42/AX42</f>
        <v>0.85246076319538</v>
      </c>
      <c r="BC42" s="193">
        <f t="shared" ref="BC42:BD42" si="98">SUM(BC33:BC41)</f>
        <v>2225670753.0941362</v>
      </c>
      <c r="BD42" s="193">
        <f t="shared" si="98"/>
        <v>461411375.98000002</v>
      </c>
      <c r="BE42" s="197">
        <f>BD42/B42</f>
        <v>0.93477626133578628</v>
      </c>
      <c r="BF42" s="376"/>
    </row>
    <row r="43" spans="1:58" s="205" customFormat="1" ht="15">
      <c r="A43" s="220"/>
      <c r="B43" s="221"/>
      <c r="C43" s="221"/>
      <c r="D43" s="221"/>
      <c r="E43" s="221"/>
      <c r="F43" s="221"/>
      <c r="G43" s="222"/>
      <c r="I43" s="221"/>
      <c r="J43" s="221"/>
      <c r="K43" s="221"/>
      <c r="L43" s="222"/>
      <c r="N43"/>
      <c r="S43" s="223"/>
      <c r="U43" s="223"/>
      <c r="X43" s="223"/>
      <c r="Z43" s="223"/>
    </row>
    <row r="44" spans="1:58" ht="15">
      <c r="A44" s="224"/>
      <c r="B44" s="224"/>
      <c r="C44" s="224"/>
      <c r="D44" s="224"/>
      <c r="E44" s="224"/>
      <c r="F44" s="224"/>
      <c r="G44" s="224"/>
      <c r="I44" s="224"/>
      <c r="J44" s="224"/>
      <c r="K44" s="224"/>
      <c r="L44" s="224"/>
    </row>
    <row r="45" spans="1:58" ht="15.75" customHeight="1">
      <c r="A45" s="224"/>
      <c r="B45" s="224"/>
      <c r="C45" s="224"/>
      <c r="D45" s="224"/>
      <c r="E45" s="224"/>
      <c r="F45" s="224"/>
      <c r="G45" s="224"/>
      <c r="I45" s="224"/>
      <c r="J45" s="224"/>
      <c r="K45" s="224"/>
      <c r="L45" s="224"/>
    </row>
    <row r="46" spans="1:58" ht="15.75" customHeight="1">
      <c r="A46" s="224"/>
      <c r="B46" s="224"/>
      <c r="C46" s="224"/>
      <c r="D46" s="224"/>
      <c r="E46" s="224"/>
      <c r="F46" s="224"/>
      <c r="G46" s="224"/>
      <c r="I46" s="224"/>
      <c r="J46" s="224"/>
      <c r="K46" s="224"/>
      <c r="L46" s="224"/>
    </row>
    <row r="47" spans="1:58" ht="15.75" customHeight="1">
      <c r="A47" s="225"/>
      <c r="B47" s="226"/>
      <c r="C47" s="226"/>
      <c r="D47" s="226"/>
      <c r="E47" s="226"/>
      <c r="F47" s="226"/>
      <c r="G47" s="227"/>
      <c r="I47" s="226"/>
      <c r="J47" s="226"/>
      <c r="K47" s="226"/>
      <c r="L47" s="227"/>
    </row>
    <row r="48" spans="1:58" ht="15.75" customHeight="1">
      <c r="A48" s="225"/>
      <c r="B48" s="226"/>
      <c r="C48" s="226"/>
      <c r="D48" s="226"/>
      <c r="E48" s="226"/>
      <c r="F48" s="226"/>
      <c r="G48" s="227"/>
      <c r="I48" s="226"/>
      <c r="J48" s="226"/>
      <c r="K48" s="226"/>
      <c r="L48" s="227"/>
    </row>
    <row r="49" spans="1:12" ht="15">
      <c r="A49" s="225"/>
      <c r="B49" s="226"/>
      <c r="C49" s="226"/>
      <c r="D49" s="226"/>
      <c r="E49" s="226"/>
      <c r="F49" s="226"/>
      <c r="G49" s="227"/>
      <c r="I49" s="226"/>
      <c r="J49" s="226"/>
      <c r="K49" s="226"/>
      <c r="L49" s="227"/>
    </row>
    <row r="50" spans="1:12" ht="15">
      <c r="A50" s="225"/>
      <c r="B50" s="228"/>
      <c r="C50" s="228"/>
      <c r="D50" s="228"/>
      <c r="E50" s="229"/>
      <c r="F50" s="229"/>
      <c r="G50" s="230"/>
      <c r="I50" s="228"/>
      <c r="J50" s="229"/>
      <c r="K50" s="229"/>
      <c r="L50" s="230"/>
    </row>
    <row r="51" spans="1:12" ht="15">
      <c r="A51" s="225"/>
      <c r="B51" s="228"/>
      <c r="C51" s="228"/>
      <c r="D51" s="228"/>
      <c r="E51" s="229"/>
      <c r="F51" s="229"/>
      <c r="G51" s="230"/>
      <c r="I51" s="228"/>
      <c r="J51" s="229"/>
      <c r="K51" s="229"/>
      <c r="L51" s="230"/>
    </row>
    <row r="52" spans="1:12" ht="15">
      <c r="A52" s="225"/>
      <c r="B52" s="228"/>
      <c r="C52" s="228"/>
      <c r="D52" s="228"/>
      <c r="E52" s="229"/>
      <c r="F52" s="229"/>
      <c r="G52" s="230"/>
      <c r="I52" s="228"/>
      <c r="J52" s="229"/>
      <c r="K52" s="229"/>
      <c r="L52" s="230"/>
    </row>
    <row r="53" spans="1:12">
      <c r="A53" s="225"/>
    </row>
    <row r="54" spans="1:12">
      <c r="B54" s="234"/>
      <c r="C54" s="234"/>
      <c r="D54" s="234"/>
      <c r="E54" s="234"/>
      <c r="F54" s="234"/>
      <c r="G54" s="235"/>
      <c r="I54" s="234"/>
      <c r="J54" s="234"/>
      <c r="K54" s="234"/>
      <c r="L54" s="235"/>
    </row>
    <row r="55" spans="1:12" ht="20.25">
      <c r="B55" s="236"/>
      <c r="C55" s="237"/>
      <c r="D55" s="237"/>
      <c r="E55" s="238"/>
      <c r="F55" s="238"/>
      <c r="G55" s="239"/>
      <c r="I55" s="237"/>
      <c r="J55" s="238"/>
      <c r="K55" s="238"/>
      <c r="L55" s="239"/>
    </row>
    <row r="56" spans="1:12" ht="20.25">
      <c r="B56" s="240"/>
      <c r="C56" s="240"/>
      <c r="D56" s="240"/>
      <c r="E56" s="241"/>
      <c r="F56" s="241"/>
      <c r="G56" s="242"/>
      <c r="I56" s="240"/>
      <c r="J56" s="241"/>
      <c r="K56" s="241"/>
      <c r="L56" s="242"/>
    </row>
    <row r="57" spans="1:12" ht="20.25">
      <c r="A57" s="243"/>
      <c r="B57" s="244"/>
      <c r="C57" s="244"/>
      <c r="D57" s="244"/>
      <c r="E57" s="244"/>
      <c r="F57" s="244"/>
      <c r="G57" s="245"/>
      <c r="I57" s="244"/>
      <c r="J57" s="244"/>
      <c r="K57" s="244"/>
      <c r="L57" s="245"/>
    </row>
    <row r="58" spans="1:12">
      <c r="A58" s="246"/>
    </row>
    <row r="59" spans="1:12">
      <c r="A59" s="247"/>
      <c r="B59" s="234"/>
      <c r="C59" s="234"/>
      <c r="D59" s="234"/>
      <c r="E59" s="234"/>
      <c r="F59" s="234"/>
      <c r="G59" s="235"/>
      <c r="I59" s="234"/>
      <c r="J59" s="234"/>
      <c r="K59" s="234"/>
      <c r="L59" s="235"/>
    </row>
  </sheetData>
  <mergeCells count="23">
    <mergeCell ref="AC32:AG32"/>
    <mergeCell ref="D32:H32"/>
    <mergeCell ref="I32:M32"/>
    <mergeCell ref="N32:R32"/>
    <mergeCell ref="S32:W32"/>
    <mergeCell ref="X32:AB32"/>
    <mergeCell ref="AH32:AL32"/>
    <mergeCell ref="AN32:AR32"/>
    <mergeCell ref="AS32:AW32"/>
    <mergeCell ref="AX32:BB32"/>
    <mergeCell ref="BC32:BE32"/>
    <mergeCell ref="AX4:BB4"/>
    <mergeCell ref="BC4:BE4"/>
    <mergeCell ref="A1:W1"/>
    <mergeCell ref="D4:H4"/>
    <mergeCell ref="I4:M4"/>
    <mergeCell ref="N4:R4"/>
    <mergeCell ref="S4:W4"/>
    <mergeCell ref="X4:AB4"/>
    <mergeCell ref="AC4:AG4"/>
    <mergeCell ref="AH4:AM4"/>
    <mergeCell ref="AN4:AR4"/>
    <mergeCell ref="AS4:AW4"/>
  </mergeCells>
  <conditionalFormatting sqref="L42:M42">
    <cfRule type="iconSet" priority="98">
      <iconSet iconSet="3Arrows">
        <cfvo type="percent" val="0"/>
        <cfvo type="num" val="1"/>
        <cfvo type="num" val="1" gte="0"/>
      </iconSet>
    </cfRule>
  </conditionalFormatting>
  <conditionalFormatting sqref="L33:L41">
    <cfRule type="iconSet" priority="99">
      <iconSet iconSet="3Arrows">
        <cfvo type="percent" val="0"/>
        <cfvo type="num" val="1"/>
        <cfvo type="num" val="1" gte="0"/>
      </iconSet>
    </cfRule>
  </conditionalFormatting>
  <conditionalFormatting sqref="M28 M23 M14 L6:M6 L33:L43 M42 L7:L29">
    <cfRule type="iconSet" priority="100">
      <iconSet iconSet="3Arrows">
        <cfvo type="percent" val="0"/>
        <cfvo type="num" val="1"/>
        <cfvo type="num" val="1" gte="0"/>
      </iconSet>
    </cfRule>
  </conditionalFormatting>
  <conditionalFormatting sqref="M7:M13">
    <cfRule type="iconSet" priority="97">
      <iconSet iconSet="3Arrows">
        <cfvo type="percent" val="0"/>
        <cfvo type="num" val="1"/>
        <cfvo type="num" val="1" gte="0"/>
      </iconSet>
    </cfRule>
  </conditionalFormatting>
  <conditionalFormatting sqref="M15:M22">
    <cfRule type="iconSet" priority="96">
      <iconSet iconSet="3Arrows">
        <cfvo type="percent" val="0"/>
        <cfvo type="num" val="1"/>
        <cfvo type="num" val="1" gte="0"/>
      </iconSet>
    </cfRule>
  </conditionalFormatting>
  <conditionalFormatting sqref="M24:M27">
    <cfRule type="iconSet" priority="95">
      <iconSet iconSet="3Arrows">
        <cfvo type="percent" val="0"/>
        <cfvo type="num" val="1"/>
        <cfvo type="num" val="1" gte="0"/>
      </iconSet>
    </cfRule>
  </conditionalFormatting>
  <conditionalFormatting sqref="M33:M41">
    <cfRule type="iconSet" priority="94">
      <iconSet iconSet="3Arrows">
        <cfvo type="percent" val="0"/>
        <cfvo type="num" val="1"/>
        <cfvo type="num" val="1" gte="0"/>
      </iconSet>
    </cfRule>
  </conditionalFormatting>
  <conditionalFormatting sqref="G42:H42">
    <cfRule type="iconSet" priority="91">
      <iconSet iconSet="3Arrows">
        <cfvo type="percent" val="0"/>
        <cfvo type="num" val="1"/>
        <cfvo type="num" val="1" gte="0"/>
      </iconSet>
    </cfRule>
  </conditionalFormatting>
  <conditionalFormatting sqref="G33:G42">
    <cfRule type="iconSet" priority="92">
      <iconSet iconSet="3Arrows">
        <cfvo type="percent" val="0"/>
        <cfvo type="num" val="1"/>
        <cfvo type="num" val="1" gte="0"/>
      </iconSet>
    </cfRule>
  </conditionalFormatting>
  <conditionalFormatting sqref="H28 H23 H14 H42 G6:H6 G33:G43 G7:G29">
    <cfRule type="iconSet" priority="93">
      <iconSet iconSet="3Arrows">
        <cfvo type="percent" val="0"/>
        <cfvo type="num" val="1"/>
        <cfvo type="num" val="1" gte="0"/>
      </iconSet>
    </cfRule>
  </conditionalFormatting>
  <conditionalFormatting sqref="H7:H13">
    <cfRule type="iconSet" priority="90">
      <iconSet iconSet="3Arrows">
        <cfvo type="percent" val="0"/>
        <cfvo type="num" val="1"/>
        <cfvo type="num" val="1" gte="0"/>
      </iconSet>
    </cfRule>
  </conditionalFormatting>
  <conditionalFormatting sqref="H15:H22">
    <cfRule type="iconSet" priority="89">
      <iconSet iconSet="3Arrows">
        <cfvo type="percent" val="0"/>
        <cfvo type="num" val="1"/>
        <cfvo type="num" val="1" gte="0"/>
      </iconSet>
    </cfRule>
  </conditionalFormatting>
  <conditionalFormatting sqref="H24:H27">
    <cfRule type="iconSet" priority="88">
      <iconSet iconSet="3Arrows">
        <cfvo type="percent" val="0"/>
        <cfvo type="num" val="1"/>
        <cfvo type="num" val="1" gte="0"/>
      </iconSet>
    </cfRule>
  </conditionalFormatting>
  <conditionalFormatting sqref="H33:H41">
    <cfRule type="iconSet" priority="87">
      <iconSet iconSet="3Arrows">
        <cfvo type="percent" val="0"/>
        <cfvo type="num" val="1"/>
        <cfvo type="num" val="1" gte="0"/>
      </iconSet>
    </cfRule>
  </conditionalFormatting>
  <conditionalFormatting sqref="Q42:R42">
    <cfRule type="iconSet" priority="84">
      <iconSet iconSet="3Arrows">
        <cfvo type="percent" val="0"/>
        <cfvo type="num" val="1"/>
        <cfvo type="num" val="1" gte="0"/>
      </iconSet>
    </cfRule>
  </conditionalFormatting>
  <conditionalFormatting sqref="Q33:Q41">
    <cfRule type="iconSet" priority="85">
      <iconSet iconSet="3Arrows">
        <cfvo type="percent" val="0"/>
        <cfvo type="num" val="1"/>
        <cfvo type="num" val="1" gte="0"/>
      </iconSet>
    </cfRule>
  </conditionalFormatting>
  <conditionalFormatting sqref="R28 R23 R14 Q33:Q42 R42 Q6:R6 Q7:Q29">
    <cfRule type="iconSet" priority="86">
      <iconSet iconSet="3Arrows">
        <cfvo type="percent" val="0"/>
        <cfvo type="num" val="1"/>
        <cfvo type="num" val="1" gte="0"/>
      </iconSet>
    </cfRule>
  </conditionalFormatting>
  <conditionalFormatting sqref="R7:R13">
    <cfRule type="iconSet" priority="83">
      <iconSet iconSet="3Arrows">
        <cfvo type="percent" val="0"/>
        <cfvo type="num" val="1"/>
        <cfvo type="num" val="1" gte="0"/>
      </iconSet>
    </cfRule>
  </conditionalFormatting>
  <conditionalFormatting sqref="R15:R22">
    <cfRule type="iconSet" priority="82">
      <iconSet iconSet="3Arrows">
        <cfvo type="percent" val="0"/>
        <cfvo type="num" val="1"/>
        <cfvo type="num" val="1" gte="0"/>
      </iconSet>
    </cfRule>
  </conditionalFormatting>
  <conditionalFormatting sqref="R24:R27">
    <cfRule type="iconSet" priority="81">
      <iconSet iconSet="3Arrows">
        <cfvo type="percent" val="0"/>
        <cfvo type="num" val="1"/>
        <cfvo type="num" val="1" gte="0"/>
      </iconSet>
    </cfRule>
  </conditionalFormatting>
  <conditionalFormatting sqref="R33:R41">
    <cfRule type="iconSet" priority="80">
      <iconSet iconSet="3Arrows">
        <cfvo type="percent" val="0"/>
        <cfvo type="num" val="1"/>
        <cfvo type="num" val="1" gte="0"/>
      </iconSet>
    </cfRule>
  </conditionalFormatting>
  <conditionalFormatting sqref="V42:W42">
    <cfRule type="iconSet" priority="77">
      <iconSet iconSet="3Arrows">
        <cfvo type="percent" val="0"/>
        <cfvo type="num" val="1"/>
        <cfvo type="num" val="1" gte="0"/>
      </iconSet>
    </cfRule>
  </conditionalFormatting>
  <conditionalFormatting sqref="V33:V41">
    <cfRule type="iconSet" priority="78">
      <iconSet iconSet="3Arrows">
        <cfvo type="percent" val="0"/>
        <cfvo type="num" val="1"/>
        <cfvo type="num" val="1" gte="0"/>
      </iconSet>
    </cfRule>
  </conditionalFormatting>
  <conditionalFormatting sqref="W28 W23 W14 V33:V42 W42 V6:W6 V7:V29">
    <cfRule type="iconSet" priority="79">
      <iconSet iconSet="3Arrows">
        <cfvo type="percent" val="0"/>
        <cfvo type="num" val="1"/>
        <cfvo type="num" val="1" gte="0"/>
      </iconSet>
    </cfRule>
  </conditionalFormatting>
  <conditionalFormatting sqref="W7:W13">
    <cfRule type="iconSet" priority="76">
      <iconSet iconSet="3Arrows">
        <cfvo type="percent" val="0"/>
        <cfvo type="num" val="1"/>
        <cfvo type="num" val="1" gte="0"/>
      </iconSet>
    </cfRule>
  </conditionalFormatting>
  <conditionalFormatting sqref="W15:W22">
    <cfRule type="iconSet" priority="75">
      <iconSet iconSet="3Arrows">
        <cfvo type="percent" val="0"/>
        <cfvo type="num" val="1"/>
        <cfvo type="num" val="1" gte="0"/>
      </iconSet>
    </cfRule>
  </conditionalFormatting>
  <conditionalFormatting sqref="W24:W27">
    <cfRule type="iconSet" priority="74">
      <iconSet iconSet="3Arrows">
        <cfvo type="percent" val="0"/>
        <cfvo type="num" val="1"/>
        <cfvo type="num" val="1" gte="0"/>
      </iconSet>
    </cfRule>
  </conditionalFormatting>
  <conditionalFormatting sqref="W33:W41">
    <cfRule type="iconSet" priority="73">
      <iconSet iconSet="3Arrows">
        <cfvo type="percent" val="0"/>
        <cfvo type="num" val="1"/>
        <cfvo type="num" val="1" gte="0"/>
      </iconSet>
    </cfRule>
  </conditionalFormatting>
  <conditionalFormatting sqref="AA29">
    <cfRule type="iconSet" priority="72">
      <iconSet iconSet="3Arrows">
        <cfvo type="percent" val="0"/>
        <cfvo type="num" val="1"/>
        <cfvo type="num" val="1" gte="0"/>
      </iconSet>
    </cfRule>
  </conditionalFormatting>
  <conditionalFormatting sqref="AG28 AF6:AG6 AF14:AG14 AF23:AG23 AF28:AF29">
    <cfRule type="iconSet" priority="71">
      <iconSet iconSet="3Arrows">
        <cfvo type="percent" val="0"/>
        <cfvo type="num" val="1"/>
        <cfvo type="num" val="1" gte="0"/>
      </iconSet>
    </cfRule>
  </conditionalFormatting>
  <conditionalFormatting sqref="AG15:AG22">
    <cfRule type="iconSet" priority="70">
      <iconSet iconSet="3Arrows">
        <cfvo type="percent" val="0"/>
        <cfvo type="num" val="1"/>
        <cfvo type="num" val="1" gte="0"/>
      </iconSet>
    </cfRule>
  </conditionalFormatting>
  <conditionalFormatting sqref="AG24:AG27">
    <cfRule type="iconSet" priority="69">
      <iconSet iconSet="3Arrows">
        <cfvo type="percent" val="0"/>
        <cfvo type="num" val="1"/>
        <cfvo type="num" val="1" gte="0"/>
      </iconSet>
    </cfRule>
  </conditionalFormatting>
  <conditionalFormatting sqref="AK29">
    <cfRule type="iconSet" priority="68">
      <iconSet iconSet="3Arrows">
        <cfvo type="percent" val="0"/>
        <cfvo type="num" val="1"/>
        <cfvo type="num" val="1" gte="0"/>
      </iconSet>
    </cfRule>
  </conditionalFormatting>
  <conditionalFormatting sqref="AR28 AQ6:AR6 AQ7:AQ29 AR14 AR23">
    <cfRule type="iconSet" priority="67">
      <iconSet iconSet="3Arrows">
        <cfvo type="percent" val="0"/>
        <cfvo type="num" val="1"/>
        <cfvo type="num" val="1" gte="0"/>
      </iconSet>
    </cfRule>
  </conditionalFormatting>
  <conditionalFormatting sqref="AR7:AR13">
    <cfRule type="iconSet" priority="66">
      <iconSet iconSet="3Arrows">
        <cfvo type="percent" val="0"/>
        <cfvo type="num" val="1"/>
        <cfvo type="num" val="1" gte="0"/>
      </iconSet>
    </cfRule>
  </conditionalFormatting>
  <conditionalFormatting sqref="AV6:AV29">
    <cfRule type="iconSet" priority="65">
      <iconSet iconSet="3Arrows">
        <cfvo type="percent" val="0"/>
        <cfvo type="num" val="1"/>
        <cfvo type="num" val="1" gte="0"/>
      </iconSet>
    </cfRule>
  </conditionalFormatting>
  <conditionalFormatting sqref="AW6:AW28">
    <cfRule type="iconSet" priority="64">
      <iconSet iconSet="3Arrows">
        <cfvo type="percent" val="0"/>
        <cfvo type="num" val="1"/>
        <cfvo type="num" val="1" gte="0"/>
      </iconSet>
    </cfRule>
  </conditionalFormatting>
  <conditionalFormatting sqref="BB28 BA6:BB6 BA7:BA29 BB14 BB23">
    <cfRule type="iconSet" priority="63">
      <iconSet iconSet="3Arrows">
        <cfvo type="percent" val="0"/>
        <cfvo type="num" val="1"/>
        <cfvo type="num" val="1" gte="0"/>
      </iconSet>
    </cfRule>
  </conditionalFormatting>
  <conditionalFormatting sqref="BB7:BB13">
    <cfRule type="iconSet" priority="62">
      <iconSet iconSet="3Arrows">
        <cfvo type="percent" val="0"/>
        <cfvo type="num" val="1"/>
        <cfvo type="num" val="1" gte="0"/>
      </iconSet>
    </cfRule>
  </conditionalFormatting>
  <conditionalFormatting sqref="AF42">
    <cfRule type="iconSet" priority="59">
      <iconSet iconSet="3Arrows">
        <cfvo type="percent" val="0"/>
        <cfvo type="num" val="1"/>
        <cfvo type="num" val="1" gte="0"/>
      </iconSet>
    </cfRule>
  </conditionalFormatting>
  <conditionalFormatting sqref="AF33:AF41">
    <cfRule type="iconSet" priority="60">
      <iconSet iconSet="3Arrows">
        <cfvo type="percent" val="0"/>
        <cfvo type="num" val="1"/>
        <cfvo type="num" val="1" gte="0"/>
      </iconSet>
    </cfRule>
  </conditionalFormatting>
  <conditionalFormatting sqref="AF33:AF42">
    <cfRule type="iconSet" priority="61">
      <iconSet iconSet="3Arrows">
        <cfvo type="percent" val="0"/>
        <cfvo type="num" val="1"/>
        <cfvo type="num" val="1" gte="0"/>
      </iconSet>
    </cfRule>
  </conditionalFormatting>
  <conditionalFormatting sqref="AG33:AG41">
    <cfRule type="iconSet" priority="58">
      <iconSet iconSet="3Arrows">
        <cfvo type="percent" val="0"/>
        <cfvo type="num" val="1"/>
        <cfvo type="num" val="1" gte="0"/>
      </iconSet>
    </cfRule>
  </conditionalFormatting>
  <conditionalFormatting sqref="BE6:BE29">
    <cfRule type="iconSet" priority="101">
      <iconSet iconSet="3Arrows">
        <cfvo type="percent" val="0"/>
        <cfvo type="num" val="1"/>
        <cfvo type="num" val="1" gte="0"/>
      </iconSet>
    </cfRule>
  </conditionalFormatting>
  <conditionalFormatting sqref="AA28:AB28 AB23 AB14 AA6:AB6 AA7:AA27">
    <cfRule type="iconSet" priority="57">
      <iconSet iconSet="3Arrows">
        <cfvo type="percent" val="0"/>
        <cfvo type="num" val="1"/>
        <cfvo type="num" val="1" gte="0"/>
      </iconSet>
    </cfRule>
  </conditionalFormatting>
  <conditionalFormatting sqref="AB7:AB13">
    <cfRule type="iconSet" priority="56">
      <iconSet iconSet="3Arrows">
        <cfvo type="percent" val="0"/>
        <cfvo type="num" val="1"/>
        <cfvo type="num" val="1" gte="0"/>
      </iconSet>
    </cfRule>
  </conditionalFormatting>
  <conditionalFormatting sqref="AB15:AB22">
    <cfRule type="iconSet" priority="55">
      <iconSet iconSet="3Arrows">
        <cfvo type="percent" val="0"/>
        <cfvo type="num" val="1"/>
        <cfvo type="num" val="1" gte="0"/>
      </iconSet>
    </cfRule>
  </conditionalFormatting>
  <conditionalFormatting sqref="AB24:AB27">
    <cfRule type="iconSet" priority="54">
      <iconSet iconSet="3Arrows">
        <cfvo type="percent" val="0"/>
        <cfvo type="num" val="1"/>
        <cfvo type="num" val="1" gte="0"/>
      </iconSet>
    </cfRule>
  </conditionalFormatting>
  <conditionalFormatting sqref="AB42">
    <cfRule type="iconSet" priority="52">
      <iconSet iconSet="3Arrows">
        <cfvo type="percent" val="0"/>
        <cfvo type="num" val="1"/>
        <cfvo type="num" val="1" gte="0"/>
      </iconSet>
    </cfRule>
  </conditionalFormatting>
  <conditionalFormatting sqref="AB42">
    <cfRule type="iconSet" priority="53">
      <iconSet iconSet="3Arrows">
        <cfvo type="percent" val="0"/>
        <cfvo type="num" val="1"/>
        <cfvo type="num" val="1" gte="0"/>
      </iconSet>
    </cfRule>
  </conditionalFormatting>
  <conditionalFormatting sqref="AB33:AB41">
    <cfRule type="iconSet" priority="51">
      <iconSet iconSet="3Arrows">
        <cfvo type="percent" val="0"/>
        <cfvo type="num" val="1"/>
        <cfvo type="num" val="1" gte="0"/>
      </iconSet>
    </cfRule>
  </conditionalFormatting>
  <conditionalFormatting sqref="AA42">
    <cfRule type="iconSet" priority="49">
      <iconSet iconSet="3Arrows">
        <cfvo type="percent" val="0"/>
        <cfvo type="num" val="1"/>
        <cfvo type="num" val="1" gte="0"/>
      </iconSet>
    </cfRule>
  </conditionalFormatting>
  <conditionalFormatting sqref="AA42">
    <cfRule type="iconSet" priority="50">
      <iconSet iconSet="3Arrows">
        <cfvo type="percent" val="0"/>
        <cfvo type="num" val="1"/>
        <cfvo type="num" val="1" gte="0"/>
      </iconSet>
    </cfRule>
  </conditionalFormatting>
  <conditionalFormatting sqref="AA33:AA41">
    <cfRule type="iconSet" priority="48">
      <iconSet iconSet="3Arrows">
        <cfvo type="percent" val="0"/>
        <cfvo type="num" val="1"/>
        <cfvo type="num" val="1" gte="0"/>
      </iconSet>
    </cfRule>
  </conditionalFormatting>
  <conditionalFormatting sqref="AF7:AF13">
    <cfRule type="iconSet" priority="47">
      <iconSet iconSet="3Arrows">
        <cfvo type="percent" val="0"/>
        <cfvo type="num" val="1"/>
        <cfvo type="num" val="1" gte="0"/>
      </iconSet>
    </cfRule>
  </conditionalFormatting>
  <conditionalFormatting sqref="AF15:AF22">
    <cfRule type="iconSet" priority="46">
      <iconSet iconSet="3Arrows">
        <cfvo type="percent" val="0"/>
        <cfvo type="num" val="1"/>
        <cfvo type="num" val="1" gte="0"/>
      </iconSet>
    </cfRule>
  </conditionalFormatting>
  <conditionalFormatting sqref="AF24:AF27">
    <cfRule type="iconSet" priority="45">
      <iconSet iconSet="3Arrows">
        <cfvo type="percent" val="0"/>
        <cfvo type="num" val="1"/>
        <cfvo type="num" val="1" gte="0"/>
      </iconSet>
    </cfRule>
  </conditionalFormatting>
  <conditionalFormatting sqref="AG9">
    <cfRule type="iconSet" priority="44">
      <iconSet iconSet="3Arrows">
        <cfvo type="percent" val="0"/>
        <cfvo type="num" val="1"/>
        <cfvo type="num" val="1" gte="0"/>
      </iconSet>
    </cfRule>
  </conditionalFormatting>
  <conditionalFormatting sqref="AG7:AG8 AG10:AG13">
    <cfRule type="iconSet" priority="43">
      <iconSet iconSet="3Arrows">
        <cfvo type="percent" val="0"/>
        <cfvo type="num" val="1"/>
        <cfvo type="num" val="1" gte="0"/>
      </iconSet>
    </cfRule>
  </conditionalFormatting>
  <conditionalFormatting sqref="AK9:AK13">
    <cfRule type="iconSet" priority="42">
      <iconSet iconSet="3Arrows">
        <cfvo type="percent" val="0"/>
        <cfvo type="num" val="1"/>
        <cfvo type="num" val="1" gte="0"/>
      </iconSet>
    </cfRule>
  </conditionalFormatting>
  <conditionalFormatting sqref="AK15:AK22">
    <cfRule type="iconSet" priority="41">
      <iconSet iconSet="3Arrows">
        <cfvo type="percent" val="0"/>
        <cfvo type="num" val="1"/>
        <cfvo type="num" val="1" gte="0"/>
      </iconSet>
    </cfRule>
  </conditionalFormatting>
  <conditionalFormatting sqref="AK24:AK27">
    <cfRule type="iconSet" priority="40">
      <iconSet iconSet="3Arrows">
        <cfvo type="percent" val="0"/>
        <cfvo type="num" val="1"/>
        <cfvo type="num" val="1" gte="0"/>
      </iconSet>
    </cfRule>
  </conditionalFormatting>
  <conditionalFormatting sqref="AK7:AK8">
    <cfRule type="iconSet" priority="39">
      <iconSet iconSet="3Arrows">
        <cfvo type="percent" val="0"/>
        <cfvo type="num" val="1"/>
        <cfvo type="num" val="1" gte="0"/>
      </iconSet>
    </cfRule>
  </conditionalFormatting>
  <conditionalFormatting sqref="AL7:AL13 AL24:AL27 AL15:AL22">
    <cfRule type="iconSet" priority="38">
      <iconSet iconSet="3Arrows">
        <cfvo type="percent" val="0"/>
        <cfvo type="num" val="1"/>
        <cfvo type="num" val="1" gte="0"/>
      </iconSet>
    </cfRule>
  </conditionalFormatting>
  <conditionalFormatting sqref="AK23:AL23">
    <cfRule type="iconSet" priority="37">
      <iconSet iconSet="3Arrows">
        <cfvo type="percent" val="0"/>
        <cfvo type="num" val="1"/>
        <cfvo type="num" val="1" gte="0"/>
      </iconSet>
    </cfRule>
  </conditionalFormatting>
  <conditionalFormatting sqref="AK14:AL14">
    <cfRule type="iconSet" priority="36">
      <iconSet iconSet="3Arrows">
        <cfvo type="percent" val="0"/>
        <cfvo type="num" val="1"/>
        <cfvo type="num" val="1" gte="0"/>
      </iconSet>
    </cfRule>
  </conditionalFormatting>
  <conditionalFormatting sqref="AK6:AL6">
    <cfRule type="iconSet" priority="35">
      <iconSet iconSet="3Arrows">
        <cfvo type="percent" val="0"/>
        <cfvo type="num" val="1"/>
        <cfvo type="num" val="1" gte="0"/>
      </iconSet>
    </cfRule>
  </conditionalFormatting>
  <conditionalFormatting sqref="AK28:AL28">
    <cfRule type="iconSet" priority="34">
      <iconSet iconSet="3Arrows">
        <cfvo type="percent" val="0"/>
        <cfvo type="num" val="1"/>
        <cfvo type="num" val="1" gte="0"/>
      </iconSet>
    </cfRule>
  </conditionalFormatting>
  <conditionalFormatting sqref="AK33:AK41">
    <cfRule type="iconSet" priority="32">
      <iconSet iconSet="3Arrows">
        <cfvo type="percent" val="0"/>
        <cfvo type="num" val="1"/>
        <cfvo type="num" val="1" gte="0"/>
      </iconSet>
    </cfRule>
  </conditionalFormatting>
  <conditionalFormatting sqref="AK33:AK41">
    <cfRule type="iconSet" priority="33">
      <iconSet iconSet="3Arrows">
        <cfvo type="percent" val="0"/>
        <cfvo type="num" val="1"/>
        <cfvo type="num" val="1" gte="0"/>
      </iconSet>
    </cfRule>
  </conditionalFormatting>
  <conditionalFormatting sqref="AL33:AL41">
    <cfRule type="iconSet" priority="31">
      <iconSet iconSet="3Arrows">
        <cfvo type="percent" val="0"/>
        <cfvo type="num" val="1"/>
        <cfvo type="num" val="1" gte="0"/>
      </iconSet>
    </cfRule>
  </conditionalFormatting>
  <conditionalFormatting sqref="AG42">
    <cfRule type="iconSet" priority="29">
      <iconSet iconSet="3Arrows">
        <cfvo type="percent" val="0"/>
        <cfvo type="num" val="1"/>
        <cfvo type="num" val="1" gte="0"/>
      </iconSet>
    </cfRule>
  </conditionalFormatting>
  <conditionalFormatting sqref="AG42">
    <cfRule type="iconSet" priority="30">
      <iconSet iconSet="3Arrows">
        <cfvo type="percent" val="0"/>
        <cfvo type="num" val="1"/>
        <cfvo type="num" val="1" gte="0"/>
      </iconSet>
    </cfRule>
  </conditionalFormatting>
  <conditionalFormatting sqref="AK42">
    <cfRule type="iconSet" priority="27">
      <iconSet iconSet="3Arrows">
        <cfvo type="percent" val="0"/>
        <cfvo type="num" val="1"/>
        <cfvo type="num" val="1" gte="0"/>
      </iconSet>
    </cfRule>
  </conditionalFormatting>
  <conditionalFormatting sqref="AK42">
    <cfRule type="iconSet" priority="28">
      <iconSet iconSet="3Arrows">
        <cfvo type="percent" val="0"/>
        <cfvo type="num" val="1"/>
        <cfvo type="num" val="1" gte="0"/>
      </iconSet>
    </cfRule>
  </conditionalFormatting>
  <conditionalFormatting sqref="AL42">
    <cfRule type="iconSet" priority="25">
      <iconSet iconSet="3Arrows">
        <cfvo type="percent" val="0"/>
        <cfvo type="num" val="1"/>
        <cfvo type="num" val="1" gte="0"/>
      </iconSet>
    </cfRule>
  </conditionalFormatting>
  <conditionalFormatting sqref="AL42">
    <cfRule type="iconSet" priority="26">
      <iconSet iconSet="3Arrows">
        <cfvo type="percent" val="0"/>
        <cfvo type="num" val="1"/>
        <cfvo type="num" val="1" gte="0"/>
      </iconSet>
    </cfRule>
  </conditionalFormatting>
  <conditionalFormatting sqref="AR15:AR22">
    <cfRule type="iconSet" priority="24">
      <iconSet iconSet="3Arrows">
        <cfvo type="percent" val="0"/>
        <cfvo type="num" val="1"/>
        <cfvo type="num" val="1" gte="0"/>
      </iconSet>
    </cfRule>
  </conditionalFormatting>
  <conditionalFormatting sqref="AR24:AR27">
    <cfRule type="iconSet" priority="23">
      <iconSet iconSet="3Arrows">
        <cfvo type="percent" val="0"/>
        <cfvo type="num" val="1"/>
        <cfvo type="num" val="1" gte="0"/>
      </iconSet>
    </cfRule>
  </conditionalFormatting>
  <conditionalFormatting sqref="AQ33:AQ42">
    <cfRule type="iconSet" priority="21">
      <iconSet iconSet="3Arrows">
        <cfvo type="percent" val="0"/>
        <cfvo type="num" val="1"/>
        <cfvo type="num" val="1" gte="0"/>
      </iconSet>
    </cfRule>
  </conditionalFormatting>
  <conditionalFormatting sqref="AQ33:AQ42">
    <cfRule type="iconSet" priority="22">
      <iconSet iconSet="3Arrows">
        <cfvo type="percent" val="0"/>
        <cfvo type="num" val="1"/>
        <cfvo type="num" val="1" gte="0"/>
      </iconSet>
    </cfRule>
  </conditionalFormatting>
  <conditionalFormatting sqref="AR33:AR41">
    <cfRule type="iconSet" priority="20">
      <iconSet iconSet="3Arrows">
        <cfvo type="percent" val="0"/>
        <cfvo type="num" val="1"/>
        <cfvo type="num" val="1" gte="0"/>
      </iconSet>
    </cfRule>
  </conditionalFormatting>
  <conditionalFormatting sqref="AR42">
    <cfRule type="iconSet" priority="18">
      <iconSet iconSet="3Arrows">
        <cfvo type="percent" val="0"/>
        <cfvo type="num" val="1"/>
        <cfvo type="num" val="1" gte="0"/>
      </iconSet>
    </cfRule>
  </conditionalFormatting>
  <conditionalFormatting sqref="AR42">
    <cfRule type="iconSet" priority="19">
      <iconSet iconSet="3Arrows">
        <cfvo type="percent" val="0"/>
        <cfvo type="num" val="1"/>
        <cfvo type="num" val="1" gte="0"/>
      </iconSet>
    </cfRule>
  </conditionalFormatting>
  <conditionalFormatting sqref="AV33:AV42">
    <cfRule type="iconSet" priority="16">
      <iconSet iconSet="3Arrows">
        <cfvo type="percent" val="0"/>
        <cfvo type="num" val="1"/>
        <cfvo type="num" val="1" gte="0"/>
      </iconSet>
    </cfRule>
  </conditionalFormatting>
  <conditionalFormatting sqref="AV33:AV42">
    <cfRule type="iconSet" priority="17">
      <iconSet iconSet="3Arrows">
        <cfvo type="percent" val="0"/>
        <cfvo type="num" val="1"/>
        <cfvo type="num" val="1" gte="0"/>
      </iconSet>
    </cfRule>
  </conditionalFormatting>
  <conditionalFormatting sqref="AW33:AW41">
    <cfRule type="iconSet" priority="15">
      <iconSet iconSet="3Arrows">
        <cfvo type="percent" val="0"/>
        <cfvo type="num" val="1"/>
        <cfvo type="num" val="1" gte="0"/>
      </iconSet>
    </cfRule>
  </conditionalFormatting>
  <conditionalFormatting sqref="AW42">
    <cfRule type="iconSet" priority="13">
      <iconSet iconSet="3Arrows">
        <cfvo type="percent" val="0"/>
        <cfvo type="num" val="1"/>
        <cfvo type="num" val="1" gte="0"/>
      </iconSet>
    </cfRule>
  </conditionalFormatting>
  <conditionalFormatting sqref="AW42">
    <cfRule type="iconSet" priority="14">
      <iconSet iconSet="3Arrows">
        <cfvo type="percent" val="0"/>
        <cfvo type="num" val="1"/>
        <cfvo type="num" val="1" gte="0"/>
      </iconSet>
    </cfRule>
  </conditionalFormatting>
  <conditionalFormatting sqref="BB15:BB22">
    <cfRule type="iconSet" priority="12">
      <iconSet iconSet="3Arrows">
        <cfvo type="percent" val="0"/>
        <cfvo type="num" val="1"/>
        <cfvo type="num" val="1" gte="0"/>
      </iconSet>
    </cfRule>
  </conditionalFormatting>
  <conditionalFormatting sqref="BB24:BB27">
    <cfRule type="iconSet" priority="11">
      <iconSet iconSet="3Arrows">
        <cfvo type="percent" val="0"/>
        <cfvo type="num" val="1"/>
        <cfvo type="num" val="1" gte="0"/>
      </iconSet>
    </cfRule>
  </conditionalFormatting>
  <conditionalFormatting sqref="BA33:BA42">
    <cfRule type="iconSet" priority="9">
      <iconSet iconSet="3Arrows">
        <cfvo type="percent" val="0"/>
        <cfvo type="num" val="1"/>
        <cfvo type="num" val="1" gte="0"/>
      </iconSet>
    </cfRule>
  </conditionalFormatting>
  <conditionalFormatting sqref="BA33:BA42">
    <cfRule type="iconSet" priority="10">
      <iconSet iconSet="3Arrows">
        <cfvo type="percent" val="0"/>
        <cfvo type="num" val="1"/>
        <cfvo type="num" val="1" gte="0"/>
      </iconSet>
    </cfRule>
  </conditionalFormatting>
  <conditionalFormatting sqref="BB33:BB41">
    <cfRule type="iconSet" priority="8">
      <iconSet iconSet="3Arrows">
        <cfvo type="percent" val="0"/>
        <cfvo type="num" val="1"/>
        <cfvo type="num" val="1" gte="0"/>
      </iconSet>
    </cfRule>
  </conditionalFormatting>
  <conditionalFormatting sqref="BB42">
    <cfRule type="iconSet" priority="6">
      <iconSet iconSet="3Arrows">
        <cfvo type="percent" val="0"/>
        <cfvo type="num" val="1"/>
        <cfvo type="num" val="1" gte="0"/>
      </iconSet>
    </cfRule>
  </conditionalFormatting>
  <conditionalFormatting sqref="BB42">
    <cfRule type="iconSet" priority="7">
      <iconSet iconSet="3Arrows">
        <cfvo type="percent" val="0"/>
        <cfvo type="num" val="1"/>
        <cfvo type="num" val="1" gte="0"/>
      </iconSet>
    </cfRule>
  </conditionalFormatting>
  <conditionalFormatting sqref="BE33:BE42">
    <cfRule type="iconSet" priority="4">
      <iconSet iconSet="3Arrows">
        <cfvo type="percent" val="0"/>
        <cfvo type="num" val="1"/>
        <cfvo type="num" val="1" gte="0"/>
      </iconSet>
    </cfRule>
  </conditionalFormatting>
  <conditionalFormatting sqref="BE33:BE42">
    <cfRule type="iconSet" priority="5">
      <iconSet iconSet="3Arrows">
        <cfvo type="percent" val="0"/>
        <cfvo type="num" val="1"/>
        <cfvo type="num" val="1" gte="0"/>
      </iconSet>
    </cfRule>
  </conditionalFormatting>
  <conditionalFormatting sqref="BF6:BF29">
    <cfRule type="iconSet" priority="3">
      <iconSet iconSet="3Arrows">
        <cfvo type="percent" val="0"/>
        <cfvo type="num" val="1"/>
        <cfvo type="num" val="1" gte="0"/>
      </iconSet>
    </cfRule>
  </conditionalFormatting>
  <conditionalFormatting sqref="BF33:BF42">
    <cfRule type="iconSet" priority="1">
      <iconSet iconSet="3Arrows">
        <cfvo type="percent" val="0"/>
        <cfvo type="num" val="1"/>
        <cfvo type="num" val="1" gte="0"/>
      </iconSet>
    </cfRule>
  </conditionalFormatting>
  <conditionalFormatting sqref="BF33:BF42">
    <cfRule type="iconSet" priority="2">
      <iconSet iconSet="3Arrows">
        <cfvo type="percent" val="0"/>
        <cfvo type="num" val="1"/>
        <cfvo type="num" val="1" gte="0"/>
      </iconSet>
    </cfRule>
  </conditionalFormatting>
  <pageMargins left="0.7" right="0.7" top="0.75" bottom="0.75" header="0.3" footer="0.3"/>
  <pageSetup paperSize="9" scale="5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86"/>
  <sheetViews>
    <sheetView zoomScale="55" zoomScaleNormal="55" workbookViewId="0">
      <selection activeCell="R15" sqref="R15"/>
    </sheetView>
  </sheetViews>
  <sheetFormatPr defaultColWidth="9.140625" defaultRowHeight="17.25"/>
  <cols>
    <col min="1" max="1" width="13" style="381" customWidth="1"/>
    <col min="2" max="2" width="31.140625" style="361" customWidth="1"/>
    <col min="3" max="3" width="14.28515625" style="283" customWidth="1"/>
    <col min="4" max="4" width="19.140625" style="283" customWidth="1"/>
    <col min="5" max="5" width="19.28515625" style="320" customWidth="1"/>
    <col min="6" max="6" width="19.28515625" style="320" hidden="1" customWidth="1"/>
    <col min="7" max="7" width="19.28515625" style="443" hidden="1" customWidth="1"/>
    <col min="8" max="8" width="19.7109375" style="320" customWidth="1"/>
    <col min="9" max="9" width="19.7109375" style="280" customWidth="1"/>
    <col min="10" max="13" width="19.7109375" style="281" hidden="1" customWidth="1"/>
    <col min="14" max="14" width="19.7109375" style="282" hidden="1" customWidth="1"/>
    <col min="15" max="18" width="19.7109375" style="280" customWidth="1"/>
    <col min="19" max="19" width="19.7109375" style="456" customWidth="1"/>
    <col min="20" max="20" width="19.7109375" style="283" customWidth="1"/>
    <col min="21" max="21" width="24.140625" style="283" customWidth="1"/>
    <col min="22" max="22" width="57.5703125" style="359" customWidth="1"/>
    <col min="23" max="23" width="12.7109375" style="283" customWidth="1"/>
    <col min="24" max="24" width="22.140625" style="283" customWidth="1"/>
    <col min="25" max="16384" width="9.140625" style="283"/>
  </cols>
  <sheetData>
    <row r="1" spans="1:24" ht="23.25">
      <c r="A1" s="378"/>
      <c r="B1" s="343"/>
      <c r="C1" s="343"/>
      <c r="D1" s="344"/>
      <c r="E1" s="343"/>
      <c r="F1" s="343"/>
      <c r="G1" s="377"/>
      <c r="H1" s="343"/>
      <c r="I1" s="379"/>
      <c r="J1" s="379"/>
      <c r="K1" s="379"/>
      <c r="L1" s="379"/>
      <c r="M1" s="379"/>
      <c r="N1" s="379"/>
      <c r="O1" s="379"/>
      <c r="P1" s="457">
        <v>2014</v>
      </c>
      <c r="Q1" s="458"/>
      <c r="R1" s="458"/>
      <c r="S1" s="459"/>
      <c r="T1" s="380">
        <v>2015</v>
      </c>
      <c r="U1" s="380" t="s">
        <v>887</v>
      </c>
      <c r="V1" s="1077" t="s">
        <v>888</v>
      </c>
    </row>
    <row r="2" spans="1:24" ht="57.75" customHeight="1" thickBot="1">
      <c r="D2" s="349"/>
      <c r="E2" s="350"/>
      <c r="F2" s="350"/>
      <c r="G2" s="382"/>
      <c r="H2" s="350"/>
      <c r="I2" s="460" t="s">
        <v>889</v>
      </c>
      <c r="J2" s="460"/>
      <c r="K2" s="460"/>
      <c r="L2" s="460"/>
      <c r="M2" s="460"/>
      <c r="N2" s="460"/>
      <c r="O2" s="460"/>
      <c r="P2" s="383" t="s">
        <v>890</v>
      </c>
      <c r="Q2" s="383" t="s">
        <v>891</v>
      </c>
      <c r="R2" s="383" t="s">
        <v>892</v>
      </c>
      <c r="S2" s="461" t="s">
        <v>893</v>
      </c>
      <c r="T2" s="461" t="s">
        <v>894</v>
      </c>
      <c r="U2" s="461" t="s">
        <v>894</v>
      </c>
      <c r="V2" s="1078"/>
    </row>
    <row r="3" spans="1:24" s="287" customFormat="1" ht="165.75" thickTop="1">
      <c r="A3" s="384" t="s">
        <v>833</v>
      </c>
      <c r="B3" s="78" t="s">
        <v>834</v>
      </c>
      <c r="C3" s="78" t="s">
        <v>835</v>
      </c>
      <c r="D3" s="78" t="s">
        <v>836</v>
      </c>
      <c r="E3" s="78" t="s">
        <v>895</v>
      </c>
      <c r="F3" s="78" t="s">
        <v>896</v>
      </c>
      <c r="G3" s="385" t="s">
        <v>897</v>
      </c>
      <c r="H3" s="78" t="s">
        <v>837</v>
      </c>
      <c r="I3" s="285" t="s">
        <v>838</v>
      </c>
      <c r="J3" s="286" t="s">
        <v>839</v>
      </c>
      <c r="K3" s="286" t="s">
        <v>840</v>
      </c>
      <c r="L3" s="286" t="s">
        <v>841</v>
      </c>
      <c r="M3" s="285" t="s">
        <v>898</v>
      </c>
      <c r="N3" s="285" t="s">
        <v>899</v>
      </c>
      <c r="O3" s="386" t="s">
        <v>842</v>
      </c>
      <c r="P3" s="387" t="s">
        <v>894</v>
      </c>
      <c r="Q3" s="367" t="s">
        <v>894</v>
      </c>
      <c r="R3" s="367" t="s">
        <v>894</v>
      </c>
      <c r="S3" s="462"/>
      <c r="T3" s="462"/>
      <c r="U3" s="462"/>
      <c r="V3" s="1079"/>
    </row>
    <row r="4" spans="1:24" s="292" customFormat="1">
      <c r="A4" s="289">
        <v>1</v>
      </c>
      <c r="B4" s="288">
        <v>2</v>
      </c>
      <c r="C4" s="288">
        <v>3</v>
      </c>
      <c r="D4" s="288">
        <v>4</v>
      </c>
      <c r="E4" s="288">
        <v>5</v>
      </c>
      <c r="F4" s="288">
        <v>6</v>
      </c>
      <c r="G4" s="388" t="s">
        <v>900</v>
      </c>
      <c r="H4" s="288">
        <v>7</v>
      </c>
      <c r="I4" s="288">
        <v>8</v>
      </c>
      <c r="J4" s="290" t="s">
        <v>843</v>
      </c>
      <c r="K4" s="290" t="s">
        <v>844</v>
      </c>
      <c r="L4" s="290" t="s">
        <v>845</v>
      </c>
      <c r="M4" s="291" t="s">
        <v>846</v>
      </c>
      <c r="N4" s="289" t="s">
        <v>901</v>
      </c>
      <c r="O4" s="389">
        <v>11</v>
      </c>
      <c r="P4" s="390">
        <v>12</v>
      </c>
      <c r="Q4" s="288">
        <v>13</v>
      </c>
      <c r="R4" s="288">
        <v>14</v>
      </c>
      <c r="S4" s="288">
        <v>15</v>
      </c>
      <c r="T4" s="288">
        <v>16</v>
      </c>
      <c r="U4" s="289" t="s">
        <v>902</v>
      </c>
      <c r="V4" s="288">
        <v>15</v>
      </c>
    </row>
    <row r="5" spans="1:24" s="293" customFormat="1" ht="18.75">
      <c r="A5" s="391"/>
      <c r="B5" s="26" t="s">
        <v>396</v>
      </c>
      <c r="C5" s="268"/>
      <c r="E5" s="294">
        <f>E14+E20+E27+E30+E37+E42+E45</f>
        <v>284366287.97090602</v>
      </c>
      <c r="F5" s="294">
        <f>F14+F20+F27+F30+F37+F42+F45</f>
        <v>-28408478.344285276</v>
      </c>
      <c r="G5" s="392">
        <f>SUM(G15:G54)</f>
        <v>485369089.77467597</v>
      </c>
      <c r="H5" s="294">
        <f t="shared" ref="H5:U5" si="0">H14+H20+H27+H30+H37+H42+H45</f>
        <v>125449286.99377002</v>
      </c>
      <c r="I5" s="294">
        <f t="shared" si="0"/>
        <v>154768215.37377</v>
      </c>
      <c r="J5" s="295">
        <f t="shared" si="0"/>
        <v>90791391.061111093</v>
      </c>
      <c r="K5" s="296">
        <f t="shared" si="0"/>
        <v>100415488.7</v>
      </c>
      <c r="L5" s="296">
        <f t="shared" si="0"/>
        <v>191206879.76111111</v>
      </c>
      <c r="M5" s="297">
        <f t="shared" si="0"/>
        <v>-16430797</v>
      </c>
      <c r="N5" s="294">
        <f t="shared" si="0"/>
        <v>-44839275.344285272</v>
      </c>
      <c r="O5" s="393">
        <f t="shared" si="0"/>
        <v>184053690.73377001</v>
      </c>
      <c r="P5" s="394">
        <f t="shared" si="0"/>
        <v>60021429.944999993</v>
      </c>
      <c r="Q5" s="294">
        <f t="shared" si="0"/>
        <v>79283791.090000004</v>
      </c>
      <c r="R5" s="294">
        <f t="shared" si="0"/>
        <v>97237363.329999998</v>
      </c>
      <c r="S5" s="294">
        <f t="shared" si="0"/>
        <v>97237363.329999998</v>
      </c>
      <c r="T5" s="294">
        <f t="shared" si="0"/>
        <v>0</v>
      </c>
      <c r="U5" s="294">
        <f t="shared" si="0"/>
        <v>280412816.06377</v>
      </c>
      <c r="V5" s="298"/>
      <c r="W5" s="299"/>
    </row>
    <row r="6" spans="1:24" s="293" customFormat="1">
      <c r="A6" s="395"/>
      <c r="B6" s="300"/>
      <c r="C6" s="266"/>
      <c r="D6" s="266"/>
      <c r="E6" s="300"/>
      <c r="F6" s="300"/>
      <c r="G6" s="396"/>
      <c r="H6" s="300"/>
      <c r="I6" s="276"/>
      <c r="J6" s="301"/>
      <c r="K6" s="302"/>
      <c r="L6" s="302"/>
      <c r="M6" s="2"/>
      <c r="N6" s="2"/>
      <c r="O6" s="397"/>
      <c r="P6" s="398"/>
      <c r="Q6" s="276"/>
      <c r="R6" s="276"/>
      <c r="S6" s="276"/>
      <c r="T6" s="276"/>
      <c r="U6" s="276"/>
      <c r="V6" s="303"/>
      <c r="W6" s="299"/>
    </row>
    <row r="7" spans="1:24" s="59" customFormat="1">
      <c r="A7" s="399"/>
      <c r="B7" s="26" t="s">
        <v>397</v>
      </c>
      <c r="C7" s="27"/>
      <c r="D7" s="27"/>
      <c r="E7" s="294">
        <f>E15+E16+E21+E22+E23+E31+E32+E33+E34+E35+E43</f>
        <v>52749579.970905997</v>
      </c>
      <c r="F7" s="294">
        <f>F15+F16+F21+F22+F23+F31+F32+F33+F34+F35+F43</f>
        <v>0</v>
      </c>
      <c r="G7" s="295">
        <f>G15+G16+G21+G22+G23+G31+G32+G33+G34+G35+G43</f>
        <v>54891724.270905994</v>
      </c>
      <c r="H7" s="294">
        <f>H15+H16+H21+H22+H23+H31+H32+H33+H34+H35+H43</f>
        <v>31749639.343770001</v>
      </c>
      <c r="I7" s="294">
        <f t="shared" ref="I7:U7" si="1">I15+I16+I21+I22+I23+I31+I32+I33+I34+I35+I43</f>
        <v>31093804.74377</v>
      </c>
      <c r="J7" s="295">
        <f t="shared" si="1"/>
        <v>29918666.959999993</v>
      </c>
      <c r="K7" s="296">
        <f t="shared" si="1"/>
        <v>8188317</v>
      </c>
      <c r="L7" s="296">
        <f t="shared" si="1"/>
        <v>38106983.959999993</v>
      </c>
      <c r="M7" s="304"/>
      <c r="N7" s="304"/>
      <c r="O7" s="393">
        <f t="shared" si="1"/>
        <v>43467829.743770003</v>
      </c>
      <c r="P7" s="394">
        <f t="shared" si="1"/>
        <v>9047382</v>
      </c>
      <c r="Q7" s="294">
        <f t="shared" si="1"/>
        <v>9047382</v>
      </c>
      <c r="R7" s="294">
        <f t="shared" si="1"/>
        <v>9047382</v>
      </c>
      <c r="S7" s="294">
        <f t="shared" si="1"/>
        <v>9047382</v>
      </c>
      <c r="T7" s="294">
        <f t="shared" si="1"/>
        <v>0</v>
      </c>
      <c r="U7" s="294">
        <f t="shared" si="1"/>
        <v>52515211.743770003</v>
      </c>
      <c r="V7" s="298"/>
      <c r="W7" s="305"/>
    </row>
    <row r="8" spans="1:24" s="59" customFormat="1">
      <c r="A8" s="399"/>
      <c r="B8" s="26" t="s">
        <v>398</v>
      </c>
      <c r="C8" s="27"/>
      <c r="D8" s="294"/>
      <c r="E8" s="294">
        <f>E17+E18+E19+E25+E26+E28+E29+E36+E38+E39+E44+E46+E47+E48+E49</f>
        <v>187439677</v>
      </c>
      <c r="F8" s="294">
        <f>F17+F18+F19+F25+F26+F28+F29+F36+F38+F39+F44+F46+F47+F48+F49</f>
        <v>0</v>
      </c>
      <c r="G8" s="295">
        <f t="shared" ref="G8:T8" si="2">G17+G18+G19+G25+G26+G28+G29+G36+G38+G39+G44+G46+G47+G48+G49</f>
        <v>196509975.78999999</v>
      </c>
      <c r="H8" s="294">
        <f t="shared" si="2"/>
        <v>71132595.550000012</v>
      </c>
      <c r="I8" s="294">
        <f t="shared" si="2"/>
        <v>94420232.629999995</v>
      </c>
      <c r="J8" s="295">
        <f t="shared" si="2"/>
        <v>32515732.10111111</v>
      </c>
      <c r="K8" s="296">
        <f t="shared" si="2"/>
        <v>83175194</v>
      </c>
      <c r="L8" s="296">
        <f t="shared" si="2"/>
        <v>115690926.10111111</v>
      </c>
      <c r="M8" s="304"/>
      <c r="N8" s="304"/>
      <c r="O8" s="393">
        <f t="shared" ref="O8:S8" si="3">O17+O18+O19+O25+O26+O28+O29+O36+O38+O39+O44+O46+O47+O48+O49</f>
        <v>109289608.98999999</v>
      </c>
      <c r="P8" s="394">
        <f t="shared" si="3"/>
        <v>38172470.944999993</v>
      </c>
      <c r="Q8" s="294">
        <f t="shared" si="3"/>
        <v>57434832.089999996</v>
      </c>
      <c r="R8" s="294">
        <f t="shared" si="3"/>
        <v>75258404.329999998</v>
      </c>
      <c r="S8" s="294">
        <f t="shared" si="3"/>
        <v>75258404.329999998</v>
      </c>
      <c r="T8" s="294">
        <f t="shared" si="2"/>
        <v>0</v>
      </c>
      <c r="U8" s="294">
        <f>U17+U18+U19+U25+U26+U28+U29+U36+U38+U39+U44+U46+U47+U48+U49+U50+U51</f>
        <v>193790028.31999996</v>
      </c>
      <c r="V8" s="298"/>
      <c r="W8" s="305"/>
    </row>
    <row r="9" spans="1:24" s="293" customFormat="1">
      <c r="A9" s="391"/>
      <c r="B9" s="26" t="s">
        <v>399</v>
      </c>
      <c r="C9" s="306"/>
      <c r="D9" s="306"/>
      <c r="E9" s="294">
        <f>E40+E52+E53+E54</f>
        <v>34056778</v>
      </c>
      <c r="F9" s="294">
        <f>F40+F52+F53+F54</f>
        <v>0</v>
      </c>
      <c r="G9" s="295">
        <f t="shared" ref="G9:U9" si="4">G40+G52+G53+G54</f>
        <v>42316957</v>
      </c>
      <c r="H9" s="294">
        <f t="shared" si="4"/>
        <v>22567052.100000005</v>
      </c>
      <c r="I9" s="294">
        <f t="shared" si="4"/>
        <v>29254178</v>
      </c>
      <c r="J9" s="295">
        <f t="shared" si="4"/>
        <v>28356992</v>
      </c>
      <c r="K9" s="296">
        <f t="shared" si="4"/>
        <v>7051977.7000000002</v>
      </c>
      <c r="L9" s="296">
        <f t="shared" si="4"/>
        <v>35408969.700000003</v>
      </c>
      <c r="M9" s="304"/>
      <c r="N9" s="304"/>
      <c r="O9" s="393">
        <f t="shared" si="4"/>
        <v>30260095</v>
      </c>
      <c r="P9" s="394">
        <f t="shared" si="4"/>
        <v>3717481</v>
      </c>
      <c r="Q9" s="294">
        <f t="shared" si="4"/>
        <v>3717481</v>
      </c>
      <c r="R9" s="294">
        <f t="shared" si="4"/>
        <v>3847481</v>
      </c>
      <c r="S9" s="294">
        <f t="shared" si="4"/>
        <v>3847481</v>
      </c>
      <c r="T9" s="294">
        <f t="shared" si="4"/>
        <v>0</v>
      </c>
      <c r="U9" s="294">
        <f t="shared" si="4"/>
        <v>34107576</v>
      </c>
      <c r="V9" s="298"/>
      <c r="W9" s="299"/>
    </row>
    <row r="10" spans="1:24" s="293" customFormat="1">
      <c r="A10" s="395"/>
      <c r="B10" s="300"/>
      <c r="C10" s="266"/>
      <c r="D10" s="266"/>
      <c r="E10" s="266"/>
      <c r="F10" s="266"/>
      <c r="G10" s="400"/>
      <c r="H10" s="266"/>
      <c r="I10" s="276"/>
      <c r="J10" s="301"/>
      <c r="K10" s="302"/>
      <c r="L10" s="302"/>
      <c r="M10" s="2"/>
      <c r="N10" s="2"/>
      <c r="O10" s="397"/>
      <c r="P10" s="398"/>
      <c r="Q10" s="276"/>
      <c r="R10" s="276"/>
      <c r="S10" s="276"/>
      <c r="T10" s="276"/>
      <c r="U10" s="276"/>
      <c r="V10" s="303"/>
    </row>
    <row r="11" spans="1:24" s="59" customFormat="1">
      <c r="A11" s="399"/>
      <c r="B11" s="26" t="s">
        <v>400</v>
      </c>
      <c r="C11" s="29"/>
      <c r="D11" s="29"/>
      <c r="E11" s="294">
        <f t="shared" ref="E11:L11" si="5">E15+E16+E21+E22+E23+E31+E32+E33+E34+E35+E43</f>
        <v>52749579.970905997</v>
      </c>
      <c r="F11" s="294">
        <f t="shared" si="5"/>
        <v>0</v>
      </c>
      <c r="G11" s="295">
        <f t="shared" si="5"/>
        <v>54891724.270905994</v>
      </c>
      <c r="H11" s="294">
        <f t="shared" si="5"/>
        <v>31749639.343770001</v>
      </c>
      <c r="I11" s="294">
        <f t="shared" si="5"/>
        <v>31093804.74377</v>
      </c>
      <c r="J11" s="295">
        <f t="shared" si="5"/>
        <v>29918666.959999993</v>
      </c>
      <c r="K11" s="296">
        <f t="shared" si="5"/>
        <v>8188317</v>
      </c>
      <c r="L11" s="296">
        <f t="shared" si="5"/>
        <v>38106983.959999993</v>
      </c>
      <c r="M11" s="307"/>
      <c r="N11" s="304"/>
      <c r="O11" s="401">
        <f t="shared" ref="O11:R11" si="6">O7</f>
        <v>43467829.743770003</v>
      </c>
      <c r="P11" s="402">
        <f t="shared" si="6"/>
        <v>9047382</v>
      </c>
      <c r="Q11" s="308">
        <f t="shared" si="6"/>
        <v>9047382</v>
      </c>
      <c r="R11" s="308">
        <f t="shared" si="6"/>
        <v>9047382</v>
      </c>
      <c r="S11" s="308">
        <f>S15+S16+S21+S22+S23+S31+S32+S33+S34+S35+S43</f>
        <v>9047382</v>
      </c>
      <c r="T11" s="294">
        <f>T15+T16+T21+T22+T23+T31+T32+T33+T34+T35+T43</f>
        <v>0</v>
      </c>
      <c r="U11" s="294">
        <f>U15+U16+U21+U22+U23+U31+U32+U33+U34+U35+U43</f>
        <v>52515211.743770003</v>
      </c>
      <c r="V11" s="298"/>
      <c r="W11" s="305"/>
    </row>
    <row r="12" spans="1:24" s="59" customFormat="1">
      <c r="A12" s="399"/>
      <c r="B12" s="26" t="s">
        <v>401</v>
      </c>
      <c r="C12" s="27"/>
      <c r="D12" s="294"/>
      <c r="E12" s="294">
        <f>E17+E18+E25</f>
        <v>46814550</v>
      </c>
      <c r="F12" s="294">
        <f>F17+F18+F25</f>
        <v>0</v>
      </c>
      <c r="G12" s="295">
        <f t="shared" ref="G12:U12" si="7">G17+G18+G25</f>
        <v>22076095.789999999</v>
      </c>
      <c r="H12" s="294">
        <f t="shared" si="7"/>
        <v>5897516.4200000092</v>
      </c>
      <c r="I12" s="294">
        <f t="shared" si="7"/>
        <v>7232354</v>
      </c>
      <c r="J12" s="295">
        <f t="shared" si="7"/>
        <v>5815740.9899999984</v>
      </c>
      <c r="K12" s="296">
        <f t="shared" si="7"/>
        <v>6000000</v>
      </c>
      <c r="L12" s="296">
        <f t="shared" si="7"/>
        <v>11815740.989999998</v>
      </c>
      <c r="M12" s="307"/>
      <c r="N12" s="304"/>
      <c r="O12" s="393">
        <f t="shared" si="7"/>
        <v>7232354</v>
      </c>
      <c r="P12" s="394">
        <f t="shared" si="7"/>
        <v>11758623.76</v>
      </c>
      <c r="Q12" s="294">
        <f t="shared" si="7"/>
        <v>21758623.759999998</v>
      </c>
      <c r="R12" s="294">
        <f t="shared" si="7"/>
        <v>39582196</v>
      </c>
      <c r="S12" s="294">
        <f t="shared" si="7"/>
        <v>39582196</v>
      </c>
      <c r="T12" s="294">
        <f t="shared" si="7"/>
        <v>0</v>
      </c>
      <c r="U12" s="294">
        <f t="shared" si="7"/>
        <v>46814550</v>
      </c>
      <c r="V12" s="298"/>
      <c r="W12" s="305"/>
    </row>
    <row r="13" spans="1:24" s="59" customFormat="1">
      <c r="A13" s="399"/>
      <c r="B13" s="26" t="s">
        <v>402</v>
      </c>
      <c r="C13" s="29"/>
      <c r="D13" s="294"/>
      <c r="E13" s="294">
        <f>E5-E11-E12</f>
        <v>184802158.00000003</v>
      </c>
      <c r="F13" s="294">
        <f>F5-F11-F12</f>
        <v>-28408478.344285276</v>
      </c>
      <c r="G13" s="295">
        <f t="shared" ref="G13:U13" si="8">G5-G11-G12</f>
        <v>408401269.71376997</v>
      </c>
      <c r="H13" s="294">
        <f t="shared" si="8"/>
        <v>87802131.230000019</v>
      </c>
      <c r="I13" s="294">
        <f t="shared" si="8"/>
        <v>116442056.63</v>
      </c>
      <c r="J13" s="295">
        <f t="shared" si="8"/>
        <v>55056983.111111104</v>
      </c>
      <c r="K13" s="296">
        <f t="shared" si="8"/>
        <v>86227171.700000003</v>
      </c>
      <c r="L13" s="296">
        <f t="shared" si="8"/>
        <v>141284154.81111109</v>
      </c>
      <c r="M13" s="307"/>
      <c r="N13" s="304"/>
      <c r="O13" s="393">
        <f t="shared" si="8"/>
        <v>133353506.99000001</v>
      </c>
      <c r="P13" s="394">
        <f t="shared" si="8"/>
        <v>39215424.184999995</v>
      </c>
      <c r="Q13" s="294">
        <f t="shared" si="8"/>
        <v>48477785.330000006</v>
      </c>
      <c r="R13" s="294">
        <f t="shared" si="8"/>
        <v>48607785.329999998</v>
      </c>
      <c r="S13" s="294">
        <f t="shared" si="8"/>
        <v>48607785.329999998</v>
      </c>
      <c r="T13" s="294">
        <f t="shared" si="8"/>
        <v>0</v>
      </c>
      <c r="U13" s="294">
        <f t="shared" si="8"/>
        <v>181083054.31999999</v>
      </c>
      <c r="V13" s="298"/>
      <c r="W13" s="305"/>
    </row>
    <row r="14" spans="1:24" s="313" customFormat="1" ht="49.5">
      <c r="A14" s="403" t="s">
        <v>847</v>
      </c>
      <c r="B14" s="404"/>
      <c r="C14" s="404"/>
      <c r="D14" s="405"/>
      <c r="E14" s="309">
        <f>SUM(E15:E19)</f>
        <v>56835208</v>
      </c>
      <c r="F14" s="309">
        <f>[2]maksajumu_merku_neizpilde!AS24</f>
        <v>-6781859.3200000003</v>
      </c>
      <c r="G14" s="406"/>
      <c r="H14" s="309">
        <f t="shared" ref="H14:U14" si="9">SUM(H15:H19)</f>
        <v>5897516.4200000092</v>
      </c>
      <c r="I14" s="309">
        <f t="shared" si="9"/>
        <v>8776480</v>
      </c>
      <c r="J14" s="310">
        <f t="shared" si="9"/>
        <v>8315740.9899999984</v>
      </c>
      <c r="K14" s="311">
        <f t="shared" si="9"/>
        <v>18000000</v>
      </c>
      <c r="L14" s="311">
        <f t="shared" si="9"/>
        <v>26315740.989999998</v>
      </c>
      <c r="M14" s="309">
        <f>M18</f>
        <v>-6000000</v>
      </c>
      <c r="N14" s="309">
        <f>F14+M14</f>
        <v>-12781859.32</v>
      </c>
      <c r="O14" s="407">
        <f>SUM(O15:O19)</f>
        <v>9393672.3099999893</v>
      </c>
      <c r="P14" s="408">
        <f t="shared" si="9"/>
        <v>14276914.925000001</v>
      </c>
      <c r="Q14" s="309">
        <f t="shared" si="9"/>
        <v>26313256.089999996</v>
      </c>
      <c r="R14" s="309">
        <f t="shared" si="9"/>
        <v>44131410.329999998</v>
      </c>
      <c r="S14" s="309">
        <f t="shared" si="9"/>
        <v>44131410.329999998</v>
      </c>
      <c r="T14" s="309">
        <f t="shared" si="9"/>
        <v>0</v>
      </c>
      <c r="U14" s="309">
        <f t="shared" si="9"/>
        <v>53525082.639999993</v>
      </c>
      <c r="V14" s="312"/>
      <c r="X14" s="469">
        <f>O14+O20+O27+O30+O37+O42+O45</f>
        <v>184053690.73377001</v>
      </c>
    </row>
    <row r="15" spans="1:24" ht="99">
      <c r="A15" s="327" t="s">
        <v>243</v>
      </c>
      <c r="B15" s="328" t="s">
        <v>444</v>
      </c>
      <c r="C15" s="329" t="s">
        <v>0</v>
      </c>
      <c r="D15" s="329" t="s">
        <v>137</v>
      </c>
      <c r="E15" s="332">
        <v>481950</v>
      </c>
      <c r="F15" s="409"/>
      <c r="G15" s="410">
        <v>2500000</v>
      </c>
      <c r="H15" s="332">
        <v>0</v>
      </c>
      <c r="I15" s="332">
        <v>0</v>
      </c>
      <c r="J15" s="411">
        <v>2500000</v>
      </c>
      <c r="K15" s="411">
        <v>0</v>
      </c>
      <c r="L15" s="411">
        <f>J15+K15</f>
        <v>2500000</v>
      </c>
      <c r="M15" s="412" t="s">
        <v>848</v>
      </c>
      <c r="N15" s="413"/>
      <c r="O15" s="414">
        <v>0</v>
      </c>
      <c r="P15" s="415">
        <f>E15</f>
        <v>481950</v>
      </c>
      <c r="Q15" s="332">
        <f>P15</f>
        <v>481950</v>
      </c>
      <c r="R15" s="332">
        <f>Q15</f>
        <v>481950</v>
      </c>
      <c r="S15" s="332">
        <v>481950</v>
      </c>
      <c r="T15" s="332">
        <v>0</v>
      </c>
      <c r="U15" s="332">
        <f>O15+S15+T15</f>
        <v>481950</v>
      </c>
      <c r="V15" s="319" t="s">
        <v>903</v>
      </c>
    </row>
    <row r="16" spans="1:24" s="305" customFormat="1" ht="49.5">
      <c r="A16" s="327" t="s">
        <v>384</v>
      </c>
      <c r="B16" s="328" t="s">
        <v>448</v>
      </c>
      <c r="C16" s="329" t="s">
        <v>0</v>
      </c>
      <c r="D16" s="329" t="s">
        <v>137</v>
      </c>
      <c r="E16" s="22">
        <v>1544126</v>
      </c>
      <c r="F16" s="416"/>
      <c r="G16" s="22">
        <v>1544126</v>
      </c>
      <c r="H16" s="22">
        <v>0</v>
      </c>
      <c r="I16" s="331">
        <v>1544126</v>
      </c>
      <c r="J16" s="330">
        <v>0</v>
      </c>
      <c r="K16" s="331">
        <v>0</v>
      </c>
      <c r="L16" s="332">
        <f t="shared" ref="L16:L39" si="10">J16+K16</f>
        <v>0</v>
      </c>
      <c r="M16" s="332">
        <v>0</v>
      </c>
      <c r="N16" s="409">
        <v>0</v>
      </c>
      <c r="O16" s="417">
        <v>1544126</v>
      </c>
      <c r="P16" s="418"/>
      <c r="Q16" s="331"/>
      <c r="R16" s="331"/>
      <c r="S16" s="331">
        <v>0</v>
      </c>
      <c r="T16" s="331">
        <v>0</v>
      </c>
      <c r="U16" s="332">
        <f>O16+S16+T16</f>
        <v>1544126</v>
      </c>
      <c r="V16" s="419" t="s">
        <v>849</v>
      </c>
    </row>
    <row r="17" spans="1:23" ht="181.5" customHeight="1">
      <c r="A17" s="327" t="s">
        <v>300</v>
      </c>
      <c r="B17" s="328" t="s">
        <v>512</v>
      </c>
      <c r="C17" s="329" t="s">
        <v>55</v>
      </c>
      <c r="D17" s="329" t="s">
        <v>137</v>
      </c>
      <c r="E17" s="332">
        <v>40809132</v>
      </c>
      <c r="F17" s="409"/>
      <c r="G17" s="295">
        <v>16070677.789999999</v>
      </c>
      <c r="H17" s="332">
        <v>5897516.4200000092</v>
      </c>
      <c r="I17" s="332">
        <v>7232354</v>
      </c>
      <c r="J17" s="420">
        <v>5815740.9899999984</v>
      </c>
      <c r="K17" s="411">
        <v>0</v>
      </c>
      <c r="L17" s="411">
        <f t="shared" si="10"/>
        <v>5815740.9899999984</v>
      </c>
      <c r="M17" s="332">
        <v>0</v>
      </c>
      <c r="N17" s="409"/>
      <c r="O17" s="414">
        <v>7232354</v>
      </c>
      <c r="P17" s="415">
        <v>10000000</v>
      </c>
      <c r="Q17" s="332">
        <v>20000000</v>
      </c>
      <c r="R17" s="332">
        <f>S17</f>
        <v>33576778</v>
      </c>
      <c r="S17" s="332">
        <v>33576778</v>
      </c>
      <c r="T17" s="332">
        <v>0</v>
      </c>
      <c r="U17" s="332">
        <f>O17+S17+T17</f>
        <v>40809132</v>
      </c>
      <c r="V17" s="319" t="s">
        <v>904</v>
      </c>
    </row>
    <row r="18" spans="1:23" ht="66">
      <c r="A18" s="327" t="s">
        <v>381</v>
      </c>
      <c r="B18" s="328" t="s">
        <v>532</v>
      </c>
      <c r="C18" s="329" t="s">
        <v>55</v>
      </c>
      <c r="D18" s="329" t="s">
        <v>137</v>
      </c>
      <c r="E18" s="331">
        <v>6000000</v>
      </c>
      <c r="F18" s="421"/>
      <c r="G18" s="422">
        <v>6000000</v>
      </c>
      <c r="H18" s="331">
        <v>0</v>
      </c>
      <c r="I18" s="331">
        <v>0</v>
      </c>
      <c r="J18" s="423">
        <v>0</v>
      </c>
      <c r="K18" s="424">
        <v>6000000</v>
      </c>
      <c r="L18" s="411">
        <f t="shared" si="10"/>
        <v>6000000</v>
      </c>
      <c r="M18" s="332">
        <f>I18-L18</f>
        <v>-6000000</v>
      </c>
      <c r="N18" s="409"/>
      <c r="O18" s="417">
        <v>0</v>
      </c>
      <c r="P18" s="418">
        <v>1758623.7599999998</v>
      </c>
      <c r="Q18" s="331">
        <f>P18</f>
        <v>1758623.7599999998</v>
      </c>
      <c r="R18" s="331">
        <v>6000000</v>
      </c>
      <c r="S18" s="331">
        <v>6000000</v>
      </c>
      <c r="T18" s="331">
        <v>0</v>
      </c>
      <c r="U18" s="332">
        <f>O18+S18+T18</f>
        <v>6000000</v>
      </c>
      <c r="V18" s="319" t="s">
        <v>850</v>
      </c>
    </row>
    <row r="19" spans="1:23" ht="198" customHeight="1">
      <c r="A19" s="425" t="s">
        <v>196</v>
      </c>
      <c r="B19" s="328" t="s">
        <v>905</v>
      </c>
      <c r="C19" s="329" t="s">
        <v>55</v>
      </c>
      <c r="D19" s="329" t="s">
        <v>137</v>
      </c>
      <c r="E19" s="426">
        <v>8000000</v>
      </c>
      <c r="F19" s="421"/>
      <c r="G19" s="422">
        <v>15000000</v>
      </c>
      <c r="H19" s="331">
        <v>0</v>
      </c>
      <c r="I19" s="331">
        <v>0</v>
      </c>
      <c r="J19" s="427">
        <v>0</v>
      </c>
      <c r="K19" s="424">
        <v>12000000</v>
      </c>
      <c r="L19" s="411">
        <f t="shared" si="10"/>
        <v>12000000</v>
      </c>
      <c r="M19" s="412" t="s">
        <v>848</v>
      </c>
      <c r="N19" s="409"/>
      <c r="O19" s="417">
        <v>617192.30999999004</v>
      </c>
      <c r="P19" s="418">
        <f>S19/2</f>
        <v>2036341.165</v>
      </c>
      <c r="Q19" s="331">
        <f>S19</f>
        <v>4072682.33</v>
      </c>
      <c r="R19" s="331">
        <f>S19</f>
        <v>4072682.33</v>
      </c>
      <c r="S19" s="331">
        <v>4072682.33</v>
      </c>
      <c r="T19" s="331">
        <v>0</v>
      </c>
      <c r="U19" s="332">
        <f>O19+S19+T19</f>
        <v>4689874.6399999904</v>
      </c>
      <c r="V19" s="319" t="s">
        <v>906</v>
      </c>
    </row>
    <row r="20" spans="1:23" s="313" customFormat="1" ht="49.5" customHeight="1">
      <c r="A20" s="428" t="s">
        <v>851</v>
      </c>
      <c r="B20" s="404"/>
      <c r="C20" s="404"/>
      <c r="D20" s="405"/>
      <c r="E20" s="309">
        <f>SUM(E21:E26)</f>
        <v>36037209.557135999</v>
      </c>
      <c r="F20" s="309">
        <v>0</v>
      </c>
      <c r="G20" s="406"/>
      <c r="H20" s="309">
        <f t="shared" ref="H20:U20" si="11">SUM(H21:H26)</f>
        <v>4300000.2999999989</v>
      </c>
      <c r="I20" s="309">
        <f t="shared" si="11"/>
        <v>1775040</v>
      </c>
      <c r="J20" s="309">
        <f>SUM(J21:J26)</f>
        <v>4300000.2999999989</v>
      </c>
      <c r="K20" s="311">
        <f t="shared" si="11"/>
        <v>6463146</v>
      </c>
      <c r="L20" s="311">
        <f t="shared" si="11"/>
        <v>10763146.299999999</v>
      </c>
      <c r="M20" s="309">
        <f t="shared" si="11"/>
        <v>-3197606</v>
      </c>
      <c r="N20" s="309">
        <f>F20+M20</f>
        <v>-3197606</v>
      </c>
      <c r="O20" s="407">
        <f>SUM(O21:O26)</f>
        <v>14149065</v>
      </c>
      <c r="P20" s="408">
        <f t="shared" si="11"/>
        <v>21882727</v>
      </c>
      <c r="Q20" s="309">
        <f t="shared" si="11"/>
        <v>21882727</v>
      </c>
      <c r="R20" s="309">
        <f t="shared" si="11"/>
        <v>21888145</v>
      </c>
      <c r="S20" s="309">
        <f>SUM(S21:S26)</f>
        <v>21888145</v>
      </c>
      <c r="T20" s="309">
        <f t="shared" si="11"/>
        <v>0</v>
      </c>
      <c r="U20" s="309">
        <f t="shared" si="11"/>
        <v>36037210</v>
      </c>
      <c r="V20" s="312"/>
    </row>
    <row r="21" spans="1:23" s="299" customFormat="1" ht="82.5">
      <c r="A21" s="327" t="s">
        <v>170</v>
      </c>
      <c r="B21" s="328" t="s">
        <v>852</v>
      </c>
      <c r="C21" s="329" t="s">
        <v>0</v>
      </c>
      <c r="D21" s="329" t="s">
        <v>5</v>
      </c>
      <c r="E21" s="331">
        <v>10753420.557135999</v>
      </c>
      <c r="F21" s="421"/>
      <c r="G21" s="422">
        <v>10753420.557135999</v>
      </c>
      <c r="H21" s="331">
        <v>0</v>
      </c>
      <c r="I21" s="331">
        <v>1265540</v>
      </c>
      <c r="J21" s="427">
        <v>0</v>
      </c>
      <c r="K21" s="424">
        <v>4463146</v>
      </c>
      <c r="L21" s="411">
        <f t="shared" si="10"/>
        <v>4463146</v>
      </c>
      <c r="M21" s="332">
        <f>I21-L21</f>
        <v>-3197606</v>
      </c>
      <c r="N21" s="409"/>
      <c r="O21" s="417">
        <f>4463146-151389+3220832</f>
        <v>7532589</v>
      </c>
      <c r="P21" s="418">
        <v>3220832</v>
      </c>
      <c r="Q21" s="331">
        <v>3220832</v>
      </c>
      <c r="R21" s="331">
        <v>3220832</v>
      </c>
      <c r="S21" s="331">
        <v>3220832</v>
      </c>
      <c r="T21" s="331">
        <v>0</v>
      </c>
      <c r="U21" s="332">
        <f>O21+S21+T21</f>
        <v>10753421</v>
      </c>
      <c r="V21" s="319" t="s">
        <v>853</v>
      </c>
    </row>
    <row r="22" spans="1:23" s="299" customFormat="1" ht="82.5">
      <c r="A22" s="327" t="s">
        <v>220</v>
      </c>
      <c r="B22" s="328" t="s">
        <v>421</v>
      </c>
      <c r="C22" s="329" t="s">
        <v>0</v>
      </c>
      <c r="D22" s="329" t="s">
        <v>5</v>
      </c>
      <c r="E22" s="331">
        <v>509500</v>
      </c>
      <c r="F22" s="421"/>
      <c r="G22" s="422">
        <v>509500</v>
      </c>
      <c r="H22" s="331">
        <v>509500</v>
      </c>
      <c r="I22" s="331">
        <v>509500</v>
      </c>
      <c r="J22" s="427">
        <v>509500</v>
      </c>
      <c r="K22" s="424">
        <v>0</v>
      </c>
      <c r="L22" s="411">
        <f t="shared" si="10"/>
        <v>509500</v>
      </c>
      <c r="M22" s="332">
        <v>0</v>
      </c>
      <c r="N22" s="409"/>
      <c r="O22" s="417">
        <v>509500</v>
      </c>
      <c r="P22" s="418">
        <v>0</v>
      </c>
      <c r="Q22" s="331">
        <v>0</v>
      </c>
      <c r="R22" s="331">
        <v>0</v>
      </c>
      <c r="S22" s="331">
        <v>0</v>
      </c>
      <c r="T22" s="331">
        <v>0</v>
      </c>
      <c r="U22" s="332">
        <f>O22+S22+T22</f>
        <v>509500</v>
      </c>
      <c r="V22" s="319" t="s">
        <v>854</v>
      </c>
    </row>
    <row r="23" spans="1:23" s="305" customFormat="1" ht="66" customHeight="1">
      <c r="A23" s="327" t="s">
        <v>187</v>
      </c>
      <c r="B23" s="328" t="s">
        <v>422</v>
      </c>
      <c r="C23" s="329" t="s">
        <v>0</v>
      </c>
      <c r="D23" s="329" t="s">
        <v>5</v>
      </c>
      <c r="E23" s="331">
        <v>6106976</v>
      </c>
      <c r="F23" s="421"/>
      <c r="G23" s="422">
        <v>6106976</v>
      </c>
      <c r="H23" s="331">
        <v>3790500.2999999993</v>
      </c>
      <c r="I23" s="331">
        <v>0</v>
      </c>
      <c r="J23" s="424">
        <v>3790500.2999999993</v>
      </c>
      <c r="K23" s="424">
        <v>0</v>
      </c>
      <c r="L23" s="411">
        <f t="shared" si="10"/>
        <v>3790500.2999999993</v>
      </c>
      <c r="M23" s="332">
        <v>0</v>
      </c>
      <c r="N23" s="409"/>
      <c r="O23" s="417">
        <v>6106976</v>
      </c>
      <c r="P23" s="418">
        <v>0</v>
      </c>
      <c r="Q23" s="331">
        <v>0</v>
      </c>
      <c r="R23" s="331">
        <v>0</v>
      </c>
      <c r="S23" s="331">
        <v>0</v>
      </c>
      <c r="T23" s="331">
        <v>0</v>
      </c>
      <c r="U23" s="332">
        <f>O23+S23+T23</f>
        <v>6106976</v>
      </c>
      <c r="V23" s="319" t="s">
        <v>855</v>
      </c>
    </row>
    <row r="24" spans="1:23" s="305" customFormat="1" ht="66">
      <c r="A24" s="327" t="s">
        <v>22</v>
      </c>
      <c r="B24" s="328" t="s">
        <v>434</v>
      </c>
      <c r="C24" s="329" t="s">
        <v>0</v>
      </c>
      <c r="D24" s="329" t="s">
        <v>5</v>
      </c>
      <c r="E24" s="331">
        <v>0</v>
      </c>
      <c r="F24" s="331"/>
      <c r="G24" s="422"/>
      <c r="H24" s="331">
        <v>0</v>
      </c>
      <c r="I24" s="331">
        <v>0</v>
      </c>
      <c r="J24" s="424">
        <v>0</v>
      </c>
      <c r="K24" s="424">
        <v>2000000</v>
      </c>
      <c r="L24" s="411">
        <f t="shared" si="10"/>
        <v>2000000</v>
      </c>
      <c r="M24" s="412" t="s">
        <v>848</v>
      </c>
      <c r="N24" s="332"/>
      <c r="O24" s="417"/>
      <c r="P24" s="418">
        <v>0</v>
      </c>
      <c r="Q24" s="331">
        <v>0</v>
      </c>
      <c r="R24" s="331">
        <v>0</v>
      </c>
      <c r="S24" s="331">
        <v>0</v>
      </c>
      <c r="T24" s="331">
        <v>0</v>
      </c>
      <c r="U24" s="332">
        <v>0</v>
      </c>
      <c r="V24" s="326"/>
    </row>
    <row r="25" spans="1:23" s="299" customFormat="1" ht="49.5">
      <c r="A25" s="327" t="s">
        <v>287</v>
      </c>
      <c r="B25" s="328" t="s">
        <v>495</v>
      </c>
      <c r="C25" s="329" t="s">
        <v>55</v>
      </c>
      <c r="D25" s="329" t="s">
        <v>5</v>
      </c>
      <c r="E25" s="331">
        <v>5418</v>
      </c>
      <c r="F25" s="421"/>
      <c r="G25" s="422">
        <v>5418</v>
      </c>
      <c r="H25" s="331">
        <v>0</v>
      </c>
      <c r="I25" s="331">
        <v>0</v>
      </c>
      <c r="J25" s="424">
        <v>0</v>
      </c>
      <c r="K25" s="424">
        <v>0</v>
      </c>
      <c r="L25" s="411">
        <f t="shared" si="10"/>
        <v>0</v>
      </c>
      <c r="M25" s="332">
        <v>0</v>
      </c>
      <c r="N25" s="332"/>
      <c r="O25" s="417">
        <v>0</v>
      </c>
      <c r="P25" s="418">
        <v>0</v>
      </c>
      <c r="Q25" s="331">
        <v>0</v>
      </c>
      <c r="R25" s="331">
        <v>5418</v>
      </c>
      <c r="S25" s="331">
        <v>5418</v>
      </c>
      <c r="T25" s="331">
        <v>0</v>
      </c>
      <c r="U25" s="332">
        <f>O25+S25+T25</f>
        <v>5418</v>
      </c>
      <c r="V25" s="319" t="s">
        <v>856</v>
      </c>
    </row>
    <row r="26" spans="1:23" s="299" customFormat="1" ht="82.5">
      <c r="A26" s="425" t="s">
        <v>315</v>
      </c>
      <c r="B26" s="328" t="s">
        <v>907</v>
      </c>
      <c r="C26" s="329" t="s">
        <v>55</v>
      </c>
      <c r="D26" s="329" t="s">
        <v>5</v>
      </c>
      <c r="E26" s="426">
        <v>18661895</v>
      </c>
      <c r="F26" s="421"/>
      <c r="G26" s="422">
        <v>43578106</v>
      </c>
      <c r="H26" s="331">
        <v>0</v>
      </c>
      <c r="I26" s="331">
        <v>0</v>
      </c>
      <c r="J26" s="424">
        <v>0</v>
      </c>
      <c r="K26" s="424">
        <v>0</v>
      </c>
      <c r="L26" s="411">
        <f t="shared" si="10"/>
        <v>0</v>
      </c>
      <c r="M26" s="332">
        <v>0</v>
      </c>
      <c r="N26" s="332"/>
      <c r="O26" s="417">
        <v>0</v>
      </c>
      <c r="P26" s="418">
        <v>18661895</v>
      </c>
      <c r="Q26" s="331">
        <v>18661895</v>
      </c>
      <c r="R26" s="331">
        <v>18661895</v>
      </c>
      <c r="S26" s="331">
        <v>18661895</v>
      </c>
      <c r="T26" s="331">
        <v>0</v>
      </c>
      <c r="U26" s="429">
        <f>O26+S26+T26</f>
        <v>18661895</v>
      </c>
      <c r="V26" s="319" t="s">
        <v>858</v>
      </c>
      <c r="W26" s="338"/>
    </row>
    <row r="27" spans="1:23" s="333" customFormat="1" ht="33">
      <c r="A27" s="428" t="s">
        <v>859</v>
      </c>
      <c r="B27" s="404"/>
      <c r="C27" s="404"/>
      <c r="D27" s="405"/>
      <c r="E27" s="309">
        <f>SUM(E28:E29)</f>
        <v>12000000</v>
      </c>
      <c r="F27" s="309">
        <f>[2]maksajumu_merku_neizpilde!AS18</f>
        <v>-1311046.7200000007</v>
      </c>
      <c r="G27" s="406">
        <f>SUM(G28:G29)</f>
        <v>12000000</v>
      </c>
      <c r="H27" s="309">
        <f t="shared" ref="H27:U27" si="12">SUM(H28:H29)</f>
        <v>7999059.0700000003</v>
      </c>
      <c r="I27" s="309">
        <f t="shared" si="12"/>
        <v>11894225.629999999</v>
      </c>
      <c r="J27" s="309">
        <f t="shared" si="12"/>
        <v>0</v>
      </c>
      <c r="K27" s="311">
        <f t="shared" si="12"/>
        <v>12000000</v>
      </c>
      <c r="L27" s="311">
        <f t="shared" si="12"/>
        <v>12000000</v>
      </c>
      <c r="M27" s="309">
        <v>0</v>
      </c>
      <c r="N27" s="309">
        <f>F27+M27</f>
        <v>-1311046.7200000007</v>
      </c>
      <c r="O27" s="407">
        <f>SUM(O28:O29)</f>
        <v>11894225.699999999</v>
      </c>
      <c r="P27" s="408">
        <f t="shared" si="12"/>
        <v>104833</v>
      </c>
      <c r="Q27" s="309">
        <f t="shared" si="12"/>
        <v>104833</v>
      </c>
      <c r="R27" s="309">
        <f t="shared" si="12"/>
        <v>104833</v>
      </c>
      <c r="S27" s="309">
        <f t="shared" si="12"/>
        <v>104833</v>
      </c>
      <c r="T27" s="309">
        <f t="shared" si="12"/>
        <v>0</v>
      </c>
      <c r="U27" s="309">
        <f t="shared" si="12"/>
        <v>11999058.699999999</v>
      </c>
      <c r="V27" s="312"/>
    </row>
    <row r="28" spans="1:23" s="335" customFormat="1" ht="49.5" customHeight="1">
      <c r="A28" s="425" t="s">
        <v>172</v>
      </c>
      <c r="B28" s="328" t="s">
        <v>860</v>
      </c>
      <c r="C28" s="329" t="s">
        <v>55</v>
      </c>
      <c r="D28" s="329" t="s">
        <v>141</v>
      </c>
      <c r="E28" s="426">
        <v>8000000</v>
      </c>
      <c r="F28" s="421"/>
      <c r="G28" s="422">
        <v>8000000</v>
      </c>
      <c r="H28" s="331">
        <v>7999059.0700000003</v>
      </c>
      <c r="I28" s="331">
        <v>7999059</v>
      </c>
      <c r="J28" s="424">
        <v>0</v>
      </c>
      <c r="K28" s="424">
        <v>8000000</v>
      </c>
      <c r="L28" s="411">
        <f t="shared" si="10"/>
        <v>8000000</v>
      </c>
      <c r="M28" s="332">
        <f>I28-L28</f>
        <v>-941</v>
      </c>
      <c r="N28" s="409"/>
      <c r="O28" s="417">
        <v>7999059.0700000003</v>
      </c>
      <c r="P28" s="418">
        <v>0</v>
      </c>
      <c r="Q28" s="331">
        <v>0</v>
      </c>
      <c r="R28" s="331">
        <v>0</v>
      </c>
      <c r="S28" s="331">
        <v>0</v>
      </c>
      <c r="T28" s="331">
        <v>0</v>
      </c>
      <c r="U28" s="332">
        <f>O28+S28+T28</f>
        <v>7999059.0700000003</v>
      </c>
      <c r="V28" s="319" t="s">
        <v>861</v>
      </c>
      <c r="W28" s="334"/>
    </row>
    <row r="29" spans="1:23" s="335" customFormat="1" ht="99">
      <c r="A29" s="425" t="s">
        <v>161</v>
      </c>
      <c r="B29" s="328" t="s">
        <v>597</v>
      </c>
      <c r="C29" s="329" t="s">
        <v>55</v>
      </c>
      <c r="D29" s="329" t="s">
        <v>141</v>
      </c>
      <c r="E29" s="426">
        <v>4000000</v>
      </c>
      <c r="F29" s="421"/>
      <c r="G29" s="422">
        <v>4000000</v>
      </c>
      <c r="H29" s="331">
        <v>0</v>
      </c>
      <c r="I29" s="331">
        <v>3895166.63</v>
      </c>
      <c r="J29" s="424">
        <v>0</v>
      </c>
      <c r="K29" s="424">
        <v>4000000</v>
      </c>
      <c r="L29" s="411">
        <f t="shared" si="10"/>
        <v>4000000</v>
      </c>
      <c r="M29" s="332">
        <f>I29-L29</f>
        <v>-104833.37000000011</v>
      </c>
      <c r="N29" s="409"/>
      <c r="O29" s="417">
        <v>3895166.63</v>
      </c>
      <c r="P29" s="430">
        <v>104833</v>
      </c>
      <c r="Q29" s="431">
        <v>104833</v>
      </c>
      <c r="R29" s="431">
        <v>104833</v>
      </c>
      <c r="S29" s="432">
        <v>104833</v>
      </c>
      <c r="T29" s="331">
        <v>0</v>
      </c>
      <c r="U29" s="332">
        <f>O29+S29+T29</f>
        <v>3999999.63</v>
      </c>
      <c r="V29" s="319" t="s">
        <v>862</v>
      </c>
    </row>
    <row r="30" spans="1:23" s="333" customFormat="1" ht="49.5">
      <c r="A30" s="428" t="s">
        <v>863</v>
      </c>
      <c r="B30" s="404"/>
      <c r="C30" s="404"/>
      <c r="D30" s="405"/>
      <c r="E30" s="309">
        <f>SUM(E31:E36)</f>
        <v>32591616.413770001</v>
      </c>
      <c r="F30" s="309">
        <v>0</v>
      </c>
      <c r="G30" s="406">
        <f>SUM(G31:G36)</f>
        <v>32715710.713770002</v>
      </c>
      <c r="H30" s="309">
        <f t="shared" ref="H30:U30" si="13">SUM(H31:H36)</f>
        <v>26249639.04377</v>
      </c>
      <c r="I30" s="309">
        <f t="shared" si="13"/>
        <v>26574638.74377</v>
      </c>
      <c r="J30" s="309">
        <f t="shared" si="13"/>
        <v>23118666.659999996</v>
      </c>
      <c r="K30" s="311">
        <f t="shared" si="13"/>
        <v>3125171</v>
      </c>
      <c r="L30" s="311">
        <f t="shared" si="13"/>
        <v>26243837.659999996</v>
      </c>
      <c r="M30" s="309">
        <v>0</v>
      </c>
      <c r="N30" s="309">
        <f>F30+M30</f>
        <v>0</v>
      </c>
      <c r="O30" s="407">
        <f>SUM(O31:O36)</f>
        <v>27012647.74377</v>
      </c>
      <c r="P30" s="408">
        <f t="shared" si="13"/>
        <v>5344600</v>
      </c>
      <c r="Q30" s="309">
        <f t="shared" si="13"/>
        <v>5344600</v>
      </c>
      <c r="R30" s="309">
        <f t="shared" si="13"/>
        <v>5344600</v>
      </c>
      <c r="S30" s="309">
        <f t="shared" si="13"/>
        <v>5344600</v>
      </c>
      <c r="T30" s="309">
        <f t="shared" si="13"/>
        <v>0</v>
      </c>
      <c r="U30" s="309">
        <f t="shared" si="13"/>
        <v>32357247.74377</v>
      </c>
      <c r="V30" s="312"/>
    </row>
    <row r="31" spans="1:23" s="335" customFormat="1" ht="181.5">
      <c r="A31" s="327" t="s">
        <v>19</v>
      </c>
      <c r="B31" s="328" t="s">
        <v>430</v>
      </c>
      <c r="C31" s="329" t="s">
        <v>0</v>
      </c>
      <c r="D31" s="329" t="s">
        <v>138</v>
      </c>
      <c r="E31" s="331">
        <v>1645717</v>
      </c>
      <c r="F31" s="421"/>
      <c r="G31" s="422">
        <v>1645717</v>
      </c>
      <c r="H31" s="331">
        <v>1000000</v>
      </c>
      <c r="I31" s="331">
        <v>1000000</v>
      </c>
      <c r="J31" s="424">
        <v>0</v>
      </c>
      <c r="K31" s="424">
        <v>1000000</v>
      </c>
      <c r="L31" s="411">
        <f t="shared" si="10"/>
        <v>1000000</v>
      </c>
      <c r="M31" s="332">
        <v>0</v>
      </c>
      <c r="N31" s="409"/>
      <c r="O31" s="417">
        <v>1000000</v>
      </c>
      <c r="P31" s="433">
        <v>622893</v>
      </c>
      <c r="Q31" s="331">
        <v>622893</v>
      </c>
      <c r="R31" s="331">
        <v>622893</v>
      </c>
      <c r="S31" s="331">
        <v>622893</v>
      </c>
      <c r="T31" s="331">
        <v>0</v>
      </c>
      <c r="U31" s="332">
        <f t="shared" ref="U31:U36" si="14">O31+S31+T31</f>
        <v>1622893</v>
      </c>
      <c r="V31" s="337" t="s">
        <v>864</v>
      </c>
    </row>
    <row r="32" spans="1:23" s="335" customFormat="1" ht="181.5" customHeight="1">
      <c r="A32" s="327" t="s">
        <v>171</v>
      </c>
      <c r="B32" s="328" t="s">
        <v>445</v>
      </c>
      <c r="C32" s="329" t="s">
        <v>0</v>
      </c>
      <c r="D32" s="329" t="s">
        <v>138</v>
      </c>
      <c r="E32" s="331">
        <v>8238006.8137699999</v>
      </c>
      <c r="F32" s="421"/>
      <c r="G32" s="422">
        <v>8238006.8137699999</v>
      </c>
      <c r="H32" s="331">
        <v>7571088.8137699999</v>
      </c>
      <c r="I32" s="331">
        <v>7571088.8137699999</v>
      </c>
      <c r="J32" s="424">
        <v>7571089</v>
      </c>
      <c r="K32" s="424">
        <v>0</v>
      </c>
      <c r="L32" s="411">
        <f t="shared" si="10"/>
        <v>7571089</v>
      </c>
      <c r="M32" s="332">
        <v>0</v>
      </c>
      <c r="N32" s="409"/>
      <c r="O32" s="417">
        <v>7571088.8137699999</v>
      </c>
      <c r="P32" s="433">
        <v>666918</v>
      </c>
      <c r="Q32" s="331">
        <v>666918</v>
      </c>
      <c r="R32" s="331">
        <v>666918</v>
      </c>
      <c r="S32" s="331">
        <v>666918</v>
      </c>
      <c r="T32" s="331">
        <v>0</v>
      </c>
      <c r="U32" s="332">
        <f t="shared" si="14"/>
        <v>8238006.8137699999</v>
      </c>
      <c r="V32" s="337" t="s">
        <v>908</v>
      </c>
    </row>
    <row r="33" spans="1:23" s="335" customFormat="1" ht="280.5" customHeight="1">
      <c r="A33" s="327" t="s">
        <v>256</v>
      </c>
      <c r="B33" s="328" t="s">
        <v>454</v>
      </c>
      <c r="C33" s="329" t="s">
        <v>0</v>
      </c>
      <c r="D33" s="329" t="s">
        <v>138</v>
      </c>
      <c r="E33" s="331">
        <v>18944224</v>
      </c>
      <c r="F33" s="421"/>
      <c r="G33" s="422">
        <v>18944224</v>
      </c>
      <c r="H33" s="331">
        <v>15553378.93</v>
      </c>
      <c r="I33" s="434">
        <v>15553378.93</v>
      </c>
      <c r="J33" s="435">
        <v>15547577.659999996</v>
      </c>
      <c r="K33" s="424">
        <v>0</v>
      </c>
      <c r="L33" s="411">
        <f t="shared" si="10"/>
        <v>15547577.659999996</v>
      </c>
      <c r="M33" s="332">
        <f>I33-L33</f>
        <v>5801.2700000032783</v>
      </c>
      <c r="N33" s="409"/>
      <c r="O33" s="436">
        <v>15553378.93</v>
      </c>
      <c r="P33" s="433">
        <v>3181575</v>
      </c>
      <c r="Q33" s="434">
        <v>3181575</v>
      </c>
      <c r="R33" s="434">
        <v>3181575</v>
      </c>
      <c r="S33" s="434">
        <v>3181575</v>
      </c>
      <c r="T33" s="331">
        <v>0</v>
      </c>
      <c r="U33" s="332">
        <f t="shared" si="14"/>
        <v>18734953.93</v>
      </c>
      <c r="V33" s="337" t="s">
        <v>865</v>
      </c>
    </row>
    <row r="34" spans="1:23" s="335" customFormat="1" ht="99">
      <c r="A34" s="327" t="s">
        <v>177</v>
      </c>
      <c r="B34" s="328" t="s">
        <v>466</v>
      </c>
      <c r="C34" s="329" t="s">
        <v>0</v>
      </c>
      <c r="D34" s="329" t="s">
        <v>138</v>
      </c>
      <c r="E34" s="331">
        <v>1519461</v>
      </c>
      <c r="F34" s="421"/>
      <c r="G34" s="422">
        <v>1643555.3</v>
      </c>
      <c r="H34" s="331">
        <v>1194461.0000000016</v>
      </c>
      <c r="I34" s="331">
        <v>1519461</v>
      </c>
      <c r="J34" s="427">
        <v>0</v>
      </c>
      <c r="K34" s="424">
        <v>1194461</v>
      </c>
      <c r="L34" s="411">
        <f t="shared" si="10"/>
        <v>1194461</v>
      </c>
      <c r="M34" s="332">
        <f>I34-L34</f>
        <v>325000</v>
      </c>
      <c r="N34" s="409"/>
      <c r="O34" s="436">
        <v>1519461</v>
      </c>
      <c r="P34" s="433">
        <v>0</v>
      </c>
      <c r="Q34" s="434">
        <v>0</v>
      </c>
      <c r="R34" s="434">
        <v>0</v>
      </c>
      <c r="S34" s="434">
        <v>0</v>
      </c>
      <c r="T34" s="331">
        <v>0</v>
      </c>
      <c r="U34" s="332">
        <f t="shared" si="14"/>
        <v>1519461</v>
      </c>
      <c r="V34" s="319" t="s">
        <v>866</v>
      </c>
    </row>
    <row r="35" spans="1:23" s="335" customFormat="1" ht="247.5">
      <c r="A35" s="327" t="s">
        <v>203</v>
      </c>
      <c r="B35" s="328" t="s">
        <v>467</v>
      </c>
      <c r="C35" s="329" t="s">
        <v>0</v>
      </c>
      <c r="D35" s="329" t="s">
        <v>138</v>
      </c>
      <c r="E35" s="331">
        <v>1806198.6</v>
      </c>
      <c r="F35" s="421"/>
      <c r="G35" s="422">
        <v>1806198.6</v>
      </c>
      <c r="H35" s="331">
        <v>930710.3000000004</v>
      </c>
      <c r="I35" s="331">
        <v>930710</v>
      </c>
      <c r="J35" s="427">
        <v>0</v>
      </c>
      <c r="K35" s="424">
        <v>930710</v>
      </c>
      <c r="L35" s="411">
        <f t="shared" si="10"/>
        <v>930710</v>
      </c>
      <c r="M35" s="332">
        <f>I35-L35</f>
        <v>0</v>
      </c>
      <c r="N35" s="409"/>
      <c r="O35" s="417">
        <v>930710</v>
      </c>
      <c r="P35" s="418">
        <v>873214</v>
      </c>
      <c r="Q35" s="331">
        <v>873214</v>
      </c>
      <c r="R35" s="331">
        <v>873214</v>
      </c>
      <c r="S35" s="331">
        <v>873214</v>
      </c>
      <c r="T35" s="331">
        <v>0</v>
      </c>
      <c r="U35" s="332">
        <f t="shared" si="14"/>
        <v>1803924</v>
      </c>
      <c r="V35" s="337" t="s">
        <v>909</v>
      </c>
    </row>
    <row r="36" spans="1:23" s="335" customFormat="1" ht="99" customHeight="1">
      <c r="A36" s="425" t="s">
        <v>168</v>
      </c>
      <c r="B36" s="328" t="s">
        <v>867</v>
      </c>
      <c r="C36" s="329" t="s">
        <v>55</v>
      </c>
      <c r="D36" s="329" t="s">
        <v>138</v>
      </c>
      <c r="E36" s="426">
        <v>438009</v>
      </c>
      <c r="F36" s="331"/>
      <c r="G36" s="331">
        <v>438009</v>
      </c>
      <c r="H36" s="331">
        <v>0</v>
      </c>
      <c r="I36" s="331">
        <v>0</v>
      </c>
      <c r="J36" s="331">
        <v>0</v>
      </c>
      <c r="K36" s="331">
        <v>0</v>
      </c>
      <c r="L36" s="332">
        <f t="shared" si="10"/>
        <v>0</v>
      </c>
      <c r="M36" s="332">
        <v>0</v>
      </c>
      <c r="N36" s="332"/>
      <c r="O36" s="417">
        <v>438009</v>
      </c>
      <c r="P36" s="418">
        <v>0</v>
      </c>
      <c r="Q36" s="331">
        <v>0</v>
      </c>
      <c r="R36" s="331">
        <v>0</v>
      </c>
      <c r="S36" s="331">
        <v>0</v>
      </c>
      <c r="T36" s="331">
        <v>0</v>
      </c>
      <c r="U36" s="332">
        <f t="shared" si="14"/>
        <v>438009</v>
      </c>
      <c r="V36" s="337" t="s">
        <v>868</v>
      </c>
      <c r="W36" s="437"/>
    </row>
    <row r="37" spans="1:23" s="333" customFormat="1" ht="33">
      <c r="A37" s="428" t="s">
        <v>869</v>
      </c>
      <c r="B37" s="404"/>
      <c r="C37" s="404"/>
      <c r="D37" s="405"/>
      <c r="E37" s="309">
        <f>SUM(E38:E41)</f>
        <v>52382961</v>
      </c>
      <c r="F37" s="309">
        <v>0</v>
      </c>
      <c r="G37" s="406">
        <f>SUM(G38:G41)</f>
        <v>52382961</v>
      </c>
      <c r="H37" s="309">
        <f>SUM(H38:H41)</f>
        <v>43602644.100000009</v>
      </c>
      <c r="I37" s="309">
        <f>SUM(I38:I41)</f>
        <v>50289770</v>
      </c>
      <c r="J37" s="309">
        <f t="shared" ref="J37:U37" si="15">SUM(J38:J40)</f>
        <v>50335835</v>
      </c>
      <c r="K37" s="311">
        <f t="shared" si="15"/>
        <v>6687126</v>
      </c>
      <c r="L37" s="309">
        <f>SUM(L38:L41)</f>
        <v>57022961</v>
      </c>
      <c r="M37" s="309">
        <f>SUM(M38:M41)</f>
        <v>-6733191</v>
      </c>
      <c r="N37" s="309">
        <f>F37+M37</f>
        <v>-6733191</v>
      </c>
      <c r="O37" s="407">
        <f>SUM(O38:O41)</f>
        <v>52853162</v>
      </c>
      <c r="P37" s="408">
        <f>SUM(P38:P41)</f>
        <v>0</v>
      </c>
      <c r="Q37" s="309">
        <f>SUM(Q38:Q41)</f>
        <v>0</v>
      </c>
      <c r="R37" s="309">
        <f>SUM(R38:R41)</f>
        <v>0</v>
      </c>
      <c r="S37" s="309">
        <f t="shared" si="15"/>
        <v>0</v>
      </c>
      <c r="T37" s="309">
        <f t="shared" si="15"/>
        <v>0</v>
      </c>
      <c r="U37" s="309">
        <f t="shared" si="15"/>
        <v>51974924</v>
      </c>
      <c r="V37" s="312"/>
    </row>
    <row r="38" spans="1:23" s="299" customFormat="1" ht="264" customHeight="1">
      <c r="A38" s="425" t="s">
        <v>198</v>
      </c>
      <c r="B38" s="328" t="s">
        <v>562</v>
      </c>
      <c r="C38" s="329" t="s">
        <v>55</v>
      </c>
      <c r="D38" s="329" t="s">
        <v>140</v>
      </c>
      <c r="E38" s="426">
        <v>20616189</v>
      </c>
      <c r="F38" s="421"/>
      <c r="G38" s="422">
        <v>21421523</v>
      </c>
      <c r="H38" s="331">
        <v>21035592</v>
      </c>
      <c r="I38" s="331">
        <v>21035592</v>
      </c>
      <c r="J38" s="424">
        <v>21978843</v>
      </c>
      <c r="K38" s="424">
        <v>0</v>
      </c>
      <c r="L38" s="411">
        <f t="shared" si="10"/>
        <v>21978843</v>
      </c>
      <c r="M38" s="332">
        <f>I38-L38</f>
        <v>-943251</v>
      </c>
      <c r="N38" s="409"/>
      <c r="O38" s="417">
        <v>21035592</v>
      </c>
      <c r="P38" s="418"/>
      <c r="Q38" s="331"/>
      <c r="R38" s="331"/>
      <c r="S38" s="331">
        <v>0</v>
      </c>
      <c r="T38" s="331">
        <v>0</v>
      </c>
      <c r="U38" s="332">
        <f>O38+S38+T38</f>
        <v>21035592</v>
      </c>
      <c r="V38" s="319" t="s">
        <v>870</v>
      </c>
      <c r="W38" s="338"/>
    </row>
    <row r="39" spans="1:23" s="299" customFormat="1" ht="33">
      <c r="A39" s="425" t="s">
        <v>97</v>
      </c>
      <c r="B39" s="328" t="s">
        <v>564</v>
      </c>
      <c r="C39" s="329" t="s">
        <v>55</v>
      </c>
      <c r="D39" s="329" t="s">
        <v>140</v>
      </c>
      <c r="E39" s="426">
        <v>679237</v>
      </c>
      <c r="F39" s="421"/>
      <c r="G39" s="438">
        <v>557320</v>
      </c>
      <c r="H39" s="331">
        <v>0</v>
      </c>
      <c r="I39" s="331">
        <v>0</v>
      </c>
      <c r="J39" s="424">
        <v>0</v>
      </c>
      <c r="K39" s="424"/>
      <c r="L39" s="411">
        <f t="shared" si="10"/>
        <v>0</v>
      </c>
      <c r="M39" s="332">
        <v>0</v>
      </c>
      <c r="N39" s="409"/>
      <c r="O39" s="417">
        <v>679237</v>
      </c>
      <c r="P39" s="418"/>
      <c r="Q39" s="331"/>
      <c r="R39" s="331"/>
      <c r="S39" s="331">
        <v>0</v>
      </c>
      <c r="T39" s="331">
        <v>0</v>
      </c>
      <c r="U39" s="332">
        <f>O39+S39+T39</f>
        <v>679237</v>
      </c>
      <c r="V39" s="319" t="s">
        <v>871</v>
      </c>
      <c r="W39" s="338"/>
    </row>
    <row r="40" spans="1:23" s="335" customFormat="1" ht="82.5">
      <c r="A40" s="425" t="s">
        <v>200</v>
      </c>
      <c r="B40" s="328" t="s">
        <v>578</v>
      </c>
      <c r="C40" s="329" t="s">
        <v>142</v>
      </c>
      <c r="D40" s="329" t="s">
        <v>140</v>
      </c>
      <c r="E40" s="426">
        <v>30209297</v>
      </c>
      <c r="F40" s="421"/>
      <c r="G40" s="439">
        <v>30404118</v>
      </c>
      <c r="H40" s="331">
        <v>22567052.100000005</v>
      </c>
      <c r="I40" s="331">
        <v>29254178</v>
      </c>
      <c r="J40" s="424">
        <v>28356992</v>
      </c>
      <c r="K40" s="424">
        <v>6687126</v>
      </c>
      <c r="L40" s="411">
        <f>J40+K40</f>
        <v>35044118</v>
      </c>
      <c r="M40" s="332">
        <f>I40-L40</f>
        <v>-5789940</v>
      </c>
      <c r="N40" s="409"/>
      <c r="O40" s="417">
        <v>30260095</v>
      </c>
      <c r="P40" s="418"/>
      <c r="Q40" s="331"/>
      <c r="R40" s="331"/>
      <c r="S40" s="331">
        <v>0</v>
      </c>
      <c r="T40" s="331">
        <v>0</v>
      </c>
      <c r="U40" s="332">
        <f>O40+S40+T40</f>
        <v>30260095</v>
      </c>
      <c r="V40" s="339" t="s">
        <v>872</v>
      </c>
    </row>
    <row r="41" spans="1:23" s="335" customFormat="1" ht="49.5">
      <c r="A41" s="440" t="s">
        <v>144</v>
      </c>
      <c r="B41" s="328" t="s">
        <v>580</v>
      </c>
      <c r="C41" s="329" t="s">
        <v>142</v>
      </c>
      <c r="D41" s="329" t="s">
        <v>140</v>
      </c>
      <c r="E41" s="426">
        <v>878238</v>
      </c>
      <c r="F41" s="421"/>
      <c r="G41" s="439"/>
      <c r="H41" s="331"/>
      <c r="I41" s="331"/>
      <c r="J41" s="424"/>
      <c r="K41" s="424"/>
      <c r="L41" s="411"/>
      <c r="M41" s="332"/>
      <c r="N41" s="409"/>
      <c r="O41" s="417">
        <v>878238</v>
      </c>
      <c r="P41" s="418"/>
      <c r="Q41" s="331"/>
      <c r="R41" s="331"/>
      <c r="S41" s="331"/>
      <c r="T41" s="331"/>
      <c r="U41" s="332"/>
      <c r="V41" s="339"/>
    </row>
    <row r="42" spans="1:23" s="335" customFormat="1" ht="17.25" customHeight="1">
      <c r="A42" s="463" t="s">
        <v>873</v>
      </c>
      <c r="B42" s="464"/>
      <c r="C42" s="464"/>
      <c r="D42" s="465"/>
      <c r="E42" s="309">
        <f>SUM(E43:E44)</f>
        <v>11800000</v>
      </c>
      <c r="F42" s="309">
        <f>[2]maksajumu_merku_neizpilde!AS12</f>
        <v>-165779.07999999938</v>
      </c>
      <c r="G42" s="406">
        <f t="shared" ref="G42:L42" si="16">SUM(G43:G44)</f>
        <v>11800000</v>
      </c>
      <c r="H42" s="309">
        <f t="shared" si="16"/>
        <v>11800000</v>
      </c>
      <c r="I42" s="309">
        <f t="shared" si="16"/>
        <v>11800000</v>
      </c>
      <c r="J42" s="309">
        <f t="shared" si="16"/>
        <v>0</v>
      </c>
      <c r="K42" s="311">
        <f t="shared" si="16"/>
        <v>11200000</v>
      </c>
      <c r="L42" s="311">
        <f t="shared" si="16"/>
        <v>11200000</v>
      </c>
      <c r="M42" s="309"/>
      <c r="N42" s="309">
        <f>F42+M42</f>
        <v>-165779.07999999938</v>
      </c>
      <c r="O42" s="407">
        <f>SUM(O43:O44)</f>
        <v>11800000</v>
      </c>
      <c r="P42" s="408">
        <f t="shared" ref="P42:U42" si="17">SUM(P43:P44)</f>
        <v>0</v>
      </c>
      <c r="Q42" s="309">
        <f t="shared" si="17"/>
        <v>0</v>
      </c>
      <c r="R42" s="309">
        <f t="shared" si="17"/>
        <v>0</v>
      </c>
      <c r="S42" s="309">
        <f t="shared" si="17"/>
        <v>0</v>
      </c>
      <c r="T42" s="309">
        <f t="shared" si="17"/>
        <v>0</v>
      </c>
      <c r="U42" s="309">
        <f t="shared" si="17"/>
        <v>11800000</v>
      </c>
      <c r="V42" s="340"/>
    </row>
    <row r="43" spans="1:23" s="335" customFormat="1" ht="99">
      <c r="A43" s="327" t="s">
        <v>39</v>
      </c>
      <c r="B43" s="328" t="s">
        <v>462</v>
      </c>
      <c r="C43" s="329" t="s">
        <v>0</v>
      </c>
      <c r="D43" s="329" t="s">
        <v>626</v>
      </c>
      <c r="E43" s="331">
        <v>1200000</v>
      </c>
      <c r="F43" s="421"/>
      <c r="G43" s="422">
        <v>1200000</v>
      </c>
      <c r="H43" s="331">
        <v>1200000</v>
      </c>
      <c r="I43" s="331">
        <v>1200000</v>
      </c>
      <c r="J43" s="424">
        <v>0</v>
      </c>
      <c r="K43" s="424">
        <v>600000</v>
      </c>
      <c r="L43" s="411">
        <f>J43+K43</f>
        <v>600000</v>
      </c>
      <c r="M43" s="332">
        <f>I43-L43</f>
        <v>600000</v>
      </c>
      <c r="N43" s="409"/>
      <c r="O43" s="417">
        <v>1200000</v>
      </c>
      <c r="P43" s="418"/>
      <c r="Q43" s="331"/>
      <c r="R43" s="331"/>
      <c r="S43" s="331">
        <v>0</v>
      </c>
      <c r="T43" s="331">
        <v>0</v>
      </c>
      <c r="U43" s="332">
        <f>O43+S43+T43</f>
        <v>1200000</v>
      </c>
      <c r="V43" s="342" t="s">
        <v>874</v>
      </c>
    </row>
    <row r="44" spans="1:23" s="335" customFormat="1" ht="49.5">
      <c r="A44" s="425" t="s">
        <v>157</v>
      </c>
      <c r="B44" s="328" t="s">
        <v>875</v>
      </c>
      <c r="C44" s="329" t="s">
        <v>55</v>
      </c>
      <c r="D44" s="329" t="s">
        <v>626</v>
      </c>
      <c r="E44" s="426">
        <v>10600000</v>
      </c>
      <c r="F44" s="421"/>
      <c r="G44" s="422">
        <v>10600000</v>
      </c>
      <c r="H44" s="331">
        <v>10600000</v>
      </c>
      <c r="I44" s="331">
        <v>10600000</v>
      </c>
      <c r="J44" s="424">
        <v>0</v>
      </c>
      <c r="K44" s="424">
        <v>10600000</v>
      </c>
      <c r="L44" s="411">
        <f>J44+K44</f>
        <v>10600000</v>
      </c>
      <c r="M44" s="332">
        <f>I44-L44</f>
        <v>0</v>
      </c>
      <c r="N44" s="409"/>
      <c r="O44" s="417">
        <v>10600000</v>
      </c>
      <c r="P44" s="418"/>
      <c r="Q44" s="331"/>
      <c r="R44" s="331"/>
      <c r="S44" s="331">
        <v>0</v>
      </c>
      <c r="T44" s="341"/>
      <c r="U44" s="332">
        <f>O44+S44+T44</f>
        <v>10600000</v>
      </c>
      <c r="V44" s="342"/>
    </row>
    <row r="45" spans="1:23" s="335" customFormat="1" ht="99">
      <c r="A45" s="428" t="s">
        <v>876</v>
      </c>
      <c r="B45" s="404"/>
      <c r="C45" s="404"/>
      <c r="D45" s="405"/>
      <c r="E45" s="309">
        <f>SUM(E46:E54)</f>
        <v>82719293</v>
      </c>
      <c r="F45" s="309">
        <f>[2]maksajumu_merku_neizpilde!AS27</f>
        <v>-20149793.224285275</v>
      </c>
      <c r="G45" s="406">
        <f>SUM(G46:G54)</f>
        <v>82751761</v>
      </c>
      <c r="H45" s="309">
        <f t="shared" ref="H45:U45" si="18">SUM(H46:H54)</f>
        <v>25600428.060000002</v>
      </c>
      <c r="I45" s="309">
        <f t="shared" si="18"/>
        <v>43658061</v>
      </c>
      <c r="J45" s="309">
        <f t="shared" si="18"/>
        <v>4721148.111111111</v>
      </c>
      <c r="K45" s="311">
        <f t="shared" si="18"/>
        <v>42940045.700000003</v>
      </c>
      <c r="L45" s="311">
        <f t="shared" si="18"/>
        <v>47661193.811111115</v>
      </c>
      <c r="M45" s="309">
        <f>M49</f>
        <v>-500000</v>
      </c>
      <c r="N45" s="309">
        <f>F45+M45</f>
        <v>-20649793.224285275</v>
      </c>
      <c r="O45" s="407">
        <f>SUM(O46:O54)</f>
        <v>56950917.980000004</v>
      </c>
      <c r="P45" s="309">
        <v>18412355.02</v>
      </c>
      <c r="Q45" s="309">
        <f t="shared" si="18"/>
        <v>25638375</v>
      </c>
      <c r="R45" s="309">
        <f t="shared" si="18"/>
        <v>25768375</v>
      </c>
      <c r="S45" s="309">
        <f t="shared" si="18"/>
        <v>25768375</v>
      </c>
      <c r="T45" s="309">
        <f t="shared" si="18"/>
        <v>0</v>
      </c>
      <c r="U45" s="309">
        <f t="shared" si="18"/>
        <v>82719292.980000004</v>
      </c>
      <c r="V45" s="312"/>
    </row>
    <row r="46" spans="1:23" s="335" customFormat="1" ht="82.5">
      <c r="A46" s="425" t="s">
        <v>328</v>
      </c>
      <c r="B46" s="328" t="s">
        <v>555</v>
      </c>
      <c r="C46" s="329" t="s">
        <v>55</v>
      </c>
      <c r="D46" s="329" t="s">
        <v>628</v>
      </c>
      <c r="E46" s="331">
        <v>9171643</v>
      </c>
      <c r="F46" s="331"/>
      <c r="G46" s="422">
        <v>11220767</v>
      </c>
      <c r="H46" s="331">
        <v>6951310.5800000001</v>
      </c>
      <c r="I46" s="331">
        <v>6903550</v>
      </c>
      <c r="J46" s="424">
        <v>1133333</v>
      </c>
      <c r="K46" s="424">
        <v>6903550</v>
      </c>
      <c r="L46" s="411">
        <v>8036883</v>
      </c>
      <c r="M46" s="332">
        <v>-1133333</v>
      </c>
      <c r="N46" s="332"/>
      <c r="O46" s="331">
        <v>7740855</v>
      </c>
      <c r="P46" s="331">
        <v>1430788</v>
      </c>
      <c r="Q46" s="331">
        <v>1430788</v>
      </c>
      <c r="R46" s="331">
        <v>1430788</v>
      </c>
      <c r="S46" s="331">
        <v>1430788</v>
      </c>
      <c r="T46" s="331">
        <v>0</v>
      </c>
      <c r="U46" s="332">
        <f>O46+S46+T46</f>
        <v>9171643</v>
      </c>
      <c r="V46" s="342"/>
    </row>
    <row r="47" spans="1:23" s="335" customFormat="1" ht="49.5">
      <c r="A47" s="425" t="s">
        <v>156</v>
      </c>
      <c r="B47" s="328" t="s">
        <v>569</v>
      </c>
      <c r="C47" s="329" t="s">
        <v>55</v>
      </c>
      <c r="D47" s="329" t="s">
        <v>628</v>
      </c>
      <c r="E47" s="331">
        <v>9670591</v>
      </c>
      <c r="F47" s="331"/>
      <c r="G47" s="422">
        <v>11806612</v>
      </c>
      <c r="H47" s="331">
        <v>2240723.4700000002</v>
      </c>
      <c r="I47" s="331">
        <v>7850429</v>
      </c>
      <c r="J47" s="424">
        <v>2199024</v>
      </c>
      <c r="K47" s="424">
        <v>6767562</v>
      </c>
      <c r="L47" s="411">
        <v>8966586</v>
      </c>
      <c r="M47" s="332">
        <v>-1116157</v>
      </c>
      <c r="N47" s="332"/>
      <c r="O47" s="417">
        <v>9670591</v>
      </c>
      <c r="P47" s="418">
        <v>0</v>
      </c>
      <c r="Q47" s="331">
        <v>0</v>
      </c>
      <c r="R47" s="331">
        <v>0</v>
      </c>
      <c r="S47" s="331">
        <v>0</v>
      </c>
      <c r="T47" s="331">
        <v>0</v>
      </c>
      <c r="U47" s="332">
        <f>O47+S47+T47</f>
        <v>9670591</v>
      </c>
      <c r="V47" s="319" t="s">
        <v>877</v>
      </c>
    </row>
    <row r="48" spans="1:23" s="299" customFormat="1" ht="66">
      <c r="A48" s="425" t="s">
        <v>377</v>
      </c>
      <c r="B48" s="328" t="s">
        <v>618</v>
      </c>
      <c r="C48" s="329" t="s">
        <v>55</v>
      </c>
      <c r="D48" s="329" t="s">
        <v>628</v>
      </c>
      <c r="E48" s="331">
        <v>29935543</v>
      </c>
      <c r="F48" s="331"/>
      <c r="G48" s="422">
        <v>29935543</v>
      </c>
      <c r="H48" s="331">
        <v>10921637.540000003</v>
      </c>
      <c r="I48" s="331">
        <v>13976415</v>
      </c>
      <c r="J48" s="331">
        <v>888791.11111111112</v>
      </c>
      <c r="K48" s="331">
        <v>13976415</v>
      </c>
      <c r="L48" s="332">
        <v>14865206.111111112</v>
      </c>
      <c r="M48" s="412" t="s">
        <v>848</v>
      </c>
      <c r="N48" s="332"/>
      <c r="O48" s="417">
        <v>21505552.98</v>
      </c>
      <c r="P48" s="441">
        <v>4179990.0199999996</v>
      </c>
      <c r="Q48" s="331">
        <v>8429990</v>
      </c>
      <c r="R48" s="331">
        <v>8429990</v>
      </c>
      <c r="S48" s="331">
        <v>8429990</v>
      </c>
      <c r="T48" s="331">
        <v>0</v>
      </c>
      <c r="U48" s="332">
        <f>O48+S48+T48</f>
        <v>29935542.98</v>
      </c>
      <c r="V48" s="342"/>
    </row>
    <row r="49" spans="1:22" s="299" customFormat="1" ht="49.5">
      <c r="A49" s="425" t="s">
        <v>133</v>
      </c>
      <c r="B49" s="328" t="s">
        <v>620</v>
      </c>
      <c r="C49" s="329" t="s">
        <v>55</v>
      </c>
      <c r="D49" s="329" t="s">
        <v>628</v>
      </c>
      <c r="E49" s="331">
        <v>20852020</v>
      </c>
      <c r="F49" s="331"/>
      <c r="G49" s="422">
        <v>17876000</v>
      </c>
      <c r="H49" s="331">
        <v>5486756.4699999997</v>
      </c>
      <c r="I49" s="331">
        <v>14927667</v>
      </c>
      <c r="J49" s="424">
        <v>500000</v>
      </c>
      <c r="K49" s="424">
        <v>14927667</v>
      </c>
      <c r="L49" s="411">
        <v>15427667</v>
      </c>
      <c r="M49" s="332">
        <v>-500000</v>
      </c>
      <c r="N49" s="332"/>
      <c r="O49" s="417">
        <v>17876000</v>
      </c>
      <c r="P49" s="441">
        <v>0</v>
      </c>
      <c r="Q49" s="331">
        <v>2976020</v>
      </c>
      <c r="R49" s="331">
        <v>2976020</v>
      </c>
      <c r="S49" s="331">
        <v>2976020</v>
      </c>
      <c r="T49" s="331">
        <v>0</v>
      </c>
      <c r="U49" s="332">
        <f>O49+S49+T49</f>
        <v>20852020</v>
      </c>
      <c r="V49" s="342"/>
    </row>
    <row r="50" spans="1:22" s="299" customFormat="1" ht="82.5">
      <c r="A50" s="425" t="s">
        <v>353</v>
      </c>
      <c r="B50" s="328" t="s">
        <v>586</v>
      </c>
      <c r="C50" s="329" t="s">
        <v>55</v>
      </c>
      <c r="D50" s="329" t="s">
        <v>628</v>
      </c>
      <c r="E50" s="331">
        <v>157919</v>
      </c>
      <c r="F50" s="331"/>
      <c r="G50" s="422"/>
      <c r="H50" s="331">
        <v>0</v>
      </c>
      <c r="I50" s="331">
        <v>0</v>
      </c>
      <c r="J50" s="424"/>
      <c r="K50" s="424"/>
      <c r="L50" s="411"/>
      <c r="M50" s="332"/>
      <c r="N50" s="332"/>
      <c r="O50" s="417">
        <v>157919</v>
      </c>
      <c r="P50" s="418">
        <v>0</v>
      </c>
      <c r="Q50" s="331">
        <v>0</v>
      </c>
      <c r="R50" s="331">
        <v>0</v>
      </c>
      <c r="S50" s="331">
        <v>0</v>
      </c>
      <c r="T50" s="331">
        <v>0</v>
      </c>
      <c r="U50" s="332">
        <f>O50+S50+T50</f>
        <v>157919</v>
      </c>
      <c r="V50" s="342"/>
    </row>
    <row r="51" spans="1:22" s="299" customFormat="1" ht="33">
      <c r="A51" s="425" t="s">
        <v>113</v>
      </c>
      <c r="B51" s="328" t="s">
        <v>588</v>
      </c>
      <c r="C51" s="329" t="s">
        <v>55</v>
      </c>
      <c r="D51" s="329" t="s">
        <v>628</v>
      </c>
      <c r="E51" s="331">
        <v>9084096</v>
      </c>
      <c r="F51" s="331"/>
      <c r="G51" s="422"/>
      <c r="H51" s="331">
        <v>0</v>
      </c>
      <c r="I51" s="331">
        <v>0</v>
      </c>
      <c r="J51" s="424"/>
      <c r="K51" s="424"/>
      <c r="L51" s="411"/>
      <c r="M51" s="332"/>
      <c r="N51" s="332"/>
      <c r="O51" s="417">
        <v>0</v>
      </c>
      <c r="P51" s="331" t="s">
        <v>910</v>
      </c>
      <c r="Q51" s="331">
        <v>9084096</v>
      </c>
      <c r="R51" s="331">
        <v>9084096</v>
      </c>
      <c r="S51" s="331">
        <v>9084096</v>
      </c>
      <c r="T51" s="331">
        <v>0</v>
      </c>
      <c r="U51" s="332">
        <v>9084096</v>
      </c>
      <c r="V51" s="342"/>
    </row>
    <row r="52" spans="1:22" s="299" customFormat="1" ht="82.5">
      <c r="A52" s="425" t="s">
        <v>167</v>
      </c>
      <c r="B52" s="328" t="s">
        <v>602</v>
      </c>
      <c r="C52" s="329" t="s">
        <v>142</v>
      </c>
      <c r="D52" s="329" t="s">
        <v>628</v>
      </c>
      <c r="E52" s="426">
        <v>3717481</v>
      </c>
      <c r="F52" s="421"/>
      <c r="G52" s="422">
        <v>11000000</v>
      </c>
      <c r="H52" s="331">
        <v>0</v>
      </c>
      <c r="I52" s="331">
        <v>0</v>
      </c>
      <c r="J52" s="424">
        <v>0</v>
      </c>
      <c r="K52" s="424">
        <v>0</v>
      </c>
      <c r="L52" s="411">
        <v>0</v>
      </c>
      <c r="M52" s="332">
        <v>0</v>
      </c>
      <c r="N52" s="409"/>
      <c r="O52" s="417">
        <v>0</v>
      </c>
      <c r="P52" s="418">
        <v>3717481</v>
      </c>
      <c r="Q52" s="331">
        <v>3717481</v>
      </c>
      <c r="R52" s="331">
        <v>3717481</v>
      </c>
      <c r="S52" s="331">
        <f>E52</f>
        <v>3717481</v>
      </c>
      <c r="T52" s="331">
        <v>0</v>
      </c>
      <c r="U52" s="332">
        <f>O52+S52+T52</f>
        <v>3717481</v>
      </c>
      <c r="V52" s="319" t="s">
        <v>878</v>
      </c>
    </row>
    <row r="53" spans="1:22" s="299" customFormat="1" ht="49.5">
      <c r="A53" s="425" t="s">
        <v>368</v>
      </c>
      <c r="B53" s="328" t="s">
        <v>604</v>
      </c>
      <c r="C53" s="329" t="s">
        <v>142</v>
      </c>
      <c r="D53" s="329" t="s">
        <v>628</v>
      </c>
      <c r="E53" s="426">
        <v>0</v>
      </c>
      <c r="F53" s="421"/>
      <c r="G53" s="422">
        <v>782839</v>
      </c>
      <c r="H53" s="331">
        <v>0</v>
      </c>
      <c r="I53" s="331">
        <v>0</v>
      </c>
      <c r="J53" s="427">
        <v>0</v>
      </c>
      <c r="K53" s="424">
        <v>234851.69999999998</v>
      </c>
      <c r="L53" s="411">
        <f t="shared" ref="L53:L54" si="19">J53+K53</f>
        <v>234851.69999999998</v>
      </c>
      <c r="M53" s="332">
        <f t="shared" ref="M53:M54" si="20">I53-L53</f>
        <v>-234851.69999999998</v>
      </c>
      <c r="N53" s="409"/>
      <c r="O53" s="417">
        <v>0</v>
      </c>
      <c r="P53" s="418">
        <v>0</v>
      </c>
      <c r="Q53" s="331">
        <v>0</v>
      </c>
      <c r="R53" s="331">
        <v>0</v>
      </c>
      <c r="S53" s="331">
        <v>0</v>
      </c>
      <c r="T53" s="331">
        <v>0</v>
      </c>
      <c r="U53" s="332">
        <v>0</v>
      </c>
      <c r="V53" s="319" t="s">
        <v>879</v>
      </c>
    </row>
    <row r="54" spans="1:22" s="299" customFormat="1" ht="49.5">
      <c r="A54" s="425" t="s">
        <v>184</v>
      </c>
      <c r="B54" s="328" t="s">
        <v>608</v>
      </c>
      <c r="C54" s="329" t="s">
        <v>142</v>
      </c>
      <c r="D54" s="329" t="s">
        <v>628</v>
      </c>
      <c r="E54" s="426">
        <v>130000</v>
      </c>
      <c r="F54" s="421"/>
      <c r="G54" s="422">
        <v>130000</v>
      </c>
      <c r="H54" s="331">
        <v>0</v>
      </c>
      <c r="I54" s="331">
        <v>0</v>
      </c>
      <c r="J54" s="427">
        <v>0</v>
      </c>
      <c r="K54" s="424">
        <v>130000</v>
      </c>
      <c r="L54" s="411">
        <f t="shared" si="19"/>
        <v>130000</v>
      </c>
      <c r="M54" s="332">
        <f t="shared" si="20"/>
        <v>-130000</v>
      </c>
      <c r="N54" s="409"/>
      <c r="O54" s="417">
        <v>0</v>
      </c>
      <c r="P54" s="418">
        <v>0</v>
      </c>
      <c r="Q54" s="331">
        <v>0</v>
      </c>
      <c r="R54" s="331">
        <v>130000</v>
      </c>
      <c r="S54" s="331">
        <v>130000</v>
      </c>
      <c r="T54" s="331">
        <v>0</v>
      </c>
      <c r="U54" s="332">
        <f>O54+S54+T54</f>
        <v>130000</v>
      </c>
      <c r="V54" s="319" t="s">
        <v>879</v>
      </c>
    </row>
    <row r="55" spans="1:22" s="335" customFormat="1">
      <c r="A55" s="442" t="s">
        <v>911</v>
      </c>
      <c r="B55" s="348"/>
      <c r="C55" s="320"/>
      <c r="D55" s="320"/>
      <c r="E55" s="320"/>
      <c r="F55" s="320"/>
      <c r="G55" s="443"/>
      <c r="H55" s="320"/>
      <c r="I55" s="345"/>
      <c r="J55" s="346"/>
      <c r="K55" s="346"/>
      <c r="L55" s="346"/>
      <c r="M55" s="346"/>
      <c r="N55" s="345"/>
      <c r="O55" s="345"/>
      <c r="P55" s="345"/>
      <c r="Q55" s="345"/>
      <c r="R55" s="345"/>
      <c r="S55" s="444"/>
      <c r="T55" s="320"/>
      <c r="U55" s="320"/>
      <c r="V55" s="347"/>
    </row>
    <row r="56" spans="1:22" s="335" customFormat="1" ht="17.25" customHeight="1">
      <c r="A56" s="466" t="s">
        <v>912</v>
      </c>
      <c r="B56" s="466"/>
      <c r="C56" s="466"/>
      <c r="D56" s="466"/>
      <c r="E56" s="466"/>
      <c r="F56" s="466"/>
      <c r="G56" s="466"/>
      <c r="H56" s="466"/>
      <c r="I56" s="466"/>
      <c r="J56" s="466"/>
      <c r="K56" s="466"/>
      <c r="L56" s="466"/>
      <c r="M56" s="466"/>
      <c r="N56" s="466"/>
      <c r="O56" s="466"/>
      <c r="P56" s="466"/>
      <c r="Q56" s="466"/>
      <c r="R56" s="466"/>
      <c r="S56" s="466"/>
      <c r="T56" s="466"/>
      <c r="U56" s="466"/>
      <c r="V56" s="347"/>
    </row>
    <row r="57" spans="1:22" s="335" customFormat="1" ht="18.75">
      <c r="A57" s="445" t="s">
        <v>913</v>
      </c>
      <c r="B57" s="351"/>
      <c r="C57" s="354"/>
      <c r="D57" s="352"/>
      <c r="E57" s="352"/>
      <c r="F57" s="352"/>
      <c r="G57" s="446"/>
      <c r="H57" s="352"/>
      <c r="I57" s="345"/>
      <c r="J57" s="346"/>
      <c r="K57" s="346"/>
      <c r="L57" s="346"/>
      <c r="M57" s="346"/>
      <c r="N57" s="345"/>
      <c r="O57" s="345"/>
      <c r="P57" s="345"/>
      <c r="Q57" s="345"/>
      <c r="R57" s="345"/>
      <c r="S57" s="444"/>
      <c r="T57" s="320"/>
      <c r="U57" s="320"/>
      <c r="V57" s="347"/>
    </row>
    <row r="58" spans="1:22" s="335" customFormat="1" ht="30.75">
      <c r="A58" s="447">
        <v>41592</v>
      </c>
      <c r="C58" s="354"/>
      <c r="D58" s="352"/>
      <c r="E58" s="352"/>
      <c r="F58" s="352"/>
      <c r="G58" s="446"/>
      <c r="H58" s="352"/>
      <c r="I58" s="467" t="s">
        <v>914</v>
      </c>
      <c r="J58" s="467"/>
      <c r="K58" s="467"/>
      <c r="L58" s="467"/>
      <c r="M58" s="467"/>
      <c r="N58" s="467"/>
      <c r="O58" s="467"/>
      <c r="P58" s="467"/>
      <c r="Q58" s="448"/>
      <c r="R58" s="448"/>
      <c r="S58" s="444"/>
      <c r="T58" s="320"/>
      <c r="U58" s="320"/>
      <c r="V58" s="347"/>
    </row>
    <row r="59" spans="1:22" s="335" customFormat="1" ht="30.75">
      <c r="A59" s="356" t="s">
        <v>915</v>
      </c>
      <c r="C59" s="354"/>
      <c r="D59" s="352"/>
      <c r="E59" s="352"/>
      <c r="F59" s="352"/>
      <c r="G59" s="446"/>
      <c r="H59" s="352"/>
      <c r="I59" s="449" t="s">
        <v>916</v>
      </c>
      <c r="J59" s="450"/>
      <c r="K59" s="450"/>
      <c r="L59" s="451"/>
      <c r="M59" s="451"/>
      <c r="N59" s="450"/>
      <c r="O59" s="450"/>
      <c r="P59" s="448"/>
      <c r="S59" s="468" t="s">
        <v>917</v>
      </c>
      <c r="T59" s="468"/>
      <c r="U59" s="320"/>
      <c r="V59" s="347"/>
    </row>
    <row r="60" spans="1:22" s="335" customFormat="1" ht="18.75">
      <c r="A60" s="357">
        <v>67083964</v>
      </c>
      <c r="C60" s="354"/>
      <c r="D60" s="352"/>
      <c r="E60" s="352"/>
      <c r="F60" s="352"/>
      <c r="G60" s="446"/>
      <c r="H60" s="352"/>
      <c r="I60" s="345"/>
      <c r="J60" s="346"/>
      <c r="K60" s="346"/>
      <c r="L60" s="346"/>
      <c r="M60" s="346"/>
      <c r="N60" s="345"/>
      <c r="O60" s="345"/>
      <c r="P60" s="345"/>
      <c r="Q60" s="345"/>
      <c r="R60" s="345"/>
      <c r="S60" s="444"/>
      <c r="T60" s="320"/>
      <c r="U60" s="320"/>
      <c r="V60" s="347"/>
    </row>
    <row r="61" spans="1:22" s="335" customFormat="1" ht="18.75">
      <c r="A61" s="358" t="s">
        <v>918</v>
      </c>
      <c r="C61" s="354"/>
      <c r="D61" s="352"/>
      <c r="E61" s="352"/>
      <c r="F61" s="352"/>
      <c r="G61" s="446"/>
      <c r="H61" s="352"/>
      <c r="I61" s="345"/>
      <c r="J61" s="346"/>
      <c r="K61" s="346"/>
      <c r="L61" s="346"/>
      <c r="M61" s="346"/>
      <c r="N61" s="345"/>
      <c r="O61" s="345"/>
      <c r="P61" s="345"/>
      <c r="Q61" s="345"/>
      <c r="R61" s="345"/>
      <c r="S61" s="444"/>
      <c r="T61" s="320"/>
      <c r="U61" s="320"/>
      <c r="V61" s="347"/>
    </row>
    <row r="62" spans="1:22" s="335" customFormat="1">
      <c r="B62" s="348"/>
      <c r="C62" s="320"/>
      <c r="D62" s="320"/>
      <c r="E62" s="320"/>
      <c r="F62" s="320"/>
      <c r="G62" s="443"/>
      <c r="H62" s="320"/>
      <c r="I62" s="345"/>
      <c r="J62" s="346"/>
      <c r="K62" s="346"/>
      <c r="L62" s="346"/>
      <c r="M62" s="346"/>
      <c r="N62" s="345"/>
      <c r="O62" s="345"/>
      <c r="P62" s="345"/>
      <c r="Q62" s="345"/>
      <c r="R62" s="345"/>
      <c r="S62" s="444"/>
      <c r="T62" s="320"/>
      <c r="U62" s="320"/>
      <c r="V62" s="347"/>
    </row>
    <row r="63" spans="1:22" s="333" customFormat="1">
      <c r="A63" s="452"/>
      <c r="B63" s="348"/>
      <c r="C63" s="320"/>
      <c r="D63" s="320"/>
      <c r="E63" s="320"/>
      <c r="F63" s="320"/>
      <c r="G63" s="443"/>
      <c r="H63" s="320"/>
      <c r="I63" s="345"/>
      <c r="J63" s="346"/>
      <c r="K63" s="346"/>
      <c r="L63" s="346"/>
      <c r="M63" s="346"/>
      <c r="N63" s="345"/>
      <c r="O63" s="345"/>
      <c r="P63" s="345"/>
      <c r="Q63" s="345"/>
      <c r="R63" s="345"/>
      <c r="S63" s="444"/>
      <c r="T63" s="320"/>
      <c r="U63" s="320"/>
      <c r="V63" s="347"/>
    </row>
    <row r="64" spans="1:22" s="299" customFormat="1">
      <c r="A64" s="452"/>
      <c r="B64" s="348"/>
      <c r="C64" s="320"/>
      <c r="D64" s="320"/>
      <c r="E64" s="320"/>
      <c r="F64" s="320"/>
      <c r="G64" s="443"/>
      <c r="H64" s="320"/>
      <c r="I64" s="345"/>
      <c r="J64" s="346"/>
      <c r="K64" s="346"/>
      <c r="L64" s="346"/>
      <c r="M64" s="346"/>
      <c r="N64" s="345"/>
      <c r="O64" s="345"/>
      <c r="P64" s="345"/>
      <c r="Q64" s="345"/>
      <c r="R64" s="345"/>
      <c r="S64" s="444"/>
      <c r="T64" s="320"/>
      <c r="U64" s="320"/>
      <c r="V64" s="347"/>
    </row>
    <row r="65" spans="1:22" s="299" customFormat="1">
      <c r="A65" s="452"/>
      <c r="B65" s="348"/>
      <c r="C65" s="320"/>
      <c r="D65" s="320"/>
      <c r="E65" s="320"/>
      <c r="F65" s="320"/>
      <c r="G65" s="443"/>
      <c r="H65" s="320"/>
      <c r="I65" s="345"/>
      <c r="J65" s="346"/>
      <c r="K65" s="346"/>
      <c r="L65" s="346"/>
      <c r="M65" s="346"/>
      <c r="N65" s="345"/>
      <c r="O65" s="345"/>
      <c r="P65" s="345"/>
      <c r="Q65" s="345"/>
      <c r="R65" s="345"/>
      <c r="S65" s="444"/>
      <c r="T65" s="320"/>
      <c r="U65" s="320"/>
      <c r="V65" s="347"/>
    </row>
    <row r="66" spans="1:22" s="299" customFormat="1">
      <c r="A66" s="452"/>
      <c r="B66" s="348"/>
      <c r="C66" s="320"/>
      <c r="D66" s="320"/>
      <c r="E66" s="320"/>
      <c r="F66" s="320"/>
      <c r="G66" s="443"/>
      <c r="H66" s="320"/>
      <c r="I66" s="345"/>
      <c r="J66" s="346"/>
      <c r="K66" s="346"/>
      <c r="L66" s="346"/>
      <c r="M66" s="346"/>
      <c r="N66" s="345"/>
      <c r="O66" s="345"/>
      <c r="P66" s="345"/>
      <c r="Q66" s="345"/>
      <c r="R66" s="345"/>
      <c r="S66" s="444"/>
      <c r="T66" s="320"/>
      <c r="U66" s="320"/>
      <c r="V66" s="347"/>
    </row>
    <row r="67" spans="1:22" s="320" customFormat="1">
      <c r="A67" s="452"/>
      <c r="B67" s="348"/>
      <c r="G67" s="443"/>
      <c r="I67" s="345"/>
      <c r="J67" s="346"/>
      <c r="K67" s="346"/>
      <c r="L67" s="346"/>
      <c r="M67" s="346"/>
      <c r="N67" s="345"/>
      <c r="O67" s="345"/>
      <c r="P67" s="345"/>
      <c r="Q67" s="345"/>
      <c r="R67" s="345"/>
      <c r="S67" s="444"/>
      <c r="V67" s="347"/>
    </row>
    <row r="68" spans="1:22" s="320" customFormat="1">
      <c r="A68" s="452"/>
      <c r="B68" s="348"/>
      <c r="G68" s="443"/>
      <c r="I68" s="345"/>
      <c r="J68" s="346"/>
      <c r="K68" s="346"/>
      <c r="L68" s="346"/>
      <c r="M68" s="346"/>
      <c r="N68" s="345"/>
      <c r="O68" s="345"/>
      <c r="P68" s="345"/>
      <c r="Q68" s="345"/>
      <c r="R68" s="345"/>
      <c r="S68" s="444"/>
      <c r="V68" s="347"/>
    </row>
    <row r="69" spans="1:22" s="320" customFormat="1">
      <c r="A69" s="381"/>
      <c r="B69" s="361"/>
      <c r="C69" s="283"/>
      <c r="D69" s="283"/>
      <c r="G69" s="443"/>
      <c r="I69" s="345"/>
      <c r="J69" s="346"/>
      <c r="K69" s="346"/>
      <c r="L69" s="346"/>
      <c r="M69" s="346"/>
      <c r="N69" s="345"/>
      <c r="O69" s="345"/>
      <c r="P69" s="345"/>
      <c r="Q69" s="345"/>
      <c r="R69" s="345"/>
      <c r="S69" s="444"/>
      <c r="T69" s="283"/>
      <c r="U69" s="283"/>
      <c r="V69" s="359"/>
    </row>
    <row r="70" spans="1:22" s="320" customFormat="1">
      <c r="A70" s="381"/>
      <c r="B70" s="361"/>
      <c r="C70" s="283"/>
      <c r="D70" s="283"/>
      <c r="G70" s="443"/>
      <c r="I70" s="345"/>
      <c r="J70" s="346"/>
      <c r="K70" s="346"/>
      <c r="L70" s="346"/>
      <c r="M70" s="346"/>
      <c r="N70" s="345"/>
      <c r="O70" s="345"/>
      <c r="P70" s="345"/>
      <c r="Q70" s="345"/>
      <c r="R70" s="345"/>
      <c r="S70" s="444"/>
      <c r="T70" s="283"/>
      <c r="U70" s="283"/>
      <c r="V70" s="359"/>
    </row>
    <row r="71" spans="1:22" s="320" customFormat="1">
      <c r="A71" s="381"/>
      <c r="B71" s="361"/>
      <c r="C71" s="283"/>
      <c r="D71" s="283"/>
      <c r="G71" s="443"/>
      <c r="I71" s="345"/>
      <c r="J71" s="346"/>
      <c r="K71" s="346"/>
      <c r="L71" s="346"/>
      <c r="M71" s="346"/>
      <c r="N71" s="345"/>
      <c r="O71" s="345"/>
      <c r="P71" s="345"/>
      <c r="Q71" s="345"/>
      <c r="R71" s="345"/>
      <c r="S71" s="444"/>
      <c r="T71" s="283"/>
      <c r="U71" s="283"/>
      <c r="V71" s="359"/>
    </row>
    <row r="72" spans="1:22" s="320" customFormat="1">
      <c r="A72" s="381"/>
      <c r="B72" s="361"/>
      <c r="C72" s="283"/>
      <c r="D72" s="283"/>
      <c r="G72" s="443"/>
      <c r="I72" s="345"/>
      <c r="J72" s="346"/>
      <c r="K72" s="346"/>
      <c r="L72" s="346"/>
      <c r="M72" s="346"/>
      <c r="N72" s="345"/>
      <c r="O72" s="345"/>
      <c r="P72" s="345"/>
      <c r="Q72" s="345"/>
      <c r="R72" s="345"/>
      <c r="S72" s="444"/>
      <c r="T72" s="283"/>
      <c r="U72" s="283"/>
      <c r="V72" s="359"/>
    </row>
    <row r="73" spans="1:22" s="320" customFormat="1">
      <c r="A73" s="381"/>
      <c r="B73" s="361"/>
      <c r="C73" s="283"/>
      <c r="D73" s="283"/>
      <c r="G73" s="443"/>
      <c r="I73" s="345"/>
      <c r="J73" s="346"/>
      <c r="K73" s="346"/>
      <c r="L73" s="346"/>
      <c r="M73" s="346"/>
      <c r="N73" s="345"/>
      <c r="O73" s="345"/>
      <c r="P73" s="345"/>
      <c r="Q73" s="345"/>
      <c r="R73" s="345"/>
      <c r="S73" s="444"/>
      <c r="T73" s="283"/>
      <c r="U73" s="283"/>
      <c r="V73" s="359"/>
    </row>
    <row r="74" spans="1:22" s="320" customFormat="1">
      <c r="A74" s="381"/>
      <c r="B74" s="361"/>
      <c r="C74" s="283"/>
      <c r="D74" s="283"/>
      <c r="G74" s="443"/>
      <c r="I74" s="345"/>
      <c r="J74" s="346"/>
      <c r="K74" s="346"/>
      <c r="L74" s="346"/>
      <c r="M74" s="346"/>
      <c r="N74" s="345"/>
      <c r="O74" s="345"/>
      <c r="P74" s="345"/>
      <c r="Q74" s="345"/>
      <c r="R74" s="345"/>
      <c r="S74" s="444"/>
      <c r="T74" s="283"/>
      <c r="U74" s="283"/>
      <c r="V74" s="359"/>
    </row>
    <row r="75" spans="1:22" s="320" customFormat="1">
      <c r="A75" s="381"/>
      <c r="B75" s="361"/>
      <c r="C75" s="283"/>
      <c r="D75" s="283"/>
      <c r="G75" s="443"/>
      <c r="I75" s="345"/>
      <c r="J75" s="346"/>
      <c r="K75" s="346"/>
      <c r="L75" s="346"/>
      <c r="M75" s="346"/>
      <c r="N75" s="345"/>
      <c r="O75" s="345"/>
      <c r="P75" s="345"/>
      <c r="Q75" s="345"/>
      <c r="R75" s="345"/>
      <c r="S75" s="444"/>
      <c r="T75" s="283"/>
      <c r="U75" s="283"/>
      <c r="V75" s="359"/>
    </row>
    <row r="76" spans="1:22" s="320" customFormat="1">
      <c r="A76" s="381"/>
      <c r="B76" s="361"/>
      <c r="C76" s="283"/>
      <c r="D76" s="283"/>
      <c r="G76" s="443"/>
      <c r="I76" s="345"/>
      <c r="J76" s="346"/>
      <c r="K76" s="346"/>
      <c r="L76" s="346"/>
      <c r="M76" s="346"/>
      <c r="N76" s="345"/>
      <c r="O76" s="345"/>
      <c r="P76" s="345"/>
      <c r="Q76" s="345"/>
      <c r="R76" s="345"/>
      <c r="S76" s="444"/>
      <c r="T76" s="283"/>
      <c r="U76" s="283"/>
      <c r="V76" s="359"/>
    </row>
    <row r="77" spans="1:22" s="320" customFormat="1">
      <c r="A77" s="381"/>
      <c r="B77" s="361"/>
      <c r="C77" s="283"/>
      <c r="D77" s="283"/>
      <c r="G77" s="443"/>
      <c r="I77" s="453"/>
      <c r="J77" s="454"/>
      <c r="K77" s="454"/>
      <c r="L77" s="454"/>
      <c r="M77" s="454"/>
      <c r="N77" s="455"/>
      <c r="O77" s="453"/>
      <c r="P77" s="453"/>
      <c r="Q77" s="453"/>
      <c r="R77" s="453"/>
      <c r="S77" s="444"/>
      <c r="T77" s="283"/>
      <c r="U77" s="283"/>
      <c r="V77" s="359"/>
    </row>
    <row r="78" spans="1:22" s="320" customFormat="1">
      <c r="A78" s="381"/>
      <c r="B78" s="361"/>
      <c r="C78" s="283"/>
      <c r="D78" s="283"/>
      <c r="G78" s="443"/>
      <c r="I78" s="453"/>
      <c r="J78" s="454"/>
      <c r="K78" s="454"/>
      <c r="L78" s="454"/>
      <c r="M78" s="454"/>
      <c r="N78" s="455"/>
      <c r="O78" s="453"/>
      <c r="P78" s="453"/>
      <c r="Q78" s="453"/>
      <c r="R78" s="453"/>
      <c r="S78" s="444"/>
      <c r="T78" s="283"/>
      <c r="U78" s="283"/>
      <c r="V78" s="359"/>
    </row>
    <row r="79" spans="1:22" s="320" customFormat="1">
      <c r="A79" s="381"/>
      <c r="B79" s="361"/>
      <c r="C79" s="283"/>
      <c r="D79" s="283"/>
      <c r="G79" s="443"/>
      <c r="I79" s="453"/>
      <c r="J79" s="454"/>
      <c r="K79" s="454"/>
      <c r="L79" s="454"/>
      <c r="M79" s="454"/>
      <c r="N79" s="455"/>
      <c r="O79" s="453"/>
      <c r="P79" s="453"/>
      <c r="Q79" s="453"/>
      <c r="R79" s="453"/>
      <c r="S79" s="444"/>
      <c r="T79" s="283"/>
      <c r="U79" s="283"/>
      <c r="V79" s="359"/>
    </row>
    <row r="80" spans="1:22" s="320" customFormat="1">
      <c r="A80" s="381"/>
      <c r="B80" s="361"/>
      <c r="C80" s="283"/>
      <c r="D80" s="283"/>
      <c r="G80" s="443"/>
      <c r="I80" s="453"/>
      <c r="J80" s="454"/>
      <c r="K80" s="454"/>
      <c r="L80" s="454"/>
      <c r="M80" s="454"/>
      <c r="N80" s="455"/>
      <c r="O80" s="453"/>
      <c r="P80" s="453"/>
      <c r="Q80" s="453"/>
      <c r="R80" s="453"/>
      <c r="S80" s="444"/>
      <c r="T80" s="283"/>
      <c r="U80" s="283"/>
      <c r="V80" s="359"/>
    </row>
    <row r="81" spans="1:22" s="320" customFormat="1">
      <c r="A81" s="381"/>
      <c r="B81" s="361"/>
      <c r="C81" s="283"/>
      <c r="D81" s="283"/>
      <c r="G81" s="443"/>
      <c r="I81" s="453"/>
      <c r="J81" s="454"/>
      <c r="K81" s="454"/>
      <c r="L81" s="454"/>
      <c r="M81" s="454"/>
      <c r="N81" s="455"/>
      <c r="O81" s="453"/>
      <c r="P81" s="453"/>
      <c r="Q81" s="453"/>
      <c r="R81" s="453"/>
      <c r="S81" s="444"/>
      <c r="T81" s="283"/>
      <c r="U81" s="283"/>
      <c r="V81" s="359"/>
    </row>
    <row r="82" spans="1:22" s="320" customFormat="1">
      <c r="A82" s="381"/>
      <c r="B82" s="361"/>
      <c r="C82" s="283"/>
      <c r="D82" s="283"/>
      <c r="G82" s="443"/>
      <c r="I82" s="453"/>
      <c r="J82" s="454"/>
      <c r="K82" s="454"/>
      <c r="L82" s="454"/>
      <c r="M82" s="454"/>
      <c r="N82" s="455"/>
      <c r="O82" s="453"/>
      <c r="P82" s="453"/>
      <c r="Q82" s="453"/>
      <c r="R82" s="453"/>
      <c r="S82" s="444"/>
      <c r="T82" s="283"/>
      <c r="U82" s="283"/>
      <c r="V82" s="359"/>
    </row>
    <row r="83" spans="1:22" s="320" customFormat="1">
      <c r="A83" s="381"/>
      <c r="B83" s="361"/>
      <c r="C83" s="283"/>
      <c r="D83" s="283"/>
      <c r="G83" s="443"/>
      <c r="I83" s="453"/>
      <c r="J83" s="454"/>
      <c r="K83" s="454"/>
      <c r="L83" s="454"/>
      <c r="M83" s="454"/>
      <c r="N83" s="455"/>
      <c r="O83" s="453"/>
      <c r="P83" s="453"/>
      <c r="Q83" s="453"/>
      <c r="R83" s="453"/>
      <c r="S83" s="444"/>
      <c r="T83" s="283"/>
      <c r="U83" s="283"/>
      <c r="V83" s="359"/>
    </row>
    <row r="84" spans="1:22" s="320" customFormat="1">
      <c r="A84" s="381"/>
      <c r="B84" s="361"/>
      <c r="C84" s="283"/>
      <c r="D84" s="283"/>
      <c r="G84" s="443"/>
      <c r="I84" s="453"/>
      <c r="J84" s="454"/>
      <c r="K84" s="454"/>
      <c r="L84" s="454"/>
      <c r="M84" s="454"/>
      <c r="N84" s="455"/>
      <c r="O84" s="453"/>
      <c r="P84" s="453"/>
      <c r="Q84" s="453"/>
      <c r="R84" s="453"/>
      <c r="S84" s="444"/>
      <c r="T84" s="283"/>
      <c r="U84" s="283"/>
      <c r="V84" s="359"/>
    </row>
    <row r="85" spans="1:22" s="320" customFormat="1">
      <c r="A85" s="381"/>
      <c r="B85" s="361"/>
      <c r="C85" s="283"/>
      <c r="D85" s="283"/>
      <c r="G85" s="443"/>
      <c r="I85" s="280"/>
      <c r="J85" s="281"/>
      <c r="K85" s="281"/>
      <c r="L85" s="281"/>
      <c r="M85" s="281"/>
      <c r="N85" s="282"/>
      <c r="O85" s="280"/>
      <c r="P85" s="280"/>
      <c r="Q85" s="280"/>
      <c r="R85" s="280"/>
      <c r="S85" s="456"/>
      <c r="T85" s="283"/>
      <c r="U85" s="283"/>
      <c r="V85" s="359"/>
    </row>
    <row r="86" spans="1:22" s="320" customFormat="1">
      <c r="A86" s="381"/>
      <c r="B86" s="361"/>
      <c r="C86" s="283"/>
      <c r="D86" s="283"/>
      <c r="G86" s="443"/>
      <c r="I86" s="280"/>
      <c r="J86" s="281"/>
      <c r="K86" s="281"/>
      <c r="L86" s="281"/>
      <c r="M86" s="281"/>
      <c r="N86" s="282"/>
      <c r="O86" s="280"/>
      <c r="P86" s="280"/>
      <c r="Q86" s="280"/>
      <c r="R86" s="280"/>
      <c r="S86" s="456"/>
      <c r="T86" s="283"/>
      <c r="U86" s="283"/>
      <c r="V86" s="359"/>
    </row>
  </sheetData>
  <mergeCells count="1">
    <mergeCell ref="V1:V3"/>
  </mergeCells>
  <hyperlinks>
    <hyperlink ref="A61" r:id="rId1"/>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303"/>
  <sheetViews>
    <sheetView zoomScale="55" zoomScaleNormal="55" workbookViewId="0">
      <selection activeCell="J15" sqref="J15"/>
    </sheetView>
  </sheetViews>
  <sheetFormatPr defaultColWidth="9.140625" defaultRowHeight="17.25" outlineLevelRow="1" outlineLevelCol="1"/>
  <cols>
    <col min="1" max="1" width="17.28515625" style="4" customWidth="1"/>
    <col min="2" max="2" width="36.85546875" style="24" customWidth="1"/>
    <col min="3" max="3" width="10.140625" style="4" customWidth="1"/>
    <col min="4" max="4" width="33.7109375" style="4" customWidth="1"/>
    <col min="5" max="5" width="19.140625" style="4" hidden="1" customWidth="1" outlineLevel="1"/>
    <col min="6" max="6" width="23.140625" style="4" customWidth="1" collapsed="1"/>
    <col min="7" max="7" width="30.7109375" style="4" hidden="1" customWidth="1" outlineLevel="1"/>
    <col min="8" max="8" width="21" style="4" hidden="1" customWidth="1" outlineLevel="1"/>
    <col min="9" max="9" width="27.85546875" style="4" hidden="1" customWidth="1" outlineLevel="1"/>
    <col min="10" max="10" width="18.7109375" style="4" customWidth="1" collapsed="1"/>
    <col min="11" max="11" width="38.28515625" style="4" hidden="1" customWidth="1" outlineLevel="1"/>
    <col min="12" max="12" width="26.85546875" style="4" hidden="1" customWidth="1" outlineLevel="1"/>
    <col min="13" max="13" width="27.5703125" style="4" hidden="1" customWidth="1" outlineLevel="1"/>
    <col min="14" max="14" width="18.7109375" style="4" customWidth="1" collapsed="1"/>
    <col min="15" max="15" width="18.7109375" style="4" customWidth="1"/>
    <col min="16" max="16" width="21.85546875" style="4" hidden="1" customWidth="1" outlineLevel="1"/>
    <col min="17" max="17" width="24.5703125" style="4" customWidth="1" collapsed="1"/>
    <col min="18" max="18" width="18.42578125" style="4" customWidth="1"/>
    <col min="19" max="19" width="22" style="4" customWidth="1"/>
    <col min="20" max="20" width="18.85546875" style="305" customWidth="1"/>
    <col min="21" max="21" width="18" style="4" customWidth="1"/>
    <col min="22" max="22" width="17.28515625" style="4" hidden="1" customWidth="1" outlineLevel="1"/>
    <col min="23" max="23" width="20" style="305" customWidth="1" collapsed="1"/>
    <col min="24" max="24" width="20" style="4" customWidth="1"/>
    <col min="25" max="25" width="17.85546875" style="305" customWidth="1"/>
    <col min="26" max="26" width="14.140625" style="4" customWidth="1"/>
    <col min="27" max="27" width="15.28515625" style="4" hidden="1" customWidth="1" outlineLevel="1"/>
    <col min="28" max="28" width="17.140625" style="305" customWidth="1" collapsed="1"/>
    <col min="29" max="29" width="18.85546875" style="4" customWidth="1"/>
    <col min="30" max="30" width="21" style="4" hidden="1" customWidth="1" outlineLevel="1"/>
    <col min="31" max="31" width="19.7109375" style="4" hidden="1" customWidth="1" outlineLevel="1"/>
    <col min="32" max="32" width="22" style="4" hidden="1" customWidth="1" outlineLevel="1"/>
    <col min="33" max="34" width="19.7109375" style="4" hidden="1" customWidth="1" outlineLevel="1"/>
    <col min="35" max="35" width="19.7109375" style="4" customWidth="1" collapsed="1"/>
    <col min="36" max="37" width="19.85546875" style="4" customWidth="1"/>
    <col min="38" max="38" width="16.85546875" style="4" customWidth="1"/>
    <col min="39" max="39" width="16.140625" style="4" hidden="1" customWidth="1" outlineLevel="1"/>
    <col min="40" max="40" width="17.42578125" style="305" customWidth="1" collapsed="1"/>
    <col min="41" max="41" width="17.42578125" style="4" customWidth="1"/>
    <col min="42" max="43" width="22" style="4" customWidth="1"/>
    <col min="44" max="44" width="22.140625" style="4" hidden="1" customWidth="1" outlineLevel="1"/>
    <col min="45" max="45" width="22.7109375" style="4" customWidth="1" collapsed="1"/>
    <col min="46" max="46" width="23.28515625" style="4" customWidth="1"/>
    <col min="47" max="47" width="23.7109375" style="4" customWidth="1"/>
    <col min="48" max="48" width="24.42578125" style="4" hidden="1" customWidth="1" outlineLevel="1"/>
    <col min="49" max="49" width="20.7109375" style="4" customWidth="1" collapsed="1"/>
    <col min="50" max="50" width="0.5703125" style="4" customWidth="1"/>
    <col min="51" max="51" width="20.85546875" style="4" customWidth="1"/>
    <col min="52" max="16384" width="9.140625" style="4"/>
  </cols>
  <sheetData>
    <row r="1" spans="1:49" s="59" customFormat="1" ht="237.75" thickTop="1">
      <c r="A1" s="470" t="s">
        <v>920</v>
      </c>
      <c r="B1" s="471" t="s">
        <v>921</v>
      </c>
      <c r="C1" s="472" t="s">
        <v>922</v>
      </c>
      <c r="D1" s="472" t="s">
        <v>923</v>
      </c>
      <c r="E1" s="473" t="s">
        <v>924</v>
      </c>
      <c r="F1" s="474" t="s">
        <v>925</v>
      </c>
      <c r="G1" s="472" t="s">
        <v>926</v>
      </c>
      <c r="H1" s="472" t="s">
        <v>927</v>
      </c>
      <c r="I1" s="472" t="s">
        <v>928</v>
      </c>
      <c r="J1" s="475" t="s">
        <v>929</v>
      </c>
      <c r="K1" s="475" t="s">
        <v>930</v>
      </c>
      <c r="L1" s="475" t="s">
        <v>931</v>
      </c>
      <c r="M1" s="475" t="s">
        <v>932</v>
      </c>
      <c r="N1" s="475" t="s">
        <v>933</v>
      </c>
      <c r="O1" s="475" t="s">
        <v>934</v>
      </c>
      <c r="P1" s="475" t="s">
        <v>935</v>
      </c>
      <c r="Q1" s="475" t="s">
        <v>936</v>
      </c>
      <c r="R1" s="475" t="s">
        <v>937</v>
      </c>
      <c r="S1" s="476" t="s">
        <v>938</v>
      </c>
      <c r="T1" s="477" t="s">
        <v>939</v>
      </c>
      <c r="U1" s="475" t="s">
        <v>940</v>
      </c>
      <c r="V1" s="475" t="s">
        <v>941</v>
      </c>
      <c r="W1" s="476" t="s">
        <v>942</v>
      </c>
      <c r="X1" s="476" t="s">
        <v>943</v>
      </c>
      <c r="Y1" s="477" t="s">
        <v>944</v>
      </c>
      <c r="Z1" s="475" t="s">
        <v>945</v>
      </c>
      <c r="AA1" s="475" t="s">
        <v>945</v>
      </c>
      <c r="AB1" s="476" t="s">
        <v>946</v>
      </c>
      <c r="AC1" s="476" t="s">
        <v>947</v>
      </c>
      <c r="AD1" s="478" t="s">
        <v>948</v>
      </c>
      <c r="AE1" s="475" t="s">
        <v>949</v>
      </c>
      <c r="AF1" s="475" t="s">
        <v>950</v>
      </c>
      <c r="AG1" s="475" t="s">
        <v>951</v>
      </c>
      <c r="AH1" s="479" t="s">
        <v>952</v>
      </c>
      <c r="AI1" s="477" t="s">
        <v>953</v>
      </c>
      <c r="AJ1" s="475" t="s">
        <v>954</v>
      </c>
      <c r="AK1" s="475" t="s">
        <v>955</v>
      </c>
      <c r="AL1" s="475" t="s">
        <v>956</v>
      </c>
      <c r="AM1" s="475" t="s">
        <v>956</v>
      </c>
      <c r="AN1" s="476" t="s">
        <v>957</v>
      </c>
      <c r="AO1" s="476" t="s">
        <v>958</v>
      </c>
      <c r="AP1" s="480" t="s">
        <v>959</v>
      </c>
      <c r="AQ1" s="78" t="s">
        <v>960</v>
      </c>
      <c r="AR1" s="78" t="s">
        <v>961</v>
      </c>
      <c r="AS1" s="78" t="s">
        <v>962</v>
      </c>
      <c r="AT1" s="78" t="s">
        <v>963</v>
      </c>
      <c r="AU1" s="78" t="s">
        <v>964</v>
      </c>
      <c r="AV1" s="78" t="s">
        <v>965</v>
      </c>
      <c r="AW1" s="481" t="s">
        <v>966</v>
      </c>
    </row>
    <row r="2" spans="1:49" s="59" customFormat="1">
      <c r="A2" s="482">
        <v>1</v>
      </c>
      <c r="B2" s="1">
        <v>2</v>
      </c>
      <c r="C2" s="1">
        <v>3</v>
      </c>
      <c r="D2" s="1">
        <v>4</v>
      </c>
      <c r="E2" s="483">
        <v>0.70280399999999998</v>
      </c>
      <c r="F2" s="482">
        <v>5</v>
      </c>
      <c r="G2" s="1">
        <v>0.70280399999999998</v>
      </c>
      <c r="H2" s="1" t="s">
        <v>967</v>
      </c>
      <c r="I2" s="1">
        <v>0.70280399999999998</v>
      </c>
      <c r="J2" s="1" t="s">
        <v>655</v>
      </c>
      <c r="K2" s="1" t="s">
        <v>968</v>
      </c>
      <c r="L2" s="1" t="s">
        <v>969</v>
      </c>
      <c r="M2" s="1" t="s">
        <v>970</v>
      </c>
      <c r="N2" s="1">
        <v>6</v>
      </c>
      <c r="O2" s="1" t="s">
        <v>212</v>
      </c>
      <c r="P2" s="1" t="s">
        <v>971</v>
      </c>
      <c r="Q2" s="1" t="s">
        <v>972</v>
      </c>
      <c r="R2" s="1" t="s">
        <v>973</v>
      </c>
      <c r="S2" s="484">
        <v>7</v>
      </c>
      <c r="T2" s="482">
        <v>8</v>
      </c>
      <c r="U2" s="1" t="s">
        <v>974</v>
      </c>
      <c r="V2" s="1"/>
      <c r="W2" s="1" t="s">
        <v>219</v>
      </c>
      <c r="X2" s="485" t="s">
        <v>975</v>
      </c>
      <c r="Y2" s="482">
        <v>9</v>
      </c>
      <c r="Z2" s="1" t="s">
        <v>976</v>
      </c>
      <c r="AA2" s="1"/>
      <c r="AB2" s="1" t="s">
        <v>977</v>
      </c>
      <c r="AC2" s="484" t="s">
        <v>978</v>
      </c>
      <c r="AD2" s="486" t="s">
        <v>979</v>
      </c>
      <c r="AE2" s="1" t="s">
        <v>980</v>
      </c>
      <c r="AF2" s="1" t="s">
        <v>981</v>
      </c>
      <c r="AG2" s="1" t="s">
        <v>982</v>
      </c>
      <c r="AH2" s="483" t="s">
        <v>983</v>
      </c>
      <c r="AI2" s="482">
        <v>10</v>
      </c>
      <c r="AJ2" s="1">
        <v>11</v>
      </c>
      <c r="AK2" s="2">
        <v>12</v>
      </c>
      <c r="AL2" s="1" t="s">
        <v>984</v>
      </c>
      <c r="AM2" s="1"/>
      <c r="AN2" s="2" t="s">
        <v>985</v>
      </c>
      <c r="AO2" s="484" t="s">
        <v>986</v>
      </c>
      <c r="AP2" s="487">
        <v>9</v>
      </c>
      <c r="AQ2" s="1" t="s">
        <v>987</v>
      </c>
      <c r="AR2" s="1"/>
      <c r="AS2" s="1" t="s">
        <v>977</v>
      </c>
      <c r="AT2" s="1">
        <v>10</v>
      </c>
      <c r="AU2" s="1" t="s">
        <v>988</v>
      </c>
      <c r="AV2" s="1"/>
      <c r="AW2" s="1" t="s">
        <v>980</v>
      </c>
    </row>
    <row r="3" spans="1:49" s="59" customFormat="1">
      <c r="A3" s="488"/>
      <c r="B3" s="26" t="s">
        <v>989</v>
      </c>
      <c r="C3" s="27"/>
      <c r="D3" s="27"/>
      <c r="E3" s="489"/>
      <c r="F3" s="490">
        <f>SUM(F6,F5,F7)</f>
        <v>3184016717.9872322</v>
      </c>
      <c r="G3" s="308"/>
      <c r="H3" s="308">
        <f>SUM(H6,H5,H7)</f>
        <v>3212444658.7295723</v>
      </c>
      <c r="I3" s="308"/>
      <c r="J3" s="308">
        <f>SUM(J6,J5,J7)</f>
        <v>3212444659.6651559</v>
      </c>
      <c r="K3" s="308"/>
      <c r="L3" s="308"/>
      <c r="M3" s="308"/>
      <c r="N3" s="308">
        <f>SUM(N6,N5,N7)</f>
        <v>284321063</v>
      </c>
      <c r="O3" s="308">
        <f>SUM(O6,O5,O7)</f>
        <v>241603776.66249999</v>
      </c>
      <c r="P3" s="308"/>
      <c r="Q3" s="308">
        <f>J3+O3</f>
        <v>3454048436.3276558</v>
      </c>
      <c r="R3" s="491">
        <f>Q3/J3</f>
        <v>1.0752086968831032</v>
      </c>
      <c r="S3" s="492">
        <v>2520828674.8200002</v>
      </c>
      <c r="T3" s="493">
        <f>SUM(T6,T5,T7)</f>
        <v>3193339466.9141359</v>
      </c>
      <c r="U3" s="494">
        <f>T3/J3</f>
        <v>0.99405275583704178</v>
      </c>
      <c r="V3" s="494">
        <v>0.97474997552222475</v>
      </c>
      <c r="W3" s="495">
        <f>U3-V3</f>
        <v>1.9302780314817025E-2</v>
      </c>
      <c r="X3" s="496">
        <f>T3/Q3</f>
        <v>0.92452075463924133</v>
      </c>
      <c r="Y3" s="493">
        <f>SUM(Y6,Y5,Y7)</f>
        <v>3061837539.2141361</v>
      </c>
      <c r="Z3" s="494">
        <f>Y3/J3</f>
        <v>0.95311759846262434</v>
      </c>
      <c r="AA3" s="494">
        <v>0.94340854366918048</v>
      </c>
      <c r="AB3" s="495">
        <f>Z3-AA3</f>
        <v>9.7090547934438609E-3</v>
      </c>
      <c r="AC3" s="496">
        <f>Y3/Q3</f>
        <v>0.88644892961300847</v>
      </c>
      <c r="AD3" s="497">
        <f>SUM(AD6,AD5,AD7)</f>
        <v>1659641589.3228159</v>
      </c>
      <c r="AE3" s="28">
        <f>SUM(AE6,AE5,AE7)</f>
        <v>47746078.740000002</v>
      </c>
      <c r="AF3" s="28">
        <f>SUM(AF6,AF5,AF7)</f>
        <v>568295776.6500001</v>
      </c>
      <c r="AG3" s="28">
        <f>SUM(AG6,AG5,AG7)</f>
        <v>320981433.42999995</v>
      </c>
      <c r="AH3" s="498">
        <f>SUM(AH6,AH5,AH7)</f>
        <v>82203952.849999994</v>
      </c>
      <c r="AI3" s="499">
        <f>AK3-AH3</f>
        <v>2138700858.4641361</v>
      </c>
      <c r="AJ3" s="500">
        <f>AD3+AE3+AG3</f>
        <v>2028369101.492816</v>
      </c>
      <c r="AK3" s="500">
        <f>SUM(AK6,AK5,AK7)</f>
        <v>2220904811.314136</v>
      </c>
      <c r="AL3" s="494">
        <f>AK3/J3</f>
        <v>0.69134414646869857</v>
      </c>
      <c r="AM3" s="494">
        <v>0.66768932805071901</v>
      </c>
      <c r="AN3" s="495">
        <f>AL3-AM3</f>
        <v>2.3654818417979562E-2</v>
      </c>
      <c r="AO3" s="496">
        <f>AK3/Q3</f>
        <v>0.64298600678437556</v>
      </c>
      <c r="AP3" s="497">
        <f>SUM(AP6,AP5,AP7)</f>
        <v>904444209.62112868</v>
      </c>
      <c r="AQ3" s="494">
        <f>AP3/J3</f>
        <v>0.28154390361246007</v>
      </c>
      <c r="AR3" s="494">
        <v>0.28154390380295929</v>
      </c>
      <c r="AS3" s="494">
        <f>AQ3-AR3</f>
        <v>-1.9049922750369319E-10</v>
      </c>
      <c r="AT3" s="28">
        <f>SUM(AT6,AT5,AT7)</f>
        <v>1199065655.1111741</v>
      </c>
      <c r="AU3" s="494">
        <f>AT3/J3</f>
        <v>0.37325643929883506</v>
      </c>
      <c r="AV3" s="494">
        <v>0.37325643955138921</v>
      </c>
      <c r="AW3" s="494">
        <f>AU3-AV3</f>
        <v>-2.5255414426439415E-10</v>
      </c>
    </row>
    <row r="4" spans="1:49" s="59" customFormat="1">
      <c r="A4" s="501"/>
      <c r="B4" s="3"/>
      <c r="C4" s="1"/>
      <c r="D4" s="1"/>
      <c r="E4" s="483"/>
      <c r="F4" s="482"/>
      <c r="G4" s="1"/>
      <c r="H4" s="1"/>
      <c r="I4" s="1"/>
      <c r="J4" s="502"/>
      <c r="K4" s="502"/>
      <c r="L4" s="502"/>
      <c r="M4" s="502"/>
      <c r="N4" s="502"/>
      <c r="O4" s="502"/>
      <c r="P4" s="502"/>
      <c r="Q4" s="502"/>
      <c r="R4" s="503"/>
      <c r="S4" s="504"/>
      <c r="T4" s="505"/>
      <c r="U4" s="2"/>
      <c r="V4" s="2"/>
      <c r="W4" s="1"/>
      <c r="X4" s="506"/>
      <c r="Y4" s="505"/>
      <c r="Z4" s="2"/>
      <c r="AA4" s="2"/>
      <c r="AB4" s="1"/>
      <c r="AC4" s="506"/>
      <c r="AD4" s="507"/>
      <c r="AE4" s="508"/>
      <c r="AF4" s="508"/>
      <c r="AG4" s="508"/>
      <c r="AH4" s="509"/>
      <c r="AI4" s="510"/>
      <c r="AJ4" s="508"/>
      <c r="AK4" s="2"/>
      <c r="AL4" s="2"/>
      <c r="AM4" s="2"/>
      <c r="AN4" s="2"/>
      <c r="AO4" s="506"/>
      <c r="AP4" s="511"/>
      <c r="AQ4" s="2"/>
      <c r="AR4" s="2"/>
      <c r="AS4" s="508"/>
      <c r="AT4" s="2"/>
      <c r="AU4" s="2"/>
      <c r="AV4" s="2"/>
      <c r="AW4" s="508"/>
    </row>
    <row r="5" spans="1:49" s="59" customFormat="1">
      <c r="A5" s="488"/>
      <c r="B5" s="26" t="s">
        <v>990</v>
      </c>
      <c r="C5" s="27"/>
      <c r="D5" s="27"/>
      <c r="E5" s="489"/>
      <c r="F5" s="490">
        <f>SUM(F12)</f>
        <v>409807623.74396402</v>
      </c>
      <c r="G5" s="308"/>
      <c r="H5" s="308">
        <f>SUM(H12)</f>
        <v>409807623.74396402</v>
      </c>
      <c r="I5" s="308"/>
      <c r="J5" s="308">
        <f>SUM(J12)</f>
        <v>409807623.78148806</v>
      </c>
      <c r="K5" s="308"/>
      <c r="L5" s="308"/>
      <c r="M5" s="308"/>
      <c r="N5" s="308">
        <f>SUM(N12)</f>
        <v>52671887</v>
      </c>
      <c r="O5" s="308">
        <f>SUM(O12)</f>
        <v>45268818.631499998</v>
      </c>
      <c r="P5" s="308"/>
      <c r="Q5" s="308">
        <f>J5+O5</f>
        <v>455076442.41298807</v>
      </c>
      <c r="R5" s="491">
        <f t="shared" ref="R5:R7" si="0">Q5/J5</f>
        <v>1.1104635834096577</v>
      </c>
      <c r="S5" s="492">
        <v>442182428.47480023</v>
      </c>
      <c r="T5" s="493">
        <f>SUM(T12)</f>
        <v>446209096.43000001</v>
      </c>
      <c r="U5" s="494">
        <f>T5/J5</f>
        <v>1.0888257575899112</v>
      </c>
      <c r="V5" s="494">
        <v>1.081419210614941</v>
      </c>
      <c r="W5" s="495">
        <f>U5-V5</f>
        <v>7.4065469749702295E-3</v>
      </c>
      <c r="X5" s="496">
        <f>T5/Q5</f>
        <v>0.98051460116025779</v>
      </c>
      <c r="Y5" s="493">
        <f>SUM(Y12)</f>
        <v>444918959.11000001</v>
      </c>
      <c r="Z5" s="494">
        <f>Y5/J5</f>
        <v>1.0856776040536364</v>
      </c>
      <c r="AA5" s="494">
        <v>1.0664761129988289</v>
      </c>
      <c r="AB5" s="495">
        <f>Z5-AA5</f>
        <v>1.9201491054807507E-2</v>
      </c>
      <c r="AC5" s="496">
        <f>Y5/Q5</f>
        <v>0.97767961081630761</v>
      </c>
      <c r="AD5" s="497">
        <f>SUM(AD12)</f>
        <v>351118312.29999995</v>
      </c>
      <c r="AE5" s="28">
        <f>SUM(AE12)</f>
        <v>0</v>
      </c>
      <c r="AF5" s="28">
        <f>SUM(AF12)</f>
        <v>26811210.919999998</v>
      </c>
      <c r="AG5" s="28">
        <f>SUM(AG12)</f>
        <v>21736061.130000025</v>
      </c>
      <c r="AH5" s="498">
        <f>SUM(AH12)</f>
        <v>3456907.43</v>
      </c>
      <c r="AI5" s="499">
        <f>AK5-AH5</f>
        <v>374472615.78999996</v>
      </c>
      <c r="AJ5" s="28">
        <f>AD5+AE5+AG5</f>
        <v>372854373.42999995</v>
      </c>
      <c r="AK5" s="500">
        <f>SUM(AK12)</f>
        <v>377929523.21999997</v>
      </c>
      <c r="AL5" s="494">
        <f>AK5/J5</f>
        <v>0.92221203630295157</v>
      </c>
      <c r="AM5" s="494">
        <v>0.90728773216325032</v>
      </c>
      <c r="AN5" s="495">
        <f>AL5-AM5</f>
        <v>1.492430413970125E-2</v>
      </c>
      <c r="AO5" s="496">
        <f>AK5/Q5</f>
        <v>0.83047481257450761</v>
      </c>
      <c r="AP5" s="497">
        <f>SUM(AP12)</f>
        <v>213988163.23065701</v>
      </c>
      <c r="AQ5" s="494">
        <f>AP5/J5</f>
        <v>0.52216735563893957</v>
      </c>
      <c r="AR5" s="494">
        <v>0.52216735752917065</v>
      </c>
      <c r="AS5" s="494">
        <f>AQ5-AR5</f>
        <v>-1.8902310827684232E-9</v>
      </c>
      <c r="AT5" s="28">
        <f>AT12</f>
        <v>246050044.63774601</v>
      </c>
      <c r="AU5" s="494">
        <f>AT5/J5</f>
        <v>0.60040377572121839</v>
      </c>
      <c r="AV5" s="494">
        <v>0.60040377789466315</v>
      </c>
      <c r="AW5" s="494">
        <f>AU5-AV5</f>
        <v>-2.1734447575028071E-9</v>
      </c>
    </row>
    <row r="6" spans="1:49" s="59" customFormat="1">
      <c r="A6" s="488"/>
      <c r="B6" s="26" t="s">
        <v>991</v>
      </c>
      <c r="C6" s="27"/>
      <c r="D6" s="27"/>
      <c r="E6" s="489"/>
      <c r="F6" s="490">
        <f>SUM(F103,F150)</f>
        <v>1692047973.6886559</v>
      </c>
      <c r="G6" s="308"/>
      <c r="H6" s="308">
        <f>SUM(H103,H150)</f>
        <v>1720475914.4309959</v>
      </c>
      <c r="I6" s="308"/>
      <c r="J6" s="308">
        <f>SUM(J103,J150)</f>
        <v>1720475915.3290558</v>
      </c>
      <c r="K6" s="308"/>
      <c r="L6" s="308"/>
      <c r="M6" s="308"/>
      <c r="N6" s="308">
        <f>SUM(N103,N150)</f>
        <v>196681692</v>
      </c>
      <c r="O6" s="308">
        <f>SUM(O103,O150)</f>
        <v>165911903.581</v>
      </c>
      <c r="P6" s="308"/>
      <c r="Q6" s="308">
        <f>J6+O6</f>
        <v>1886387818.9100559</v>
      </c>
      <c r="R6" s="491">
        <f t="shared" si="0"/>
        <v>1.0964337263327908</v>
      </c>
      <c r="S6" s="492">
        <v>1314745023.2444</v>
      </c>
      <c r="T6" s="493">
        <f>SUM(T103,T150)</f>
        <v>1698459983.0241361</v>
      </c>
      <c r="U6" s="494">
        <f>T6/J6</f>
        <v>0.98720358006249165</v>
      </c>
      <c r="V6" s="494">
        <v>0.96836031347494422</v>
      </c>
      <c r="W6" s="495">
        <f>U6-V6</f>
        <v>1.8843266587547425E-2</v>
      </c>
      <c r="X6" s="496">
        <f>T6/Q6</f>
        <v>0.90037688220733769</v>
      </c>
      <c r="Y6" s="493">
        <f>SUM(Y103,Y150)</f>
        <v>1661045495.074136</v>
      </c>
      <c r="Z6" s="494">
        <f>Y6/J6</f>
        <v>0.96545698796164015</v>
      </c>
      <c r="AA6" s="494">
        <v>0.95311193879776501</v>
      </c>
      <c r="AB6" s="495">
        <f>Z6-AA6</f>
        <v>1.2345049163875133E-2</v>
      </c>
      <c r="AC6" s="496">
        <f>Y6/Q6</f>
        <v>0.88054295008853412</v>
      </c>
      <c r="AD6" s="497">
        <f>SUM(AD103,AD150)</f>
        <v>829455579.97281599</v>
      </c>
      <c r="AE6" s="28">
        <f>SUM(AE103,AE150)</f>
        <v>37658826.980000004</v>
      </c>
      <c r="AF6" s="28">
        <f>SUM(AF103,AF150)</f>
        <v>323857725.42000002</v>
      </c>
      <c r="AG6" s="28">
        <f>SUM(AG103,AG150)</f>
        <v>189345423.71999991</v>
      </c>
      <c r="AH6" s="498">
        <f>SUM(AH103,AH150)</f>
        <v>53097847.289999992</v>
      </c>
      <c r="AI6" s="499">
        <f>AK6-AH6</f>
        <v>1105370487.6841359</v>
      </c>
      <c r="AJ6" s="28">
        <f>AD6+AE6+AG6</f>
        <v>1056459830.6728159</v>
      </c>
      <c r="AK6" s="500">
        <f>SUM(AK103,AK150)</f>
        <v>1158468334.9741359</v>
      </c>
      <c r="AL6" s="494">
        <f>AK6/J6</f>
        <v>0.67334179144993656</v>
      </c>
      <c r="AM6" s="494">
        <v>0.6551551192964844</v>
      </c>
      <c r="AN6" s="495">
        <f>AL6-AM6</f>
        <v>1.8186672153452155E-2</v>
      </c>
      <c r="AO6" s="496">
        <f>AK6/Q6</f>
        <v>0.61411991922397602</v>
      </c>
      <c r="AP6" s="497">
        <f>SUM(AP103,AP150)</f>
        <v>456299584.31830704</v>
      </c>
      <c r="AQ6" s="494">
        <f>AP6/J6</f>
        <v>0.26521707177228099</v>
      </c>
      <c r="AR6" s="494">
        <v>0.26521707187866589</v>
      </c>
      <c r="AS6" s="494">
        <f>AQ6-AR6</f>
        <v>-1.0638490088865638E-10</v>
      </c>
      <c r="AT6" s="28">
        <f>SUM(AT103,AT150)</f>
        <v>593881473.84819913</v>
      </c>
      <c r="AU6" s="494">
        <f>AT6/J6</f>
        <v>0.34518441586821874</v>
      </c>
      <c r="AV6" s="494">
        <v>0.34518441600668043</v>
      </c>
      <c r="AW6" s="494">
        <f>AU6-AV6</f>
        <v>-1.3846168656073132E-10</v>
      </c>
    </row>
    <row r="7" spans="1:49" s="59" customFormat="1">
      <c r="A7" s="488"/>
      <c r="B7" s="26" t="s">
        <v>992</v>
      </c>
      <c r="C7" s="27"/>
      <c r="D7" s="27"/>
      <c r="E7" s="489"/>
      <c r="F7" s="490">
        <f>F151</f>
        <v>1082161120.5546122</v>
      </c>
      <c r="G7" s="308"/>
      <c r="H7" s="308">
        <f>H151</f>
        <v>1082161120.5546122</v>
      </c>
      <c r="I7" s="308"/>
      <c r="J7" s="308">
        <f>J151</f>
        <v>1082161120.5546122</v>
      </c>
      <c r="K7" s="308"/>
      <c r="L7" s="308"/>
      <c r="M7" s="308"/>
      <c r="N7" s="308">
        <f>N151</f>
        <v>34967484</v>
      </c>
      <c r="O7" s="308">
        <f>O151</f>
        <v>30423054.449999999</v>
      </c>
      <c r="P7" s="308"/>
      <c r="Q7" s="308">
        <f>J7+O7</f>
        <v>1112584175.0046122</v>
      </c>
      <c r="R7" s="491">
        <f t="shared" si="0"/>
        <v>1.0281132392137764</v>
      </c>
      <c r="S7" s="492">
        <v>763901223.10079992</v>
      </c>
      <c r="T7" s="493">
        <f>T151</f>
        <v>1048670387.4599999</v>
      </c>
      <c r="U7" s="494">
        <f>T7/J7</f>
        <v>0.96905199007939957</v>
      </c>
      <c r="V7" s="494">
        <v>0.94451362213619472</v>
      </c>
      <c r="W7" s="495">
        <f>U7-V7</f>
        <v>2.4538367943204853E-2</v>
      </c>
      <c r="X7" s="496">
        <f>T7/Q7</f>
        <v>0.94255375100553862</v>
      </c>
      <c r="Y7" s="493">
        <f>Y151</f>
        <v>955873085.03000009</v>
      </c>
      <c r="Z7" s="494">
        <f>Y7/J7</f>
        <v>0.88330015454640531</v>
      </c>
      <c r="AA7" s="494">
        <v>0.88137666649045554</v>
      </c>
      <c r="AB7" s="495">
        <f>Z7-AA7</f>
        <v>1.9234880559497736E-3</v>
      </c>
      <c r="AC7" s="496">
        <f>Y7/Q7</f>
        <v>0.8591467562677112</v>
      </c>
      <c r="AD7" s="497">
        <f>AD151</f>
        <v>479067697.04999995</v>
      </c>
      <c r="AE7" s="28">
        <f>AE151</f>
        <v>10087251.76</v>
      </c>
      <c r="AF7" s="28">
        <f>AF151</f>
        <v>217626840.31</v>
      </c>
      <c r="AG7" s="28">
        <f>AG151</f>
        <v>109899948.58</v>
      </c>
      <c r="AH7" s="498">
        <f>AH151</f>
        <v>25649198.129999999</v>
      </c>
      <c r="AI7" s="499">
        <f>AK7-AH7</f>
        <v>658857754.99000001</v>
      </c>
      <c r="AJ7" s="28">
        <f>AD7+AE7+AG7</f>
        <v>599054897.38999999</v>
      </c>
      <c r="AK7" s="500">
        <f>AK151</f>
        <v>684506953.12</v>
      </c>
      <c r="AL7" s="494">
        <f>AK7/J7</f>
        <v>0.6325370040730971</v>
      </c>
      <c r="AM7" s="494">
        <v>0.59688245205017321</v>
      </c>
      <c r="AN7" s="495">
        <f>AL7-AM7</f>
        <v>3.5654552022923891E-2</v>
      </c>
      <c r="AO7" s="496">
        <f>AK7/Q7</f>
        <v>0.61524059796838504</v>
      </c>
      <c r="AP7" s="497">
        <f>AP151</f>
        <v>234156462.07216462</v>
      </c>
      <c r="AQ7" s="494">
        <f>AP7/J7</f>
        <v>0.21637855733733849</v>
      </c>
      <c r="AR7" s="494">
        <v>0.21637855733733849</v>
      </c>
      <c r="AS7" s="494">
        <f>AQ7-AR7</f>
        <v>0</v>
      </c>
      <c r="AT7" s="28">
        <f>AT151</f>
        <v>359134136.62522894</v>
      </c>
      <c r="AU7" s="494">
        <f>AT7/J7</f>
        <v>0.33186752859978114</v>
      </c>
      <c r="AV7" s="494">
        <v>0.33186752859978114</v>
      </c>
      <c r="AW7" s="494">
        <f>AU7-AV7</f>
        <v>0</v>
      </c>
    </row>
    <row r="8" spans="1:49" s="59" customFormat="1">
      <c r="A8" s="501"/>
      <c r="B8" s="3"/>
      <c r="C8" s="1"/>
      <c r="D8" s="1"/>
      <c r="E8" s="483"/>
      <c r="F8" s="482"/>
      <c r="G8" s="1"/>
      <c r="H8" s="1"/>
      <c r="I8" s="1"/>
      <c r="J8" s="502"/>
      <c r="K8" s="502"/>
      <c r="L8" s="502"/>
      <c r="M8" s="502"/>
      <c r="N8" s="502"/>
      <c r="O8" s="502"/>
      <c r="P8" s="502"/>
      <c r="Q8" s="502"/>
      <c r="R8" s="503"/>
      <c r="S8" s="504"/>
      <c r="T8" s="505"/>
      <c r="U8" s="2"/>
      <c r="V8" s="2"/>
      <c r="W8" s="1"/>
      <c r="X8" s="506"/>
      <c r="Y8" s="505"/>
      <c r="Z8" s="2"/>
      <c r="AA8" s="2"/>
      <c r="AB8" s="1"/>
      <c r="AC8" s="506"/>
      <c r="AD8" s="507"/>
      <c r="AE8" s="508"/>
      <c r="AF8" s="508"/>
      <c r="AG8" s="508"/>
      <c r="AH8" s="509"/>
      <c r="AI8" s="510"/>
      <c r="AJ8" s="508"/>
      <c r="AK8" s="2"/>
      <c r="AL8" s="2"/>
      <c r="AM8" s="2"/>
      <c r="AN8" s="2"/>
      <c r="AO8" s="506"/>
      <c r="AP8" s="511"/>
      <c r="AQ8" s="2"/>
      <c r="AR8" s="2"/>
      <c r="AS8" s="508"/>
      <c r="AT8" s="2"/>
      <c r="AU8" s="2"/>
      <c r="AV8" s="2"/>
      <c r="AW8" s="508"/>
    </row>
    <row r="9" spans="1:49" s="59" customFormat="1">
      <c r="A9" s="512"/>
      <c r="B9" s="513" t="s">
        <v>993</v>
      </c>
      <c r="C9" s="514"/>
      <c r="D9" s="515"/>
      <c r="E9" s="516"/>
      <c r="F9" s="517">
        <f>F12</f>
        <v>409807623.74396402</v>
      </c>
      <c r="G9" s="518"/>
      <c r="H9" s="518">
        <f>H12</f>
        <v>409807623.74396402</v>
      </c>
      <c r="I9" s="518"/>
      <c r="J9" s="518">
        <f>J12</f>
        <v>409807623.78148806</v>
      </c>
      <c r="K9" s="518"/>
      <c r="L9" s="518"/>
      <c r="M9" s="518"/>
      <c r="N9" s="518">
        <f>N12</f>
        <v>52671887</v>
      </c>
      <c r="O9" s="518">
        <f>O12</f>
        <v>45268818.631499998</v>
      </c>
      <c r="P9" s="518"/>
      <c r="Q9" s="518">
        <f>J9+O9</f>
        <v>455076442.41298807</v>
      </c>
      <c r="R9" s="491">
        <f t="shared" ref="R9:R11" si="1">Q9/J9</f>
        <v>1.1104635834096577</v>
      </c>
      <c r="S9" s="519">
        <v>442182428.47480023</v>
      </c>
      <c r="T9" s="520">
        <f>T12</f>
        <v>446209096.43000001</v>
      </c>
      <c r="U9" s="521">
        <f t="shared" ref="U9:U14" si="2">T9/J9</f>
        <v>1.0888257575899112</v>
      </c>
      <c r="V9" s="521">
        <v>1.081419210614941</v>
      </c>
      <c r="W9" s="495">
        <f t="shared" ref="W9:W16" si="3">U9-V9</f>
        <v>7.4065469749702295E-3</v>
      </c>
      <c r="X9" s="522">
        <f t="shared" ref="X9:X14" si="4">T9/Q9</f>
        <v>0.98051460116025779</v>
      </c>
      <c r="Y9" s="520">
        <f>Y12</f>
        <v>444918959.11000001</v>
      </c>
      <c r="Z9" s="521">
        <f t="shared" ref="Z9:Z14" si="5">Y9/J9</f>
        <v>1.0856776040536364</v>
      </c>
      <c r="AA9" s="521">
        <v>1.0664761129988289</v>
      </c>
      <c r="AB9" s="495">
        <f t="shared" ref="AB9:AB57" si="6">Z9-AA9</f>
        <v>1.9201491054807507E-2</v>
      </c>
      <c r="AC9" s="522">
        <f t="shared" ref="AC9:AC14" si="7">Y9/Q9</f>
        <v>0.97767961081630761</v>
      </c>
      <c r="AD9" s="523">
        <f>AD12</f>
        <v>351118312.29999995</v>
      </c>
      <c r="AE9" s="524">
        <f>AE12</f>
        <v>0</v>
      </c>
      <c r="AF9" s="524">
        <f>AF12</f>
        <v>26811210.919999998</v>
      </c>
      <c r="AG9" s="524">
        <f>AG12</f>
        <v>21736061.130000025</v>
      </c>
      <c r="AH9" s="525">
        <f>AH12</f>
        <v>3456907.43</v>
      </c>
      <c r="AI9" s="526">
        <f t="shared" ref="AI9:AI57" si="8">AK9-AH9</f>
        <v>374472615.78999996</v>
      </c>
      <c r="AJ9" s="524">
        <f t="shared" ref="AJ9:AJ18" si="9">AD9+AE9+AG9</f>
        <v>372854373.42999995</v>
      </c>
      <c r="AK9" s="524">
        <f>AK12</f>
        <v>377929523.21999997</v>
      </c>
      <c r="AL9" s="521">
        <f t="shared" ref="AL9:AL14" si="10">AK9/J9</f>
        <v>0.92221203630295157</v>
      </c>
      <c r="AM9" s="521">
        <v>0.90728773216325032</v>
      </c>
      <c r="AN9" s="495">
        <f t="shared" ref="AN9:AN57" si="11">AL9-AM9</f>
        <v>1.492430413970125E-2</v>
      </c>
      <c r="AO9" s="522">
        <f t="shared" ref="AO9:AO14" si="12">AK9/Q9</f>
        <v>0.83047481257450761</v>
      </c>
      <c r="AP9" s="523">
        <f>AP12</f>
        <v>213988163.23065701</v>
      </c>
      <c r="AQ9" s="521">
        <f>AP9/J9</f>
        <v>0.52216735563893957</v>
      </c>
      <c r="AR9" s="521">
        <v>0.52216735752917065</v>
      </c>
      <c r="AS9" s="521">
        <f>AQ9-AR9</f>
        <v>-1.8902310827684232E-9</v>
      </c>
      <c r="AT9" s="524">
        <f>AT12</f>
        <v>246050044.63774601</v>
      </c>
      <c r="AU9" s="521">
        <f>AT9/J9</f>
        <v>0.60040377572121839</v>
      </c>
      <c r="AV9" s="521">
        <v>0.60040377789466315</v>
      </c>
      <c r="AW9" s="521">
        <f>AU9-AV9</f>
        <v>-2.1734447575028071E-9</v>
      </c>
    </row>
    <row r="10" spans="1:49" s="59" customFormat="1">
      <c r="A10" s="512"/>
      <c r="B10" s="513" t="s">
        <v>994</v>
      </c>
      <c r="C10" s="514"/>
      <c r="D10" s="515"/>
      <c r="E10" s="516"/>
      <c r="F10" s="517">
        <f>F103</f>
        <v>489349517.50173599</v>
      </c>
      <c r="G10" s="518"/>
      <c r="H10" s="518">
        <f>H103</f>
        <v>517777458.24407601</v>
      </c>
      <c r="I10" s="518"/>
      <c r="J10" s="518">
        <f>J103</f>
        <v>517777459.14213598</v>
      </c>
      <c r="K10" s="518"/>
      <c r="L10" s="518"/>
      <c r="M10" s="518"/>
      <c r="N10" s="518">
        <f>N103</f>
        <v>46814550</v>
      </c>
      <c r="O10" s="518">
        <f>O103</f>
        <v>22658695.581</v>
      </c>
      <c r="P10" s="518"/>
      <c r="Q10" s="518">
        <f t="shared" ref="Q10:Q73" si="13">J10+O10</f>
        <v>540436154.72313595</v>
      </c>
      <c r="R10" s="491">
        <f t="shared" si="1"/>
        <v>1.0437614561640851</v>
      </c>
      <c r="S10" s="519">
        <v>349831629.4788</v>
      </c>
      <c r="T10" s="520">
        <f>T103</f>
        <v>436994325.77413595</v>
      </c>
      <c r="U10" s="521">
        <f t="shared" si="2"/>
        <v>0.84398097688176088</v>
      </c>
      <c r="V10" s="521">
        <v>0.84385055405471876</v>
      </c>
      <c r="W10" s="495">
        <f t="shared" si="3"/>
        <v>1.3042282704212038E-4</v>
      </c>
      <c r="X10" s="522">
        <f t="shared" si="4"/>
        <v>0.80859565363092156</v>
      </c>
      <c r="Y10" s="520">
        <f>Y103</f>
        <v>431603318.20413595</v>
      </c>
      <c r="Z10" s="521">
        <f t="shared" si="5"/>
        <v>0.83356915327914227</v>
      </c>
      <c r="AA10" s="521">
        <v>0.83343873045210015</v>
      </c>
      <c r="AB10" s="495">
        <f t="shared" si="6"/>
        <v>1.3042282704212038E-4</v>
      </c>
      <c r="AC10" s="522">
        <f t="shared" si="7"/>
        <v>0.79862036326056907</v>
      </c>
      <c r="AD10" s="523">
        <f>AD103</f>
        <v>268741012.29281598</v>
      </c>
      <c r="AE10" s="524">
        <f>AE103</f>
        <v>37621383.840000004</v>
      </c>
      <c r="AF10" s="524">
        <f>AF103</f>
        <v>32641673.180000003</v>
      </c>
      <c r="AG10" s="524">
        <f>AG103</f>
        <v>18108775.169999968</v>
      </c>
      <c r="AH10" s="525">
        <f>AH103</f>
        <v>39902789.719999991</v>
      </c>
      <c r="AI10" s="526">
        <f t="shared" si="8"/>
        <v>266597482.19413599</v>
      </c>
      <c r="AJ10" s="524">
        <f t="shared" si="9"/>
        <v>324471171.30281591</v>
      </c>
      <c r="AK10" s="524">
        <f>AK103</f>
        <v>306500271.91413599</v>
      </c>
      <c r="AL10" s="521">
        <f t="shared" si="10"/>
        <v>0.59195367913843089</v>
      </c>
      <c r="AM10" s="521">
        <v>0.59161292942659072</v>
      </c>
      <c r="AN10" s="495">
        <f t="shared" si="11"/>
        <v>3.4074971184017144E-4</v>
      </c>
      <c r="AO10" s="522">
        <f t="shared" si="12"/>
        <v>0.56713502461943033</v>
      </c>
      <c r="AP10" s="523">
        <f>AP103</f>
        <v>165856216.49573633</v>
      </c>
      <c r="AQ10" s="521">
        <f>AP10/J10</f>
        <v>0.32032336202995437</v>
      </c>
      <c r="AR10" s="521">
        <v>0.32032336245690002</v>
      </c>
      <c r="AS10" s="521">
        <f>AQ10-AR10</f>
        <v>-4.2694564550416203E-10</v>
      </c>
      <c r="AT10" s="524">
        <f>AT103</f>
        <v>212669306.5</v>
      </c>
      <c r="AU10" s="521">
        <f>AT10/J10</f>
        <v>0.41073496488695116</v>
      </c>
      <c r="AV10" s="521">
        <v>0.41073496543440263</v>
      </c>
      <c r="AW10" s="521">
        <f>AU10-AV10</f>
        <v>-5.4745147304302577E-10</v>
      </c>
    </row>
    <row r="11" spans="1:49" s="59" customFormat="1" ht="18" thickBot="1">
      <c r="A11" s="527"/>
      <c r="B11" s="528" t="s">
        <v>995</v>
      </c>
      <c r="C11" s="529"/>
      <c r="D11" s="530"/>
      <c r="E11" s="531"/>
      <c r="F11" s="532">
        <f>F149</f>
        <v>2284859576.7415323</v>
      </c>
      <c r="G11" s="533"/>
      <c r="H11" s="533">
        <f>H149</f>
        <v>2284859576.7415323</v>
      </c>
      <c r="I11" s="533"/>
      <c r="J11" s="533">
        <f>J149</f>
        <v>2284859576.7415323</v>
      </c>
      <c r="K11" s="533"/>
      <c r="L11" s="533"/>
      <c r="M11" s="533"/>
      <c r="N11" s="533">
        <f>N149</f>
        <v>184834626</v>
      </c>
      <c r="O11" s="533">
        <f>O149</f>
        <v>173676262.44999999</v>
      </c>
      <c r="P11" s="533"/>
      <c r="Q11" s="533">
        <f t="shared" si="13"/>
        <v>2458535839.1915321</v>
      </c>
      <c r="R11" s="534">
        <f t="shared" si="1"/>
        <v>1.0760117883032803</v>
      </c>
      <c r="S11" s="535">
        <v>1728814616.8664</v>
      </c>
      <c r="T11" s="536">
        <f>T149</f>
        <v>2310136044.71</v>
      </c>
      <c r="U11" s="537">
        <f t="shared" si="2"/>
        <v>1.0110625914282727</v>
      </c>
      <c r="V11" s="537">
        <v>0.98528143416170366</v>
      </c>
      <c r="W11" s="538">
        <f t="shared" si="3"/>
        <v>2.5781157266569044E-2</v>
      </c>
      <c r="X11" s="539">
        <f t="shared" si="4"/>
        <v>0.93963895416292487</v>
      </c>
      <c r="Y11" s="536">
        <f>Y149</f>
        <v>2185315261.9000001</v>
      </c>
      <c r="Z11" s="537">
        <f t="shared" si="5"/>
        <v>0.95643307104960307</v>
      </c>
      <c r="AA11" s="537">
        <v>0.94625592319040652</v>
      </c>
      <c r="AB11" s="538">
        <f t="shared" si="6"/>
        <v>1.0177147859196545E-2</v>
      </c>
      <c r="AC11" s="539">
        <f t="shared" si="7"/>
        <v>0.88886858066654084</v>
      </c>
      <c r="AD11" s="540">
        <f>AD149</f>
        <v>1039782264.7300001</v>
      </c>
      <c r="AE11" s="541">
        <f>AE149</f>
        <v>10124694.9</v>
      </c>
      <c r="AF11" s="541">
        <f>AF149</f>
        <v>508842892.54999995</v>
      </c>
      <c r="AG11" s="541">
        <f>AG149</f>
        <v>281136597.13</v>
      </c>
      <c r="AH11" s="542">
        <f>AH149</f>
        <v>38844255.700000003</v>
      </c>
      <c r="AI11" s="543">
        <f t="shared" si="8"/>
        <v>1427933491.6099999</v>
      </c>
      <c r="AJ11" s="541">
        <f t="shared" si="9"/>
        <v>1331043556.7600002</v>
      </c>
      <c r="AK11" s="536">
        <v>1466777747.3099999</v>
      </c>
      <c r="AL11" s="537">
        <f t="shared" si="10"/>
        <v>0.6419553141212252</v>
      </c>
      <c r="AM11" s="537">
        <v>0.6419553141212252</v>
      </c>
      <c r="AN11" s="538">
        <f t="shared" si="11"/>
        <v>0</v>
      </c>
      <c r="AO11" s="539">
        <f t="shared" si="12"/>
        <v>0.59660620924376551</v>
      </c>
      <c r="AP11" s="523">
        <f>AP149</f>
        <v>524599829.89473534</v>
      </c>
      <c r="AQ11" s="521">
        <f>AP11/J11</f>
        <v>0.22959828045226041</v>
      </c>
      <c r="AR11" s="521">
        <v>0.22959828045226041</v>
      </c>
      <c r="AS11" s="521">
        <f>AQ11-AR11</f>
        <v>0</v>
      </c>
      <c r="AT11" s="524">
        <f>AT149</f>
        <v>740346303.97342801</v>
      </c>
      <c r="AU11" s="521">
        <f>AT11/J11</f>
        <v>0.32402267146292002</v>
      </c>
      <c r="AV11" s="521">
        <v>0.32402267146292002</v>
      </c>
      <c r="AW11" s="521">
        <f>AU11-AV11</f>
        <v>0</v>
      </c>
    </row>
    <row r="12" spans="1:49" s="59" customFormat="1" ht="92.25">
      <c r="A12" s="544">
        <v>1</v>
      </c>
      <c r="B12" s="545" t="s">
        <v>996</v>
      </c>
      <c r="C12" s="546" t="s">
        <v>0</v>
      </c>
      <c r="D12" s="546" t="s">
        <v>1</v>
      </c>
      <c r="E12" s="547"/>
      <c r="F12" s="548">
        <f>F13+F25+F51+F73+F82+F100</f>
        <v>409807623.74396402</v>
      </c>
      <c r="G12" s="549"/>
      <c r="H12" s="549">
        <f>H13+H25+H51+H73+H82+H100</f>
        <v>409807623.74396402</v>
      </c>
      <c r="I12" s="549">
        <f>I51</f>
        <v>0</v>
      </c>
      <c r="J12" s="549">
        <f>J13+J25+J51+J73+J82+J100</f>
        <v>409807623.78148806</v>
      </c>
      <c r="K12" s="549" t="s">
        <v>885</v>
      </c>
      <c r="L12" s="549"/>
      <c r="M12" s="549"/>
      <c r="N12" s="549">
        <f>N13+N25+N51+N73+N82+N100</f>
        <v>52671887</v>
      </c>
      <c r="O12" s="549">
        <f>O13+O25+O51+O73+O82+O100</f>
        <v>45268818.631499998</v>
      </c>
      <c r="P12" s="549"/>
      <c r="Q12" s="549">
        <f t="shared" si="13"/>
        <v>455076442.41298807</v>
      </c>
      <c r="R12" s="550">
        <f>Q12/J12</f>
        <v>1.1104635834096577</v>
      </c>
      <c r="S12" s="551">
        <v>442182428.47480023</v>
      </c>
      <c r="T12" s="552">
        <f>T13+T25+T51+T73+T82+T100</f>
        <v>446209096.43000001</v>
      </c>
      <c r="U12" s="553">
        <f t="shared" si="2"/>
        <v>1.0888257575899112</v>
      </c>
      <c r="V12" s="554">
        <v>1.081419210614941</v>
      </c>
      <c r="W12" s="555">
        <f t="shared" si="3"/>
        <v>7.4065469749702295E-3</v>
      </c>
      <c r="X12" s="556">
        <f t="shared" si="4"/>
        <v>0.98051460116025779</v>
      </c>
      <c r="Y12" s="552">
        <f>Y13+Y25+Y51+Y73+Y82+Y100</f>
        <v>444918959.11000001</v>
      </c>
      <c r="Z12" s="553">
        <f t="shared" si="5"/>
        <v>1.0856776040536364</v>
      </c>
      <c r="AA12" s="557">
        <v>1.0664761129988289</v>
      </c>
      <c r="AB12" s="555">
        <f t="shared" si="6"/>
        <v>1.9201491054807507E-2</v>
      </c>
      <c r="AC12" s="556">
        <f t="shared" si="7"/>
        <v>0.97767961081630761</v>
      </c>
      <c r="AD12" s="558">
        <f>AD13+AD25+AD51+AD73+AD82+AD100</f>
        <v>351118312.29999995</v>
      </c>
      <c r="AE12" s="559">
        <f>AE13+AE25+AE51+AE73+AE82+AE100</f>
        <v>0</v>
      </c>
      <c r="AF12" s="559">
        <f>AF13+AF25+AF51+AF73+AF82+AF100</f>
        <v>26811210.919999998</v>
      </c>
      <c r="AG12" s="559">
        <f>AG13+AG25+AG51+AG73+AG82+AG100</f>
        <v>21736061.130000025</v>
      </c>
      <c r="AH12" s="560">
        <f>AH13+AH25+AH51+AH73+AH82+AH100</f>
        <v>3456907.43</v>
      </c>
      <c r="AI12" s="552">
        <f t="shared" si="8"/>
        <v>374472615.78999996</v>
      </c>
      <c r="AJ12" s="559">
        <f t="shared" si="9"/>
        <v>372854373.42999995</v>
      </c>
      <c r="AK12" s="559">
        <f>AK13+AK25+AK51+AK73+AK82+AK100</f>
        <v>377929523.21999997</v>
      </c>
      <c r="AL12" s="553">
        <f t="shared" si="10"/>
        <v>0.92221203630295157</v>
      </c>
      <c r="AM12" s="561">
        <v>0.90728773216325032</v>
      </c>
      <c r="AN12" s="555">
        <f t="shared" si="11"/>
        <v>1.492430413970125E-2</v>
      </c>
      <c r="AO12" s="556">
        <f t="shared" si="12"/>
        <v>0.83047481257450761</v>
      </c>
      <c r="AP12" s="562">
        <v>213988163.23065701</v>
      </c>
      <c r="AQ12" s="563">
        <f>AP12/J12</f>
        <v>0.52216735563893957</v>
      </c>
      <c r="AR12" s="563">
        <v>0.52216735752917065</v>
      </c>
      <c r="AS12" s="563">
        <f>AQ12-AR12</f>
        <v>-1.8902310827684232E-9</v>
      </c>
      <c r="AT12" s="564">
        <v>246050044.63774601</v>
      </c>
      <c r="AU12" s="563">
        <f>AT12/J12</f>
        <v>0.60040377572121839</v>
      </c>
      <c r="AV12" s="563">
        <v>0.60040377789466315</v>
      </c>
      <c r="AW12" s="565">
        <f>AU12-AV12</f>
        <v>-2.1734447575028071E-9</v>
      </c>
    </row>
    <row r="13" spans="1:49" s="59" customFormat="1" ht="49.5">
      <c r="A13" s="566" t="s">
        <v>2</v>
      </c>
      <c r="B13" s="567" t="s">
        <v>997</v>
      </c>
      <c r="C13" s="568" t="s">
        <v>0</v>
      </c>
      <c r="D13" s="568"/>
      <c r="E13" s="569"/>
      <c r="F13" s="570">
        <f>F14+F18</f>
        <v>82126550.374627993</v>
      </c>
      <c r="G13" s="571"/>
      <c r="H13" s="571">
        <f>H14+H18</f>
        <v>82126550.374627993</v>
      </c>
      <c r="I13" s="571"/>
      <c r="J13" s="571">
        <f>J14+J18</f>
        <v>82126550.374627993</v>
      </c>
      <c r="K13" s="571" t="s">
        <v>885</v>
      </c>
      <c r="L13" s="571"/>
      <c r="M13" s="571"/>
      <c r="N13" s="571">
        <f>N14+N18</f>
        <v>10753421</v>
      </c>
      <c r="O13" s="571">
        <f>O14+O18</f>
        <v>9309977</v>
      </c>
      <c r="P13" s="571"/>
      <c r="Q13" s="518">
        <f t="shared" si="13"/>
        <v>91436527.374627993</v>
      </c>
      <c r="R13" s="491">
        <f t="shared" ref="R13:R16" si="14">Q13/J13</f>
        <v>1.1133613546110444</v>
      </c>
      <c r="S13" s="572">
        <v>82965538.219999999</v>
      </c>
      <c r="T13" s="573">
        <f>T14+T18</f>
        <v>90642369.450000003</v>
      </c>
      <c r="U13" s="574">
        <f t="shared" si="2"/>
        <v>1.1036914254467807</v>
      </c>
      <c r="V13" s="574">
        <v>1.1046404486267933</v>
      </c>
      <c r="W13" s="575">
        <f t="shared" si="3"/>
        <v>-9.4902318001266472E-4</v>
      </c>
      <c r="X13" s="576">
        <f t="shared" si="4"/>
        <v>0.99131465348225423</v>
      </c>
      <c r="Y13" s="577">
        <f>Y14+Y18</f>
        <v>89380561.450000003</v>
      </c>
      <c r="Z13" s="574">
        <f t="shared" si="5"/>
        <v>1.0883272345213839</v>
      </c>
      <c r="AA13" s="574">
        <v>1.0304200415575209</v>
      </c>
      <c r="AB13" s="575">
        <f t="shared" si="6"/>
        <v>5.7907192963863041E-2</v>
      </c>
      <c r="AC13" s="522">
        <f t="shared" si="7"/>
        <v>0.97751482931756128</v>
      </c>
      <c r="AD13" s="578">
        <f>AD14+AD18</f>
        <v>55962591.090000004</v>
      </c>
      <c r="AE13" s="579">
        <f>AE14+AE18</f>
        <v>0</v>
      </c>
      <c r="AF13" s="579">
        <f>AF14+AF18</f>
        <v>17482389.039999999</v>
      </c>
      <c r="AG13" s="579">
        <f>AG14+AG18</f>
        <v>14295448.21000002</v>
      </c>
      <c r="AH13" s="580">
        <f>AH14+AH18</f>
        <v>405.28</v>
      </c>
      <c r="AI13" s="577">
        <f t="shared" si="8"/>
        <v>73444574.849999994</v>
      </c>
      <c r="AJ13" s="581">
        <f t="shared" si="9"/>
        <v>70258039.300000027</v>
      </c>
      <c r="AK13" s="579">
        <f>AK14+AK18</f>
        <v>73444980.129999995</v>
      </c>
      <c r="AL13" s="574">
        <f t="shared" si="10"/>
        <v>0.89429033357633803</v>
      </c>
      <c r="AM13" s="574">
        <v>0.88529443010017983</v>
      </c>
      <c r="AN13" s="575">
        <f t="shared" si="11"/>
        <v>8.9959034761581957E-3</v>
      </c>
      <c r="AO13" s="522">
        <f t="shared" si="12"/>
        <v>0.8032345741771868</v>
      </c>
      <c r="AP13" s="582"/>
      <c r="AQ13" s="583"/>
      <c r="AR13" s="583"/>
      <c r="AS13" s="583"/>
      <c r="AT13" s="571"/>
      <c r="AU13" s="583"/>
      <c r="AV13" s="583"/>
      <c r="AW13" s="584"/>
    </row>
    <row r="14" spans="1:49" s="59" customFormat="1" ht="82.5">
      <c r="A14" s="566" t="s">
        <v>3</v>
      </c>
      <c r="B14" s="567" t="s">
        <v>998</v>
      </c>
      <c r="C14" s="568" t="s">
        <v>0</v>
      </c>
      <c r="D14" s="568"/>
      <c r="E14" s="569"/>
      <c r="F14" s="570">
        <f>SUM(F15:F17)</f>
        <v>39087271.660307996</v>
      </c>
      <c r="G14" s="571"/>
      <c r="H14" s="571">
        <f>SUM(H15:H17)</f>
        <v>39087271.660307996</v>
      </c>
      <c r="I14" s="571"/>
      <c r="J14" s="571">
        <f>SUM(J15:J17)</f>
        <v>39087271.660307996</v>
      </c>
      <c r="K14" s="571" t="s">
        <v>885</v>
      </c>
      <c r="L14" s="571"/>
      <c r="M14" s="571"/>
      <c r="N14" s="571">
        <f>SUM(N15:N17)</f>
        <v>10753421</v>
      </c>
      <c r="O14" s="571">
        <f>SUM(O15:O17)</f>
        <v>9309977</v>
      </c>
      <c r="P14" s="571"/>
      <c r="Q14" s="518">
        <f t="shared" si="13"/>
        <v>48397248.660307996</v>
      </c>
      <c r="R14" s="491">
        <f t="shared" si="14"/>
        <v>1.2381843655118558</v>
      </c>
      <c r="S14" s="572">
        <v>41167654.359999999</v>
      </c>
      <c r="T14" s="577">
        <f>SUM(T15:T17)</f>
        <v>47717256.5</v>
      </c>
      <c r="U14" s="574">
        <f t="shared" si="2"/>
        <v>1.2207875984461587</v>
      </c>
      <c r="V14" s="574">
        <v>1.2223801884980046</v>
      </c>
      <c r="W14" s="575">
        <f t="shared" si="3"/>
        <v>-1.5925900518458658E-3</v>
      </c>
      <c r="X14" s="576">
        <f t="shared" si="4"/>
        <v>0.98594977650319038</v>
      </c>
      <c r="Y14" s="577">
        <f>SUM(Y15:Y17)</f>
        <v>46455448.5</v>
      </c>
      <c r="Z14" s="574">
        <f t="shared" si="5"/>
        <v>1.1885057853033569</v>
      </c>
      <c r="AA14" s="574">
        <v>1.0664351521451663</v>
      </c>
      <c r="AB14" s="575">
        <f t="shared" si="6"/>
        <v>0.12207063315819067</v>
      </c>
      <c r="AC14" s="522">
        <f t="shared" si="7"/>
        <v>0.95987788120070294</v>
      </c>
      <c r="AD14" s="578">
        <f>SUM(AD15:AD17)</f>
        <v>26081341.68</v>
      </c>
      <c r="AE14" s="579">
        <f>SUM(AE15:AE17)</f>
        <v>0</v>
      </c>
      <c r="AF14" s="579">
        <f>SUM(AF15:AF17)</f>
        <v>8870923.4199999999</v>
      </c>
      <c r="AG14" s="579">
        <f>SUM(AG15:AG17)</f>
        <v>6783360.3800000101</v>
      </c>
      <c r="AH14" s="580">
        <f>AH15+AH16+AH17</f>
        <v>12.33</v>
      </c>
      <c r="AI14" s="577">
        <f t="shared" si="8"/>
        <v>34952252.770000003</v>
      </c>
      <c r="AJ14" s="581">
        <f t="shared" si="9"/>
        <v>32864702.06000001</v>
      </c>
      <c r="AK14" s="579">
        <f>SUM(AK15:AK17)</f>
        <v>34952265.100000001</v>
      </c>
      <c r="AL14" s="574">
        <f t="shared" si="10"/>
        <v>0.89421091867849722</v>
      </c>
      <c r="AM14" s="574">
        <v>0.88425768829237483</v>
      </c>
      <c r="AN14" s="575">
        <f t="shared" si="11"/>
        <v>9.9532303861223914E-3</v>
      </c>
      <c r="AO14" s="522">
        <f t="shared" si="12"/>
        <v>0.7221952914167491</v>
      </c>
      <c r="AP14" s="582"/>
      <c r="AQ14" s="583"/>
      <c r="AR14" s="583"/>
      <c r="AS14" s="583"/>
      <c r="AT14" s="571"/>
      <c r="AU14" s="583"/>
      <c r="AV14" s="583"/>
      <c r="AW14" s="584"/>
    </row>
    <row r="15" spans="1:49" ht="115.5">
      <c r="A15" s="327" t="s">
        <v>4</v>
      </c>
      <c r="B15" s="328" t="s">
        <v>999</v>
      </c>
      <c r="C15" s="329" t="s">
        <v>0</v>
      </c>
      <c r="D15" s="329" t="s">
        <v>814</v>
      </c>
      <c r="E15" s="585"/>
      <c r="F15" s="586">
        <v>0</v>
      </c>
      <c r="G15" s="331"/>
      <c r="H15" s="331">
        <v>0</v>
      </c>
      <c r="I15" s="587"/>
      <c r="J15" s="331">
        <v>0</v>
      </c>
      <c r="K15" s="588" t="s">
        <v>885</v>
      </c>
      <c r="L15" s="588"/>
      <c r="M15" s="588"/>
      <c r="N15" s="331">
        <v>0</v>
      </c>
      <c r="O15" s="331">
        <v>0</v>
      </c>
      <c r="P15" s="331"/>
      <c r="Q15" s="317">
        <f t="shared" si="13"/>
        <v>0</v>
      </c>
      <c r="R15" s="589">
        <v>0</v>
      </c>
      <c r="S15" s="590">
        <v>0</v>
      </c>
      <c r="T15" s="586">
        <v>0</v>
      </c>
      <c r="U15" s="591">
        <v>0</v>
      </c>
      <c r="V15" s="592">
        <v>0</v>
      </c>
      <c r="W15" s="591">
        <f t="shared" si="3"/>
        <v>0</v>
      </c>
      <c r="X15" s="593">
        <v>0</v>
      </c>
      <c r="Y15" s="594">
        <v>0</v>
      </c>
      <c r="Z15" s="591">
        <v>0</v>
      </c>
      <c r="AA15" s="592">
        <v>0</v>
      </c>
      <c r="AB15" s="591">
        <f t="shared" si="6"/>
        <v>0</v>
      </c>
      <c r="AC15" s="593">
        <v>0</v>
      </c>
      <c r="AD15" s="595">
        <v>0</v>
      </c>
      <c r="AE15" s="596">
        <v>0</v>
      </c>
      <c r="AF15" s="596">
        <v>0</v>
      </c>
      <c r="AG15" s="596">
        <v>0</v>
      </c>
      <c r="AH15" s="597">
        <v>0</v>
      </c>
      <c r="AI15" s="594">
        <f t="shared" si="8"/>
        <v>0</v>
      </c>
      <c r="AJ15" s="332">
        <f t="shared" si="9"/>
        <v>0</v>
      </c>
      <c r="AK15" s="332">
        <f>SUM(AD15:AF15)</f>
        <v>0</v>
      </c>
      <c r="AL15" s="591">
        <v>0</v>
      </c>
      <c r="AM15" s="598">
        <v>0</v>
      </c>
      <c r="AN15" s="591">
        <f t="shared" si="11"/>
        <v>0</v>
      </c>
      <c r="AO15" s="599">
        <v>0</v>
      </c>
      <c r="AP15" s="600"/>
      <c r="AQ15" s="601"/>
      <c r="AR15" s="601"/>
      <c r="AS15" s="601"/>
      <c r="AT15" s="434"/>
      <c r="AU15" s="601"/>
      <c r="AV15" s="601"/>
      <c r="AW15" s="602"/>
    </row>
    <row r="16" spans="1:49" ht="49.5">
      <c r="A16" s="327" t="s">
        <v>1000</v>
      </c>
      <c r="B16" s="328" t="s">
        <v>1001</v>
      </c>
      <c r="C16" s="329" t="s">
        <v>0</v>
      </c>
      <c r="D16" s="329" t="s">
        <v>814</v>
      </c>
      <c r="E16" s="585"/>
      <c r="F16" s="586">
        <v>39087271.660307996</v>
      </c>
      <c r="G16" s="331"/>
      <c r="H16" s="331">
        <f>F16</f>
        <v>39087271.660307996</v>
      </c>
      <c r="I16" s="587"/>
      <c r="J16" s="331">
        <f>H16</f>
        <v>39087271.660307996</v>
      </c>
      <c r="K16" s="588" t="s">
        <v>885</v>
      </c>
      <c r="L16" s="588"/>
      <c r="M16" s="588"/>
      <c r="N16" s="331">
        <f>4463146+6290275</f>
        <v>10753421</v>
      </c>
      <c r="O16" s="331">
        <v>9309977</v>
      </c>
      <c r="P16" s="331"/>
      <c r="Q16" s="317">
        <f t="shared" si="13"/>
        <v>48397248.660307996</v>
      </c>
      <c r="R16" s="589">
        <f t="shared" si="14"/>
        <v>1.2381843655118558</v>
      </c>
      <c r="S16" s="590">
        <v>41167654.359999999</v>
      </c>
      <c r="T16" s="603">
        <v>47717256.5</v>
      </c>
      <c r="U16" s="591">
        <f>T16/J16</f>
        <v>1.2207875984461587</v>
      </c>
      <c r="V16" s="592">
        <v>1.2223801884980046</v>
      </c>
      <c r="W16" s="591">
        <f t="shared" si="3"/>
        <v>-1.5925900518458658E-3</v>
      </c>
      <c r="X16" s="593">
        <f>T16/Q16</f>
        <v>0.98594977650319038</v>
      </c>
      <c r="Y16" s="603">
        <v>46455448.5</v>
      </c>
      <c r="Z16" s="591">
        <f>Y16/J16</f>
        <v>1.1885057853033569</v>
      </c>
      <c r="AA16" s="592">
        <v>1.0664351521451663</v>
      </c>
      <c r="AB16" s="591">
        <f t="shared" si="6"/>
        <v>0.12207063315819067</v>
      </c>
      <c r="AC16" s="593">
        <f>Y16/Q16</f>
        <v>0.95987788120070294</v>
      </c>
      <c r="AD16" s="604">
        <v>26081341.68</v>
      </c>
      <c r="AE16" s="262">
        <v>0</v>
      </c>
      <c r="AF16" s="605">
        <v>8870923.4199999999</v>
      </c>
      <c r="AG16" s="605">
        <v>6783360.3800000101</v>
      </c>
      <c r="AH16" s="606">
        <v>12.33</v>
      </c>
      <c r="AI16" s="594">
        <f t="shared" si="8"/>
        <v>34952252.770000003</v>
      </c>
      <c r="AJ16" s="332">
        <f>AD16+AE16+AG16-AH16</f>
        <v>32864689.730000012</v>
      </c>
      <c r="AK16" s="332">
        <f>SUM(AD16:AF16)</f>
        <v>34952265.100000001</v>
      </c>
      <c r="AL16" s="591">
        <f>AK16/J16</f>
        <v>0.89421091867849722</v>
      </c>
      <c r="AM16" s="598">
        <v>0.88425768829237483</v>
      </c>
      <c r="AN16" s="591">
        <f t="shared" si="11"/>
        <v>9.9532303861223914E-3</v>
      </c>
      <c r="AO16" s="599">
        <f>AK16/Q16</f>
        <v>0.7221952914167491</v>
      </c>
      <c r="AP16" s="600"/>
      <c r="AQ16" s="601"/>
      <c r="AR16" s="601"/>
      <c r="AS16" s="601"/>
      <c r="AT16" s="434"/>
      <c r="AU16" s="601"/>
      <c r="AV16" s="601"/>
      <c r="AW16" s="602"/>
    </row>
    <row r="17" spans="1:49" ht="66">
      <c r="A17" s="327" t="s">
        <v>6</v>
      </c>
      <c r="B17" s="328" t="s">
        <v>1002</v>
      </c>
      <c r="C17" s="329" t="s">
        <v>0</v>
      </c>
      <c r="D17" s="329" t="s">
        <v>814</v>
      </c>
      <c r="E17" s="585"/>
      <c r="F17" s="586">
        <v>0</v>
      </c>
      <c r="G17" s="331"/>
      <c r="H17" s="331">
        <v>0</v>
      </c>
      <c r="I17" s="587"/>
      <c r="J17" s="331">
        <v>0</v>
      </c>
      <c r="K17" s="588" t="s">
        <v>885</v>
      </c>
      <c r="L17" s="588"/>
      <c r="M17" s="588"/>
      <c r="N17" s="331">
        <v>0</v>
      </c>
      <c r="O17" s="331">
        <v>0</v>
      </c>
      <c r="P17" s="331"/>
      <c r="Q17" s="317">
        <f t="shared" si="13"/>
        <v>0</v>
      </c>
      <c r="R17" s="589">
        <v>0</v>
      </c>
      <c r="S17" s="590">
        <v>0</v>
      </c>
      <c r="T17" s="586">
        <v>0</v>
      </c>
      <c r="U17" s="591">
        <v>0</v>
      </c>
      <c r="V17" s="592">
        <v>0</v>
      </c>
      <c r="W17" s="591">
        <v>0</v>
      </c>
      <c r="X17" s="593">
        <v>0</v>
      </c>
      <c r="Y17" s="594">
        <v>0</v>
      </c>
      <c r="Z17" s="591">
        <v>0</v>
      </c>
      <c r="AA17" s="592">
        <v>0</v>
      </c>
      <c r="AB17" s="591">
        <f t="shared" si="6"/>
        <v>0</v>
      </c>
      <c r="AC17" s="593">
        <v>0</v>
      </c>
      <c r="AD17" s="595">
        <v>0</v>
      </c>
      <c r="AE17" s="596">
        <v>0</v>
      </c>
      <c r="AF17" s="596">
        <v>0</v>
      </c>
      <c r="AG17" s="596">
        <v>0</v>
      </c>
      <c r="AH17" s="597">
        <v>0</v>
      </c>
      <c r="AI17" s="594">
        <f t="shared" si="8"/>
        <v>0</v>
      </c>
      <c r="AJ17" s="332">
        <f>AD17+AE17+AG17-AH17</f>
        <v>0</v>
      </c>
      <c r="AK17" s="332">
        <f>SUM(AD17:AF17)</f>
        <v>0</v>
      </c>
      <c r="AL17" s="591">
        <v>0</v>
      </c>
      <c r="AM17" s="598">
        <v>0</v>
      </c>
      <c r="AN17" s="591">
        <f t="shared" si="11"/>
        <v>0</v>
      </c>
      <c r="AO17" s="599">
        <v>0</v>
      </c>
      <c r="AP17" s="600"/>
      <c r="AQ17" s="601"/>
      <c r="AR17" s="601"/>
      <c r="AS17" s="601"/>
      <c r="AT17" s="434"/>
      <c r="AU17" s="601"/>
      <c r="AV17" s="601"/>
      <c r="AW17" s="602"/>
    </row>
    <row r="18" spans="1:49" s="59" customFormat="1" ht="66">
      <c r="A18" s="14" t="s">
        <v>7</v>
      </c>
      <c r="B18" s="15" t="s">
        <v>1003</v>
      </c>
      <c r="C18" s="16" t="s">
        <v>0</v>
      </c>
      <c r="D18" s="16" t="s">
        <v>814</v>
      </c>
      <c r="E18" s="607"/>
      <c r="F18" s="608">
        <f>F19+F22</f>
        <v>43039278.714319997</v>
      </c>
      <c r="G18" s="588"/>
      <c r="H18" s="588">
        <f>H19+H22</f>
        <v>43039278.714319997</v>
      </c>
      <c r="I18" s="609"/>
      <c r="J18" s="588">
        <f>J19+J22</f>
        <v>43039278.714319997</v>
      </c>
      <c r="K18" s="588" t="s">
        <v>885</v>
      </c>
      <c r="L18" s="588"/>
      <c r="M18" s="588"/>
      <c r="N18" s="588">
        <f>N19+N22</f>
        <v>0</v>
      </c>
      <c r="O18" s="588">
        <f>O19+O22</f>
        <v>0</v>
      </c>
      <c r="P18" s="588"/>
      <c r="Q18" s="294">
        <f t="shared" si="13"/>
        <v>43039278.714319997</v>
      </c>
      <c r="R18" s="610">
        <f>Q18/J18</f>
        <v>1</v>
      </c>
      <c r="S18" s="611">
        <v>41797883.859999999</v>
      </c>
      <c r="T18" s="573">
        <f>T19+T22</f>
        <v>42925112.950000003</v>
      </c>
      <c r="U18" s="575">
        <f t="shared" ref="U18:U23" si="15">T18/J18</f>
        <v>0.99734740526025567</v>
      </c>
      <c r="V18" s="575">
        <v>0.997711955979243</v>
      </c>
      <c r="W18" s="575">
        <f t="shared" ref="W18:W81" si="16">U18-V18</f>
        <v>-3.6455071898733316E-4</v>
      </c>
      <c r="X18" s="612">
        <f t="shared" ref="X18:X23" si="17">T18/Q18</f>
        <v>0.99734740526025567</v>
      </c>
      <c r="Y18" s="573">
        <f>Y19+Y22</f>
        <v>42925112.950000003</v>
      </c>
      <c r="Z18" s="575">
        <f t="shared" ref="Z18:Z23" si="18">Y18/J18</f>
        <v>0.99734740526025567</v>
      </c>
      <c r="AA18" s="575">
        <v>0.997711955979243</v>
      </c>
      <c r="AB18" s="575">
        <f t="shared" si="6"/>
        <v>-3.6455071898733316E-4</v>
      </c>
      <c r="AC18" s="612">
        <f t="shared" ref="AC18:AC23" si="19">Y18/Q18</f>
        <v>0.99734740526025567</v>
      </c>
      <c r="AD18" s="613">
        <f>AD19+AD22</f>
        <v>29881249.410000004</v>
      </c>
      <c r="AE18" s="17">
        <f>AE19+AE22</f>
        <v>0</v>
      </c>
      <c r="AF18" s="17">
        <f>AF19+AF22</f>
        <v>8611465.6199999992</v>
      </c>
      <c r="AG18" s="17">
        <f>AG19+AG22</f>
        <v>7512087.8300000103</v>
      </c>
      <c r="AH18" s="614">
        <f>AH19+AH22</f>
        <v>392.95</v>
      </c>
      <c r="AI18" s="573">
        <f t="shared" si="8"/>
        <v>38492322.079999998</v>
      </c>
      <c r="AJ18" s="615">
        <f t="shared" si="9"/>
        <v>37393337.240000017</v>
      </c>
      <c r="AK18" s="17">
        <f>AK19+AK22</f>
        <v>38492715.030000001</v>
      </c>
      <c r="AL18" s="575">
        <f t="shared" ref="AL18:AL23" si="20">AK18/J18</f>
        <v>0.89436245633904488</v>
      </c>
      <c r="AM18" s="598">
        <v>0.88623597489121253</v>
      </c>
      <c r="AN18" s="575">
        <f t="shared" si="11"/>
        <v>8.1264814478323455E-3</v>
      </c>
      <c r="AO18" s="522">
        <f t="shared" ref="AO18:AO23" si="21">AK18/Q18</f>
        <v>0.89436245633904488</v>
      </c>
      <c r="AP18" s="582"/>
      <c r="AQ18" s="583"/>
      <c r="AR18" s="583"/>
      <c r="AS18" s="583"/>
      <c r="AT18" s="571"/>
      <c r="AU18" s="583"/>
      <c r="AV18" s="583"/>
      <c r="AW18" s="584"/>
    </row>
    <row r="19" spans="1:49" s="59" customFormat="1" ht="66">
      <c r="A19" s="19" t="s">
        <v>8</v>
      </c>
      <c r="B19" s="20" t="s">
        <v>1004</v>
      </c>
      <c r="C19" s="21" t="s">
        <v>0</v>
      </c>
      <c r="D19" s="21" t="s">
        <v>814</v>
      </c>
      <c r="E19" s="616"/>
      <c r="F19" s="586">
        <f>SUM(F20:F21)</f>
        <v>42037783.717124</v>
      </c>
      <c r="G19" s="331"/>
      <c r="H19" s="331">
        <f>SUM(H20:H21)</f>
        <v>42037783.717124</v>
      </c>
      <c r="I19" s="617"/>
      <c r="J19" s="331">
        <f>SUM(J20:J21)</f>
        <v>42037783.717124</v>
      </c>
      <c r="K19" s="588" t="s">
        <v>885</v>
      </c>
      <c r="L19" s="588"/>
      <c r="M19" s="588"/>
      <c r="N19" s="331">
        <f>SUM(N20:N21)</f>
        <v>0</v>
      </c>
      <c r="O19" s="331">
        <v>0</v>
      </c>
      <c r="P19" s="331"/>
      <c r="Q19" s="317">
        <f t="shared" si="13"/>
        <v>42037783.717124</v>
      </c>
      <c r="R19" s="589">
        <f t="shared" ref="R19:R23" si="22">Q19/J19</f>
        <v>1</v>
      </c>
      <c r="S19" s="618">
        <v>40796389.299999997</v>
      </c>
      <c r="T19" s="619">
        <f>SUM(T20:T21)</f>
        <v>41923617.950000003</v>
      </c>
      <c r="U19" s="591">
        <f t="shared" si="15"/>
        <v>0.99728421060700467</v>
      </c>
      <c r="V19" s="591">
        <v>0.99765744626817987</v>
      </c>
      <c r="W19" s="591">
        <f t="shared" si="16"/>
        <v>-3.7323566117519746E-4</v>
      </c>
      <c r="X19" s="593">
        <f t="shared" si="17"/>
        <v>0.99728421060700467</v>
      </c>
      <c r="Y19" s="620">
        <f>SUM(Y20:Y21)</f>
        <v>41923617.950000003</v>
      </c>
      <c r="Z19" s="591">
        <f t="shared" si="18"/>
        <v>0.99728421060700467</v>
      </c>
      <c r="AA19" s="591">
        <v>0.99765744626817987</v>
      </c>
      <c r="AB19" s="591">
        <f t="shared" si="6"/>
        <v>-3.7323566117519746E-4</v>
      </c>
      <c r="AC19" s="593">
        <f t="shared" si="19"/>
        <v>0.99728421060700467</v>
      </c>
      <c r="AD19" s="621">
        <f>SUM(AD20:AD21)</f>
        <v>29161705.740000002</v>
      </c>
      <c r="AE19" s="23">
        <f>SUM(AE20:AE21)</f>
        <v>0</v>
      </c>
      <c r="AF19" s="23">
        <f>SUM(AF20:AF21)</f>
        <v>8611465.6199999992</v>
      </c>
      <c r="AG19" s="23">
        <f>SUM(AG20:AG21)</f>
        <v>7512087.8300000103</v>
      </c>
      <c r="AH19" s="622">
        <f>AH20+AH21</f>
        <v>392.95</v>
      </c>
      <c r="AI19" s="620">
        <f t="shared" si="8"/>
        <v>37772778.409999996</v>
      </c>
      <c r="AJ19" s="332">
        <f t="shared" ref="AJ19:AJ22" si="23">AD19+AE19+AG19-AH19</f>
        <v>36673400.620000012</v>
      </c>
      <c r="AK19" s="23">
        <f>SUM(AK20:AK21)</f>
        <v>37773171.359999999</v>
      </c>
      <c r="AL19" s="591">
        <f t="shared" si="20"/>
        <v>0.89855287362861569</v>
      </c>
      <c r="AM19" s="598">
        <v>0.89023278943118134</v>
      </c>
      <c r="AN19" s="591">
        <f t="shared" si="11"/>
        <v>8.320084197434352E-3</v>
      </c>
      <c r="AO19" s="599">
        <f t="shared" si="21"/>
        <v>0.89855287362861569</v>
      </c>
      <c r="AP19" s="600"/>
      <c r="AQ19" s="601"/>
      <c r="AR19" s="601"/>
      <c r="AS19" s="601"/>
      <c r="AT19" s="434"/>
      <c r="AU19" s="601"/>
      <c r="AV19" s="601"/>
      <c r="AW19" s="602"/>
    </row>
    <row r="20" spans="1:49" ht="66">
      <c r="A20" s="327" t="s">
        <v>225</v>
      </c>
      <c r="B20" s="328" t="s">
        <v>1005</v>
      </c>
      <c r="C20" s="329" t="s">
        <v>0</v>
      </c>
      <c r="D20" s="329" t="s">
        <v>814</v>
      </c>
      <c r="E20" s="585"/>
      <c r="F20" s="586">
        <v>7342601.7171240002</v>
      </c>
      <c r="G20" s="331"/>
      <c r="H20" s="331">
        <f>F20</f>
        <v>7342601.7171240002</v>
      </c>
      <c r="I20" s="587">
        <v>0</v>
      </c>
      <c r="J20" s="331">
        <f>F20</f>
        <v>7342601.7171240002</v>
      </c>
      <c r="K20" s="588" t="s">
        <v>885</v>
      </c>
      <c r="L20" s="588"/>
      <c r="M20" s="588"/>
      <c r="N20" s="331">
        <v>0</v>
      </c>
      <c r="O20" s="331">
        <v>0</v>
      </c>
      <c r="P20" s="331"/>
      <c r="Q20" s="317">
        <f t="shared" si="13"/>
        <v>7342601.7171240002</v>
      </c>
      <c r="R20" s="589">
        <f t="shared" si="22"/>
        <v>1</v>
      </c>
      <c r="S20" s="590">
        <v>7409414.4299999997</v>
      </c>
      <c r="T20" s="586">
        <v>7325803.5899999999</v>
      </c>
      <c r="U20" s="591">
        <f>T20/J20</f>
        <v>0.99771223773654716</v>
      </c>
      <c r="V20" s="592">
        <v>0.99771223773654716</v>
      </c>
      <c r="W20" s="591">
        <f t="shared" si="16"/>
        <v>0</v>
      </c>
      <c r="X20" s="593">
        <f t="shared" si="17"/>
        <v>0.99771223773654716</v>
      </c>
      <c r="Y20" s="586">
        <v>7325803.5899999999</v>
      </c>
      <c r="Z20" s="591">
        <f t="shared" si="18"/>
        <v>0.99771223773654716</v>
      </c>
      <c r="AA20" s="592">
        <v>0.99771223773654716</v>
      </c>
      <c r="AB20" s="591">
        <f t="shared" si="6"/>
        <v>0</v>
      </c>
      <c r="AC20" s="593">
        <f t="shared" si="19"/>
        <v>0.99771223773654716</v>
      </c>
      <c r="AD20" s="604">
        <v>5096520.72</v>
      </c>
      <c r="AE20" s="262">
        <v>0</v>
      </c>
      <c r="AF20" s="605">
        <v>1528783.36</v>
      </c>
      <c r="AG20" s="605">
        <v>1160373.32</v>
      </c>
      <c r="AH20" s="606">
        <v>268.58999999999997</v>
      </c>
      <c r="AI20" s="594">
        <f t="shared" si="8"/>
        <v>6625035.4900000002</v>
      </c>
      <c r="AJ20" s="332">
        <f t="shared" si="23"/>
        <v>6256625.4500000002</v>
      </c>
      <c r="AK20" s="332">
        <f>SUM(AD20:AF20)</f>
        <v>6625304.0800000001</v>
      </c>
      <c r="AL20" s="591">
        <f t="shared" si="20"/>
        <v>0.90231015316394469</v>
      </c>
      <c r="AM20" s="598">
        <v>0.88861415631238339</v>
      </c>
      <c r="AN20" s="591">
        <f t="shared" si="11"/>
        <v>1.369599685156131E-2</v>
      </c>
      <c r="AO20" s="599">
        <f t="shared" si="21"/>
        <v>0.90231015316394469</v>
      </c>
      <c r="AP20" s="600"/>
      <c r="AQ20" s="601"/>
      <c r="AR20" s="601"/>
      <c r="AS20" s="601"/>
      <c r="AT20" s="434"/>
      <c r="AU20" s="601"/>
      <c r="AV20" s="601"/>
      <c r="AW20" s="602"/>
    </row>
    <row r="21" spans="1:49" ht="66">
      <c r="A21" s="327" t="s">
        <v>227</v>
      </c>
      <c r="B21" s="328" t="s">
        <v>1006</v>
      </c>
      <c r="C21" s="329" t="s">
        <v>0</v>
      </c>
      <c r="D21" s="329" t="s">
        <v>814</v>
      </c>
      <c r="E21" s="585"/>
      <c r="F21" s="586">
        <v>34695182</v>
      </c>
      <c r="G21" s="331"/>
      <c r="H21" s="331">
        <v>34695182</v>
      </c>
      <c r="I21" s="331"/>
      <c r="J21" s="331">
        <v>34695182</v>
      </c>
      <c r="K21" s="588" t="s">
        <v>885</v>
      </c>
      <c r="L21" s="588"/>
      <c r="M21" s="588"/>
      <c r="N21" s="331">
        <v>0</v>
      </c>
      <c r="O21" s="331">
        <v>0</v>
      </c>
      <c r="P21" s="331"/>
      <c r="Q21" s="317">
        <f t="shared" si="13"/>
        <v>34695182</v>
      </c>
      <c r="R21" s="589">
        <f t="shared" si="22"/>
        <v>1</v>
      </c>
      <c r="S21" s="590">
        <v>33386974.870000001</v>
      </c>
      <c r="T21" s="620">
        <v>34597814.359999999</v>
      </c>
      <c r="U21" s="591">
        <f>T21/J21</f>
        <v>0.99719362648104859</v>
      </c>
      <c r="V21" s="592">
        <v>0.99764585065442224</v>
      </c>
      <c r="W21" s="591">
        <f t="shared" si="16"/>
        <v>-4.5222417337364984E-4</v>
      </c>
      <c r="X21" s="593">
        <f t="shared" si="17"/>
        <v>0.99719362648104859</v>
      </c>
      <c r="Y21" s="620">
        <v>34597814.359999999</v>
      </c>
      <c r="Z21" s="591">
        <f t="shared" si="18"/>
        <v>0.99719362648104859</v>
      </c>
      <c r="AA21" s="592">
        <v>0.99764585065442224</v>
      </c>
      <c r="AB21" s="591">
        <f t="shared" si="6"/>
        <v>-4.5222417337364984E-4</v>
      </c>
      <c r="AC21" s="593">
        <f t="shared" si="19"/>
        <v>0.99719362648104859</v>
      </c>
      <c r="AD21" s="604">
        <v>24065185.020000003</v>
      </c>
      <c r="AE21" s="262">
        <v>0</v>
      </c>
      <c r="AF21" s="605">
        <v>7082682.2599999998</v>
      </c>
      <c r="AG21" s="605">
        <v>6351714.51000001</v>
      </c>
      <c r="AH21" s="606">
        <v>124.36</v>
      </c>
      <c r="AI21" s="594">
        <f t="shared" si="8"/>
        <v>31147742.920000002</v>
      </c>
      <c r="AJ21" s="332">
        <f t="shared" si="23"/>
        <v>30416775.170000013</v>
      </c>
      <c r="AK21" s="332">
        <f>SUM(AD21:AF21)</f>
        <v>31147867.280000001</v>
      </c>
      <c r="AL21" s="591">
        <f t="shared" si="20"/>
        <v>0.89775771402496174</v>
      </c>
      <c r="AM21" s="598">
        <v>0.89057534357364077</v>
      </c>
      <c r="AN21" s="591">
        <f t="shared" si="11"/>
        <v>7.1823704513209741E-3</v>
      </c>
      <c r="AO21" s="599">
        <f t="shared" si="21"/>
        <v>0.89775771402496174</v>
      </c>
      <c r="AP21" s="600"/>
      <c r="AQ21" s="601"/>
      <c r="AR21" s="601"/>
      <c r="AS21" s="601"/>
      <c r="AT21" s="434"/>
      <c r="AU21" s="601"/>
      <c r="AV21" s="601"/>
      <c r="AW21" s="602"/>
    </row>
    <row r="22" spans="1:49" s="59" customFormat="1" ht="66">
      <c r="A22" s="19" t="s">
        <v>9</v>
      </c>
      <c r="B22" s="20" t="s">
        <v>1007</v>
      </c>
      <c r="C22" s="21" t="s">
        <v>0</v>
      </c>
      <c r="D22" s="21" t="s">
        <v>814</v>
      </c>
      <c r="E22" s="616"/>
      <c r="F22" s="586">
        <f>SUM(F23:F24)</f>
        <v>1001494.997196</v>
      </c>
      <c r="G22" s="331"/>
      <c r="H22" s="331">
        <f>SUM(H23:H24)</f>
        <v>1001494.997196</v>
      </c>
      <c r="I22" s="331"/>
      <c r="J22" s="331">
        <f>SUM(J23:J24)</f>
        <v>1001494.997196</v>
      </c>
      <c r="K22" s="588" t="s">
        <v>885</v>
      </c>
      <c r="L22" s="588"/>
      <c r="M22" s="588"/>
      <c r="N22" s="331">
        <f>SUM(N23:N24)</f>
        <v>0</v>
      </c>
      <c r="O22" s="331">
        <v>0</v>
      </c>
      <c r="P22" s="331"/>
      <c r="Q22" s="317">
        <f t="shared" si="13"/>
        <v>1001494.997196</v>
      </c>
      <c r="R22" s="589">
        <f t="shared" si="22"/>
        <v>1</v>
      </c>
      <c r="S22" s="590">
        <v>1001494.5599999999</v>
      </c>
      <c r="T22" s="586">
        <f>SUM(T23:T24)</f>
        <v>1001495</v>
      </c>
      <c r="U22" s="591">
        <f t="shared" si="15"/>
        <v>1.0000000027998144</v>
      </c>
      <c r="V22" s="591">
        <v>1.0000000027998144</v>
      </c>
      <c r="W22" s="591">
        <f t="shared" si="16"/>
        <v>0</v>
      </c>
      <c r="X22" s="593">
        <f t="shared" si="17"/>
        <v>1.0000000027998144</v>
      </c>
      <c r="Y22" s="586">
        <f>SUM(Y23:Y24)</f>
        <v>1001495</v>
      </c>
      <c r="Z22" s="591">
        <f t="shared" si="18"/>
        <v>1.0000000027998144</v>
      </c>
      <c r="AA22" s="591">
        <v>1.0000000027998144</v>
      </c>
      <c r="AB22" s="591">
        <f t="shared" si="6"/>
        <v>0</v>
      </c>
      <c r="AC22" s="593">
        <f t="shared" si="19"/>
        <v>1.0000000027998144</v>
      </c>
      <c r="AD22" s="623">
        <f>SUM(AD23:AD24)</f>
        <v>719543.67</v>
      </c>
      <c r="AE22" s="23">
        <v>0</v>
      </c>
      <c r="AF22" s="23">
        <v>0</v>
      </c>
      <c r="AG22" s="23">
        <v>0</v>
      </c>
      <c r="AH22" s="622">
        <v>0</v>
      </c>
      <c r="AI22" s="620">
        <f t="shared" si="8"/>
        <v>719543.67</v>
      </c>
      <c r="AJ22" s="332">
        <f t="shared" si="23"/>
        <v>719543.67</v>
      </c>
      <c r="AK22" s="624">
        <f>SUM(AD22:AF22)</f>
        <v>719543.67</v>
      </c>
      <c r="AL22" s="591">
        <f t="shared" si="20"/>
        <v>0.71846956002235529</v>
      </c>
      <c r="AM22" s="598">
        <v>0.71846956002235529</v>
      </c>
      <c r="AN22" s="591">
        <f t="shared" si="11"/>
        <v>0</v>
      </c>
      <c r="AO22" s="599">
        <f t="shared" si="21"/>
        <v>0.71846956002235529</v>
      </c>
      <c r="AP22" s="600"/>
      <c r="AQ22" s="601"/>
      <c r="AR22" s="601"/>
      <c r="AS22" s="601"/>
      <c r="AT22" s="434"/>
      <c r="AU22" s="601"/>
      <c r="AV22" s="601"/>
      <c r="AW22" s="602"/>
    </row>
    <row r="23" spans="1:49" ht="148.5">
      <c r="A23" s="327" t="s">
        <v>10</v>
      </c>
      <c r="B23" s="328" t="s">
        <v>1008</v>
      </c>
      <c r="C23" s="329" t="s">
        <v>0</v>
      </c>
      <c r="D23" s="329" t="s">
        <v>814</v>
      </c>
      <c r="E23" s="585"/>
      <c r="F23" s="586">
        <v>1001494.997196</v>
      </c>
      <c r="G23" s="331"/>
      <c r="H23" s="331">
        <v>1001494.997196</v>
      </c>
      <c r="I23" s="331"/>
      <c r="J23" s="331">
        <v>1001494.997196</v>
      </c>
      <c r="K23" s="588" t="s">
        <v>885</v>
      </c>
      <c r="L23" s="588"/>
      <c r="M23" s="588"/>
      <c r="N23" s="331">
        <v>0</v>
      </c>
      <c r="O23" s="331">
        <v>0</v>
      </c>
      <c r="P23" s="331"/>
      <c r="Q23" s="317">
        <f t="shared" si="13"/>
        <v>1001494.997196</v>
      </c>
      <c r="R23" s="589">
        <f t="shared" si="22"/>
        <v>1</v>
      </c>
      <c r="S23" s="590">
        <v>1001494.5599999999</v>
      </c>
      <c r="T23" s="586">
        <v>1001495</v>
      </c>
      <c r="U23" s="591">
        <f t="shared" si="15"/>
        <v>1.0000000027998144</v>
      </c>
      <c r="V23" s="592">
        <v>1.0000000027998144</v>
      </c>
      <c r="W23" s="591">
        <f t="shared" si="16"/>
        <v>0</v>
      </c>
      <c r="X23" s="593">
        <f t="shared" si="17"/>
        <v>1.0000000027998144</v>
      </c>
      <c r="Y23" s="594">
        <v>1001495</v>
      </c>
      <c r="Z23" s="591">
        <f t="shared" si="18"/>
        <v>1.0000000027998144</v>
      </c>
      <c r="AA23" s="592">
        <v>1.0000000027998144</v>
      </c>
      <c r="AB23" s="591">
        <f t="shared" si="6"/>
        <v>0</v>
      </c>
      <c r="AC23" s="593">
        <f t="shared" si="19"/>
        <v>1.0000000027998144</v>
      </c>
      <c r="AD23" s="625">
        <v>719543.67</v>
      </c>
      <c r="AE23" s="596">
        <v>0</v>
      </c>
      <c r="AF23" s="596">
        <v>0</v>
      </c>
      <c r="AG23" s="596">
        <v>0</v>
      </c>
      <c r="AH23" s="597">
        <v>0</v>
      </c>
      <c r="AI23" s="594">
        <f t="shared" si="8"/>
        <v>719543.67</v>
      </c>
      <c r="AJ23" s="332">
        <f>AD23+AE23+AG23-AH23</f>
        <v>719543.67</v>
      </c>
      <c r="AK23" s="332">
        <f>SUM(AD23:AF23)</f>
        <v>719543.67</v>
      </c>
      <c r="AL23" s="591">
        <f t="shared" si="20"/>
        <v>0.71846956002235529</v>
      </c>
      <c r="AM23" s="598">
        <v>0.71846956002235529</v>
      </c>
      <c r="AN23" s="591">
        <f t="shared" si="11"/>
        <v>0</v>
      </c>
      <c r="AO23" s="599">
        <f t="shared" si="21"/>
        <v>0.71846956002235529</v>
      </c>
      <c r="AP23" s="600"/>
      <c r="AQ23" s="601"/>
      <c r="AR23" s="601"/>
      <c r="AS23" s="601"/>
      <c r="AT23" s="434"/>
      <c r="AU23" s="601"/>
      <c r="AV23" s="601"/>
      <c r="AW23" s="602"/>
    </row>
    <row r="24" spans="1:49" ht="99">
      <c r="A24" s="327" t="s">
        <v>11</v>
      </c>
      <c r="B24" s="328" t="s">
        <v>1009</v>
      </c>
      <c r="C24" s="329" t="s">
        <v>0</v>
      </c>
      <c r="D24" s="329" t="s">
        <v>814</v>
      </c>
      <c r="E24" s="585"/>
      <c r="F24" s="586">
        <v>0</v>
      </c>
      <c r="G24" s="331"/>
      <c r="H24" s="331">
        <v>0</v>
      </c>
      <c r="I24" s="331"/>
      <c r="J24" s="331">
        <v>0</v>
      </c>
      <c r="K24" s="588" t="s">
        <v>885</v>
      </c>
      <c r="L24" s="588"/>
      <c r="M24" s="588"/>
      <c r="N24" s="331">
        <v>0</v>
      </c>
      <c r="O24" s="331">
        <v>0</v>
      </c>
      <c r="P24" s="331"/>
      <c r="Q24" s="317">
        <f t="shared" si="13"/>
        <v>0</v>
      </c>
      <c r="R24" s="589">
        <v>0</v>
      </c>
      <c r="S24" s="590">
        <v>0</v>
      </c>
      <c r="T24" s="586">
        <v>0</v>
      </c>
      <c r="U24" s="591">
        <v>0</v>
      </c>
      <c r="V24" s="592">
        <v>0</v>
      </c>
      <c r="W24" s="591">
        <f t="shared" si="16"/>
        <v>0</v>
      </c>
      <c r="X24" s="593">
        <v>0</v>
      </c>
      <c r="Y24" s="594">
        <v>0</v>
      </c>
      <c r="Z24" s="591">
        <v>0</v>
      </c>
      <c r="AA24" s="592">
        <v>0</v>
      </c>
      <c r="AB24" s="591">
        <f t="shared" si="6"/>
        <v>0</v>
      </c>
      <c r="AC24" s="593">
        <v>0</v>
      </c>
      <c r="AD24" s="595">
        <v>0</v>
      </c>
      <c r="AE24" s="596">
        <v>0</v>
      </c>
      <c r="AF24" s="596">
        <v>0</v>
      </c>
      <c r="AG24" s="596">
        <v>0</v>
      </c>
      <c r="AH24" s="597">
        <v>0</v>
      </c>
      <c r="AI24" s="594">
        <f t="shared" si="8"/>
        <v>0</v>
      </c>
      <c r="AJ24" s="332">
        <f>AD24+AE24+AG24-AH24</f>
        <v>0</v>
      </c>
      <c r="AK24" s="332">
        <f>SUM(AD24:AF24)</f>
        <v>0</v>
      </c>
      <c r="AL24" s="591">
        <v>0</v>
      </c>
      <c r="AM24" s="598">
        <v>0</v>
      </c>
      <c r="AN24" s="591">
        <f t="shared" si="11"/>
        <v>0</v>
      </c>
      <c r="AO24" s="599">
        <v>0</v>
      </c>
      <c r="AP24" s="600"/>
      <c r="AQ24" s="601"/>
      <c r="AR24" s="601"/>
      <c r="AS24" s="601"/>
      <c r="AT24" s="434"/>
      <c r="AU24" s="601"/>
      <c r="AV24" s="601"/>
      <c r="AW24" s="602"/>
    </row>
    <row r="25" spans="1:49" s="59" customFormat="1" ht="49.5">
      <c r="A25" s="14" t="s">
        <v>12</v>
      </c>
      <c r="B25" s="15" t="s">
        <v>1010</v>
      </c>
      <c r="C25" s="16" t="s">
        <v>0</v>
      </c>
      <c r="D25" s="16" t="s">
        <v>1</v>
      </c>
      <c r="E25" s="607"/>
      <c r="F25" s="608">
        <f>F26+F36</f>
        <v>89810322.106472</v>
      </c>
      <c r="G25" s="588"/>
      <c r="H25" s="588">
        <f>H26+H36</f>
        <v>89810322.106472</v>
      </c>
      <c r="I25" s="588"/>
      <c r="J25" s="588">
        <f>J26+J36</f>
        <v>89810322.106472</v>
      </c>
      <c r="K25" s="588" t="s">
        <v>885</v>
      </c>
      <c r="L25" s="588"/>
      <c r="M25" s="588"/>
      <c r="N25" s="588">
        <f>N26+N36</f>
        <v>8239369</v>
      </c>
      <c r="O25" s="588">
        <f>O26+O36</f>
        <v>7246897.5999999996</v>
      </c>
      <c r="P25" s="588"/>
      <c r="Q25" s="294">
        <f>J25+O25</f>
        <v>97057219.706471995</v>
      </c>
      <c r="R25" s="610">
        <f>Q25/J25</f>
        <v>1.0806911436238771</v>
      </c>
      <c r="S25" s="611">
        <v>100899549.09999999</v>
      </c>
      <c r="T25" s="573">
        <f>T26+T36</f>
        <v>95766019.879999995</v>
      </c>
      <c r="U25" s="575">
        <f t="shared" ref="U25:U37" si="24">T25/J25</f>
        <v>1.0663141789700674</v>
      </c>
      <c r="V25" s="575">
        <v>1.0344122223486076</v>
      </c>
      <c r="W25" s="575">
        <f t="shared" si="16"/>
        <v>3.1901956621459782E-2</v>
      </c>
      <c r="X25" s="612">
        <f t="shared" ref="X25:X37" si="25">T25/Q25</f>
        <v>0.98669650923056573</v>
      </c>
      <c r="Y25" s="573">
        <f>Y26+Y36</f>
        <v>95766019.879999995</v>
      </c>
      <c r="Z25" s="575">
        <f t="shared" ref="Z25:Z37" si="26">Y25/J25</f>
        <v>1.0663141789700674</v>
      </c>
      <c r="AA25" s="575">
        <v>1.0344122223486076</v>
      </c>
      <c r="AB25" s="575">
        <f t="shared" si="6"/>
        <v>3.1901956621459782E-2</v>
      </c>
      <c r="AC25" s="612">
        <f t="shared" ref="AC25:AC37" si="27">Y25/Q25</f>
        <v>0.98669650923056573</v>
      </c>
      <c r="AD25" s="613">
        <f>AD26+AD36</f>
        <v>78660593.679999992</v>
      </c>
      <c r="AE25" s="17">
        <f>AE26+AE36</f>
        <v>0</v>
      </c>
      <c r="AF25" s="17">
        <f>AF26+AF36</f>
        <v>2258148.9699999997</v>
      </c>
      <c r="AG25" s="17">
        <f>AG26+AG36</f>
        <v>1753023.2700000009</v>
      </c>
      <c r="AH25" s="614">
        <f>AH26+AH36</f>
        <v>37645.39</v>
      </c>
      <c r="AI25" s="573">
        <f t="shared" si="8"/>
        <v>80881097.25999999</v>
      </c>
      <c r="AJ25" s="17">
        <f>AD25+AE25+AG25</f>
        <v>80413616.949999988</v>
      </c>
      <c r="AK25" s="17">
        <f>AK26+AK36</f>
        <v>80918742.649999991</v>
      </c>
      <c r="AL25" s="575">
        <f t="shared" ref="AL25:AL37" si="28">AK25/J25</f>
        <v>0.90099601863212497</v>
      </c>
      <c r="AM25" s="574">
        <v>0.89320617840451078</v>
      </c>
      <c r="AN25" s="575">
        <f t="shared" si="11"/>
        <v>7.7898402276141976E-3</v>
      </c>
      <c r="AO25" s="522">
        <f t="shared" ref="AO25:AO37" si="29">AK25/Q25</f>
        <v>0.83372203422600355</v>
      </c>
      <c r="AP25" s="582"/>
      <c r="AQ25" s="583"/>
      <c r="AR25" s="583"/>
      <c r="AS25" s="583"/>
      <c r="AT25" s="571"/>
      <c r="AU25" s="583"/>
      <c r="AV25" s="583"/>
      <c r="AW25" s="584"/>
    </row>
    <row r="26" spans="1:49" s="59" customFormat="1" ht="82.5">
      <c r="A26" s="19" t="s">
        <v>13</v>
      </c>
      <c r="B26" s="20" t="s">
        <v>1011</v>
      </c>
      <c r="C26" s="21" t="s">
        <v>0</v>
      </c>
      <c r="D26" s="21" t="s">
        <v>814</v>
      </c>
      <c r="E26" s="616"/>
      <c r="F26" s="586">
        <f>F27+F32</f>
        <v>57142957.587839998</v>
      </c>
      <c r="G26" s="331"/>
      <c r="H26" s="331">
        <f>H27+H32</f>
        <v>57142957.587839998</v>
      </c>
      <c r="I26" s="331"/>
      <c r="J26" s="331">
        <f>J27+J32</f>
        <v>57142957.587839998</v>
      </c>
      <c r="K26" s="588" t="s">
        <v>885</v>
      </c>
      <c r="L26" s="588"/>
      <c r="M26" s="588"/>
      <c r="N26" s="331">
        <f>N27+N32</f>
        <v>6616476</v>
      </c>
      <c r="O26" s="331">
        <f>O27+O32</f>
        <v>5624004.5999999996</v>
      </c>
      <c r="P26" s="331"/>
      <c r="Q26" s="317">
        <f t="shared" si="13"/>
        <v>62766962.18784</v>
      </c>
      <c r="R26" s="589">
        <f t="shared" ref="R26:R35" si="30">Q26/J26</f>
        <v>1.0984199074987464</v>
      </c>
      <c r="S26" s="618">
        <v>65203144.950000003</v>
      </c>
      <c r="T26" s="619">
        <f>T27+T32</f>
        <v>62186769.439999998</v>
      </c>
      <c r="U26" s="591">
        <f t="shared" si="24"/>
        <v>1.0882665522589843</v>
      </c>
      <c r="V26" s="591">
        <v>1.0381269528937302</v>
      </c>
      <c r="W26" s="591">
        <f t="shared" si="16"/>
        <v>5.0139599365254028E-2</v>
      </c>
      <c r="X26" s="593">
        <f t="shared" si="25"/>
        <v>0.99075639910525404</v>
      </c>
      <c r="Y26" s="620">
        <f>Y27+Y32</f>
        <v>62186769.439999998</v>
      </c>
      <c r="Z26" s="591">
        <f t="shared" si="26"/>
        <v>1.0882665522589843</v>
      </c>
      <c r="AA26" s="591">
        <v>1.0381269528937302</v>
      </c>
      <c r="AB26" s="591">
        <f t="shared" si="6"/>
        <v>5.0139599365254028E-2</v>
      </c>
      <c r="AC26" s="593">
        <f t="shared" si="27"/>
        <v>0.99075639910525404</v>
      </c>
      <c r="AD26" s="621">
        <f>AD27+AD32</f>
        <v>49125033.729999997</v>
      </c>
      <c r="AE26" s="23">
        <f>AE27+AE32</f>
        <v>0</v>
      </c>
      <c r="AF26" s="23">
        <f>AF27+AF32</f>
        <v>745223.91999999993</v>
      </c>
      <c r="AG26" s="23">
        <f>AG27+AG32</f>
        <v>683448.820000001</v>
      </c>
      <c r="AH26" s="622">
        <f>SUM(AH27,AH32)</f>
        <v>26282.400000000001</v>
      </c>
      <c r="AI26" s="620">
        <f t="shared" si="8"/>
        <v>49843975.249999993</v>
      </c>
      <c r="AJ26" s="332">
        <f t="shared" ref="AJ26:AJ35" si="31">AD26+AE26+AG26-AH26</f>
        <v>49782200.149999999</v>
      </c>
      <c r="AK26" s="23">
        <f>AK27+AK32</f>
        <v>49870257.649999991</v>
      </c>
      <c r="AL26" s="591">
        <f t="shared" si="28"/>
        <v>0.87272797480493669</v>
      </c>
      <c r="AM26" s="598">
        <v>0.87014600239349482</v>
      </c>
      <c r="AN26" s="591">
        <f t="shared" si="11"/>
        <v>2.5819724114418685E-3</v>
      </c>
      <c r="AO26" s="599">
        <f t="shared" si="29"/>
        <v>0.79453036934869348</v>
      </c>
      <c r="AP26" s="600"/>
      <c r="AQ26" s="601"/>
      <c r="AR26" s="601"/>
      <c r="AS26" s="601"/>
      <c r="AT26" s="434"/>
      <c r="AU26" s="601"/>
      <c r="AV26" s="601"/>
      <c r="AW26" s="602"/>
    </row>
    <row r="27" spans="1:49" s="59" customFormat="1" ht="132">
      <c r="A27" s="19" t="s">
        <v>14</v>
      </c>
      <c r="B27" s="20" t="s">
        <v>1012</v>
      </c>
      <c r="C27" s="21" t="s">
        <v>0</v>
      </c>
      <c r="D27" s="21" t="s">
        <v>814</v>
      </c>
      <c r="E27" s="616"/>
      <c r="F27" s="586">
        <f>SUM(F28:F31)</f>
        <v>40491451.456459999</v>
      </c>
      <c r="G27" s="331"/>
      <c r="H27" s="331">
        <f>SUM(H28:H31)</f>
        <v>40491451.456459999</v>
      </c>
      <c r="I27" s="331"/>
      <c r="J27" s="331">
        <f>SUM(J28:J31)</f>
        <v>40491451.456459999</v>
      </c>
      <c r="K27" s="588" t="s">
        <v>885</v>
      </c>
      <c r="L27" s="588"/>
      <c r="M27" s="588"/>
      <c r="N27" s="331">
        <f>SUM(N28:N31)</f>
        <v>6616476</v>
      </c>
      <c r="O27" s="331">
        <f>SUM(O28:O31)</f>
        <v>5624004.5999999996</v>
      </c>
      <c r="P27" s="331"/>
      <c r="Q27" s="317">
        <f t="shared" si="13"/>
        <v>46115456.056460001</v>
      </c>
      <c r="R27" s="589">
        <f t="shared" si="30"/>
        <v>1.1388936281043773</v>
      </c>
      <c r="S27" s="618">
        <v>45079065.630000003</v>
      </c>
      <c r="T27" s="626">
        <f>SUM(T28:T31)</f>
        <v>45632231.619999997</v>
      </c>
      <c r="U27" s="591">
        <f t="shared" si="24"/>
        <v>1.126959641569476</v>
      </c>
      <c r="V27" s="591">
        <v>1.0562008789926185</v>
      </c>
      <c r="W27" s="591">
        <f t="shared" si="16"/>
        <v>7.0758762576857537E-2</v>
      </c>
      <c r="X27" s="593">
        <f t="shared" si="25"/>
        <v>0.98952142128078746</v>
      </c>
      <c r="Y27" s="586">
        <f>SUM(Y28:Y31)</f>
        <v>45632231.619999997</v>
      </c>
      <c r="Z27" s="591">
        <f t="shared" si="26"/>
        <v>1.126959641569476</v>
      </c>
      <c r="AA27" s="591">
        <v>1.0562008789926185</v>
      </c>
      <c r="AB27" s="591">
        <f t="shared" si="6"/>
        <v>7.0758762576857537E-2</v>
      </c>
      <c r="AC27" s="593">
        <f t="shared" si="27"/>
        <v>0.98952142128078746</v>
      </c>
      <c r="AD27" s="621">
        <f>SUM(AD28:AD31)</f>
        <v>33196716.399999999</v>
      </c>
      <c r="AE27" s="23">
        <f>SUM(AE28:AE31)</f>
        <v>0</v>
      </c>
      <c r="AF27" s="23">
        <f>SUM(AF28:AF31)</f>
        <v>592223.91999999993</v>
      </c>
      <c r="AG27" s="23">
        <f>SUM(AG28:AG31)</f>
        <v>530448.820000001</v>
      </c>
      <c r="AH27" s="622">
        <f>SUM(AH28:AH31)</f>
        <v>25745.200000000001</v>
      </c>
      <c r="AI27" s="620">
        <f t="shared" si="8"/>
        <v>33763195.11999999</v>
      </c>
      <c r="AJ27" s="332">
        <f t="shared" si="31"/>
        <v>33701420.019999996</v>
      </c>
      <c r="AK27" s="23">
        <f>SUM(AK28:AK31)</f>
        <v>33788940.319999993</v>
      </c>
      <c r="AL27" s="591">
        <f t="shared" si="28"/>
        <v>0.83447095879812705</v>
      </c>
      <c r="AM27" s="598">
        <v>0.83271617581445467</v>
      </c>
      <c r="AN27" s="591">
        <f t="shared" si="11"/>
        <v>1.7547829836723761E-3</v>
      </c>
      <c r="AO27" s="599">
        <f t="shared" si="29"/>
        <v>0.7327031587550944</v>
      </c>
      <c r="AP27" s="600"/>
      <c r="AQ27" s="601"/>
      <c r="AR27" s="601"/>
      <c r="AS27" s="601"/>
      <c r="AT27" s="434"/>
      <c r="AU27" s="601"/>
      <c r="AV27" s="601"/>
      <c r="AW27" s="602"/>
    </row>
    <row r="28" spans="1:49" ht="148.5">
      <c r="A28" s="327" t="s">
        <v>175</v>
      </c>
      <c r="B28" s="328" t="s">
        <v>1013</v>
      </c>
      <c r="C28" s="329" t="s">
        <v>0</v>
      </c>
      <c r="D28" s="329" t="s">
        <v>814</v>
      </c>
      <c r="E28" s="585"/>
      <c r="F28" s="586">
        <v>2393420</v>
      </c>
      <c r="G28" s="331"/>
      <c r="H28" s="331">
        <f>F28</f>
        <v>2393420</v>
      </c>
      <c r="I28" s="587"/>
      <c r="J28" s="331">
        <f t="shared" ref="J28:J35" si="32">F28</f>
        <v>2393420</v>
      </c>
      <c r="K28" s="588" t="s">
        <v>885</v>
      </c>
      <c r="L28" s="588"/>
      <c r="M28" s="588"/>
      <c r="N28" s="331">
        <v>0</v>
      </c>
      <c r="O28" s="331">
        <v>0</v>
      </c>
      <c r="P28" s="331"/>
      <c r="Q28" s="317">
        <f t="shared" si="13"/>
        <v>2393420</v>
      </c>
      <c r="R28" s="589">
        <f t="shared" si="30"/>
        <v>1</v>
      </c>
      <c r="S28" s="590">
        <v>1295568.1200000001</v>
      </c>
      <c r="T28" s="586">
        <v>2393420</v>
      </c>
      <c r="U28" s="591">
        <f t="shared" si="24"/>
        <v>1</v>
      </c>
      <c r="V28" s="592">
        <v>1</v>
      </c>
      <c r="W28" s="591">
        <f t="shared" si="16"/>
        <v>0</v>
      </c>
      <c r="X28" s="593">
        <f t="shared" si="25"/>
        <v>1</v>
      </c>
      <c r="Y28" s="594">
        <v>2393420</v>
      </c>
      <c r="Z28" s="591">
        <f t="shared" si="26"/>
        <v>1</v>
      </c>
      <c r="AA28" s="592">
        <v>1</v>
      </c>
      <c r="AB28" s="591">
        <f t="shared" si="6"/>
        <v>0</v>
      </c>
      <c r="AC28" s="593">
        <f t="shared" si="27"/>
        <v>1</v>
      </c>
      <c r="AD28" s="625">
        <v>921548.39</v>
      </c>
      <c r="AE28" s="596">
        <v>0</v>
      </c>
      <c r="AF28" s="596">
        <v>0</v>
      </c>
      <c r="AG28" s="596">
        <v>0</v>
      </c>
      <c r="AH28" s="597">
        <v>0</v>
      </c>
      <c r="AI28" s="594">
        <f t="shared" si="8"/>
        <v>921548.39</v>
      </c>
      <c r="AJ28" s="332">
        <f t="shared" si="31"/>
        <v>921548.39</v>
      </c>
      <c r="AK28" s="332">
        <f>SUM(AD28:AF28)</f>
        <v>921548.39</v>
      </c>
      <c r="AL28" s="591">
        <f t="shared" si="28"/>
        <v>0.38503413107603346</v>
      </c>
      <c r="AM28" s="598">
        <v>0.38503413107603346</v>
      </c>
      <c r="AN28" s="591">
        <f t="shared" si="11"/>
        <v>0</v>
      </c>
      <c r="AO28" s="599">
        <f t="shared" si="29"/>
        <v>0.38503413107603346</v>
      </c>
      <c r="AP28" s="600"/>
      <c r="AQ28" s="601"/>
      <c r="AR28" s="601"/>
      <c r="AS28" s="601"/>
      <c r="AT28" s="434"/>
      <c r="AU28" s="601"/>
      <c r="AV28" s="601"/>
      <c r="AW28" s="602"/>
    </row>
    <row r="29" spans="1:49" ht="99">
      <c r="A29" s="327" t="s">
        <v>188</v>
      </c>
      <c r="B29" s="328" t="s">
        <v>1014</v>
      </c>
      <c r="C29" s="329" t="s">
        <v>0</v>
      </c>
      <c r="D29" s="329" t="s">
        <v>814</v>
      </c>
      <c r="E29" s="585"/>
      <c r="F29" s="586">
        <v>5090153.5513439998</v>
      </c>
      <c r="G29" s="331"/>
      <c r="H29" s="331">
        <f>F29</f>
        <v>5090153.5513439998</v>
      </c>
      <c r="I29" s="587"/>
      <c r="J29" s="331">
        <f t="shared" si="32"/>
        <v>5090153.5513439998</v>
      </c>
      <c r="K29" s="588" t="s">
        <v>885</v>
      </c>
      <c r="L29" s="588"/>
      <c r="M29" s="588"/>
      <c r="N29" s="331">
        <v>0</v>
      </c>
      <c r="O29" s="331">
        <v>0</v>
      </c>
      <c r="P29" s="331"/>
      <c r="Q29" s="317">
        <f>J29+O29</f>
        <v>5090153.5513439998</v>
      </c>
      <c r="R29" s="589">
        <f t="shared" si="30"/>
        <v>1</v>
      </c>
      <c r="S29" s="590">
        <v>6308336.2199999997</v>
      </c>
      <c r="T29" s="627">
        <v>5089291.2699999996</v>
      </c>
      <c r="U29" s="628">
        <f t="shared" si="24"/>
        <v>0.99983059816657738</v>
      </c>
      <c r="V29" s="629">
        <v>0.99983059816657738</v>
      </c>
      <c r="W29" s="628">
        <f t="shared" si="16"/>
        <v>0</v>
      </c>
      <c r="X29" s="593">
        <f t="shared" si="25"/>
        <v>0.99983059816657738</v>
      </c>
      <c r="Y29" s="627">
        <v>5089291.2699999996</v>
      </c>
      <c r="Z29" s="628">
        <f t="shared" si="26"/>
        <v>0.99983059816657738</v>
      </c>
      <c r="AA29" s="629">
        <v>0.99983059816657738</v>
      </c>
      <c r="AB29" s="628">
        <f t="shared" si="6"/>
        <v>0</v>
      </c>
      <c r="AC29" s="593">
        <f t="shared" si="27"/>
        <v>0.99983059816657738</v>
      </c>
      <c r="AD29" s="604">
        <v>4135783.91</v>
      </c>
      <c r="AE29" s="630">
        <v>0</v>
      </c>
      <c r="AF29" s="262">
        <v>318919.59999999998</v>
      </c>
      <c r="AG29" s="605">
        <v>266279.28000000102</v>
      </c>
      <c r="AH29" s="631">
        <v>16311.76</v>
      </c>
      <c r="AI29" s="632">
        <f t="shared" si="8"/>
        <v>4438391.75</v>
      </c>
      <c r="AJ29" s="332">
        <f t="shared" si="31"/>
        <v>4385751.4300000016</v>
      </c>
      <c r="AK29" s="317">
        <f>SUM(AD29:AF29)</f>
        <v>4454703.51</v>
      </c>
      <c r="AL29" s="628">
        <f t="shared" si="28"/>
        <v>0.87516092885327279</v>
      </c>
      <c r="AM29" s="633">
        <v>0.87516092885327279</v>
      </c>
      <c r="AN29" s="628">
        <f t="shared" si="11"/>
        <v>0</v>
      </c>
      <c r="AO29" s="599">
        <f t="shared" si="29"/>
        <v>0.87516092885327279</v>
      </c>
      <c r="AP29" s="600"/>
      <c r="AQ29" s="601"/>
      <c r="AR29" s="601"/>
      <c r="AS29" s="601"/>
      <c r="AT29" s="434"/>
      <c r="AU29" s="601"/>
      <c r="AV29" s="601"/>
      <c r="AW29" s="602"/>
    </row>
    <row r="30" spans="1:49" ht="132">
      <c r="A30" s="327" t="s">
        <v>1015</v>
      </c>
      <c r="B30" s="328" t="s">
        <v>1016</v>
      </c>
      <c r="C30" s="329" t="s">
        <v>0</v>
      </c>
      <c r="D30" s="329" t="s">
        <v>814</v>
      </c>
      <c r="E30" s="585"/>
      <c r="F30" s="586">
        <v>8849476.7454840001</v>
      </c>
      <c r="G30" s="331"/>
      <c r="H30" s="331">
        <f>F30</f>
        <v>8849476.7454840001</v>
      </c>
      <c r="I30" s="609"/>
      <c r="J30" s="331">
        <f t="shared" si="32"/>
        <v>8849476.7454840001</v>
      </c>
      <c r="K30" s="588" t="s">
        <v>885</v>
      </c>
      <c r="L30" s="588"/>
      <c r="M30" s="588"/>
      <c r="N30" s="331">
        <v>509500</v>
      </c>
      <c r="O30" s="331">
        <f>N30*0.85</f>
        <v>433075</v>
      </c>
      <c r="P30" s="331"/>
      <c r="Q30" s="317">
        <f t="shared" si="13"/>
        <v>9282551.7454840001</v>
      </c>
      <c r="R30" s="589">
        <f t="shared" si="30"/>
        <v>1.0489379216936192</v>
      </c>
      <c r="S30" s="590">
        <v>9030731.2200000007</v>
      </c>
      <c r="T30" s="627">
        <v>8793777.3499999996</v>
      </c>
      <c r="U30" s="591">
        <f>T30/J30</f>
        <v>0.99370591085937088</v>
      </c>
      <c r="V30" s="592">
        <v>1.1430252478104879</v>
      </c>
      <c r="W30" s="591">
        <f t="shared" si="16"/>
        <v>-0.14931933695111699</v>
      </c>
      <c r="X30" s="593">
        <f t="shared" si="25"/>
        <v>0.94734482404347586</v>
      </c>
      <c r="Y30" s="627">
        <v>8793777.3499999996</v>
      </c>
      <c r="Z30" s="591">
        <f t="shared" si="26"/>
        <v>0.99370591085937088</v>
      </c>
      <c r="AA30" s="592">
        <v>1.1430252478104879</v>
      </c>
      <c r="AB30" s="591">
        <f t="shared" si="6"/>
        <v>-0.14931933695111699</v>
      </c>
      <c r="AC30" s="593">
        <f t="shared" si="27"/>
        <v>0.94734482404347586</v>
      </c>
      <c r="AD30" s="625">
        <v>5699569.0199999996</v>
      </c>
      <c r="AE30" s="22">
        <v>0</v>
      </c>
      <c r="AF30" s="22">
        <v>273304.32000000001</v>
      </c>
      <c r="AG30" s="605">
        <v>264169.53999999998</v>
      </c>
      <c r="AH30" s="631">
        <v>9433.44</v>
      </c>
      <c r="AI30" s="594">
        <f>AK30-AH30</f>
        <v>5963439.8999999994</v>
      </c>
      <c r="AJ30" s="332">
        <f t="shared" si="31"/>
        <v>5954305.1199999992</v>
      </c>
      <c r="AK30" s="332">
        <f>SUM(AD30:AF30)</f>
        <v>5972873.3399999999</v>
      </c>
      <c r="AL30" s="591">
        <f t="shared" si="28"/>
        <v>0.6749408481182837</v>
      </c>
      <c r="AM30" s="598">
        <v>0.6749408481182837</v>
      </c>
      <c r="AN30" s="591">
        <f t="shared" si="11"/>
        <v>0</v>
      </c>
      <c r="AO30" s="599">
        <f t="shared" si="29"/>
        <v>0.64345166111310148</v>
      </c>
      <c r="AP30" s="600"/>
      <c r="AQ30" s="601"/>
      <c r="AR30" s="601"/>
      <c r="AS30" s="601"/>
      <c r="AT30" s="434"/>
      <c r="AU30" s="601"/>
      <c r="AV30" s="601"/>
      <c r="AW30" s="602"/>
    </row>
    <row r="31" spans="1:49" ht="82.5">
      <c r="A31" s="327" t="s">
        <v>187</v>
      </c>
      <c r="B31" s="328" t="s">
        <v>1017</v>
      </c>
      <c r="C31" s="329" t="s">
        <v>0</v>
      </c>
      <c r="D31" s="329" t="s">
        <v>814</v>
      </c>
      <c r="E31" s="585"/>
      <c r="F31" s="586">
        <v>24158401.159632001</v>
      </c>
      <c r="G31" s="331"/>
      <c r="H31" s="331">
        <f>F31</f>
        <v>24158401.159632001</v>
      </c>
      <c r="I31" s="587"/>
      <c r="J31" s="331">
        <f t="shared" si="32"/>
        <v>24158401.159632001</v>
      </c>
      <c r="K31" s="588" t="s">
        <v>885</v>
      </c>
      <c r="L31" s="588"/>
      <c r="M31" s="588"/>
      <c r="N31" s="331">
        <f>3790500+2316476</f>
        <v>6106976</v>
      </c>
      <c r="O31" s="331">
        <f>N31*0.85</f>
        <v>5190929.5999999996</v>
      </c>
      <c r="P31" s="331"/>
      <c r="Q31" s="317">
        <f t="shared" si="13"/>
        <v>29349330.759631999</v>
      </c>
      <c r="R31" s="589">
        <f t="shared" si="30"/>
        <v>1.2148705771420789</v>
      </c>
      <c r="S31" s="590">
        <v>28444430.07</v>
      </c>
      <c r="T31" s="586">
        <v>29355743</v>
      </c>
      <c r="U31" s="591">
        <f>T31/J31</f>
        <v>1.2151360020071449</v>
      </c>
      <c r="V31" s="592">
        <v>1.0418412970994557</v>
      </c>
      <c r="W31" s="591">
        <f t="shared" si="16"/>
        <v>0.17329470490768917</v>
      </c>
      <c r="X31" s="593">
        <f t="shared" si="25"/>
        <v>1.0002184799517413</v>
      </c>
      <c r="Y31" s="594">
        <v>29355743</v>
      </c>
      <c r="Z31" s="591">
        <f t="shared" si="26"/>
        <v>1.2151360020071449</v>
      </c>
      <c r="AA31" s="592">
        <v>1.0418412970994557</v>
      </c>
      <c r="AB31" s="591">
        <f t="shared" si="6"/>
        <v>0.17329470490768917</v>
      </c>
      <c r="AC31" s="593">
        <f t="shared" si="27"/>
        <v>1.0002184799517413</v>
      </c>
      <c r="AD31" s="625">
        <v>22439815.079999998</v>
      </c>
      <c r="AE31" s="22">
        <v>0</v>
      </c>
      <c r="AF31" s="22">
        <v>0</v>
      </c>
      <c r="AG31" s="22">
        <v>0</v>
      </c>
      <c r="AH31" s="606">
        <v>0</v>
      </c>
      <c r="AI31" s="594">
        <f>AK31-AH31</f>
        <v>22439815.079999998</v>
      </c>
      <c r="AJ31" s="332">
        <f t="shared" si="31"/>
        <v>22439815.079999998</v>
      </c>
      <c r="AK31" s="332">
        <f>SUM(AD31:AF31)</f>
        <v>22439815.079999998</v>
      </c>
      <c r="AL31" s="591">
        <f t="shared" si="28"/>
        <v>0.92886176248684404</v>
      </c>
      <c r="AM31" s="598">
        <v>0.92592060303136137</v>
      </c>
      <c r="AN31" s="591">
        <f t="shared" si="11"/>
        <v>2.9411594554826781E-3</v>
      </c>
      <c r="AO31" s="599">
        <f t="shared" si="29"/>
        <v>0.76457672114501607</v>
      </c>
      <c r="AP31" s="600"/>
      <c r="AQ31" s="601"/>
      <c r="AR31" s="601"/>
      <c r="AS31" s="601"/>
      <c r="AT31" s="434"/>
      <c r="AU31" s="601"/>
      <c r="AV31" s="601"/>
      <c r="AW31" s="602"/>
    </row>
    <row r="32" spans="1:49" s="59" customFormat="1" ht="66">
      <c r="A32" s="19" t="s">
        <v>15</v>
      </c>
      <c r="B32" s="20" t="s">
        <v>1018</v>
      </c>
      <c r="C32" s="21" t="s">
        <v>0</v>
      </c>
      <c r="D32" s="21" t="s">
        <v>814</v>
      </c>
      <c r="E32" s="616"/>
      <c r="F32" s="586">
        <f>SUM(F33:F35)</f>
        <v>16651506.131379999</v>
      </c>
      <c r="G32" s="331"/>
      <c r="H32" s="331">
        <f>SUM(H33:H35)</f>
        <v>16651506.131379999</v>
      </c>
      <c r="I32" s="587"/>
      <c r="J32" s="331">
        <f t="shared" si="32"/>
        <v>16651506.131379999</v>
      </c>
      <c r="K32" s="588" t="s">
        <v>885</v>
      </c>
      <c r="L32" s="588"/>
      <c r="M32" s="588"/>
      <c r="N32" s="331">
        <f>SUM(N33:N35)</f>
        <v>0</v>
      </c>
      <c r="O32" s="331">
        <f>SUM(O33:O35)</f>
        <v>0</v>
      </c>
      <c r="P32" s="331"/>
      <c r="Q32" s="317">
        <f t="shared" si="13"/>
        <v>16651506.131379999</v>
      </c>
      <c r="R32" s="589">
        <f t="shared" si="30"/>
        <v>1</v>
      </c>
      <c r="S32" s="618">
        <v>20124079.32</v>
      </c>
      <c r="T32" s="626">
        <f>SUM(T33:T35)</f>
        <v>16554537.82</v>
      </c>
      <c r="U32" s="591">
        <f t="shared" si="24"/>
        <v>0.9941766041693213</v>
      </c>
      <c r="V32" s="591">
        <v>0.9941766041693213</v>
      </c>
      <c r="W32" s="591">
        <f t="shared" si="16"/>
        <v>0</v>
      </c>
      <c r="X32" s="593">
        <f t="shared" si="25"/>
        <v>0.9941766041693213</v>
      </c>
      <c r="Y32" s="620">
        <f>SUM(Y33:Y35)</f>
        <v>16554537.82</v>
      </c>
      <c r="Z32" s="591">
        <f t="shared" si="26"/>
        <v>0.9941766041693213</v>
      </c>
      <c r="AA32" s="591">
        <v>0.9941766041693213</v>
      </c>
      <c r="AB32" s="591">
        <f t="shared" si="6"/>
        <v>0</v>
      </c>
      <c r="AC32" s="593">
        <f t="shared" si="27"/>
        <v>0.9941766041693213</v>
      </c>
      <c r="AD32" s="621">
        <f>SUM(AD33:AD35)</f>
        <v>15928317.33</v>
      </c>
      <c r="AE32" s="23">
        <f>SUM(AE33:AE35)</f>
        <v>0</v>
      </c>
      <c r="AF32" s="23">
        <f>SUM(AF33:AF35)</f>
        <v>153000</v>
      </c>
      <c r="AG32" s="23">
        <f>SUM(AG33:AG35)</f>
        <v>153000</v>
      </c>
      <c r="AH32" s="622">
        <f>AH33+AH34+AH35</f>
        <v>537.20000000000005</v>
      </c>
      <c r="AI32" s="620">
        <f t="shared" si="8"/>
        <v>16080780.130000001</v>
      </c>
      <c r="AJ32" s="332">
        <f t="shared" si="31"/>
        <v>16080780.130000001</v>
      </c>
      <c r="AK32" s="23">
        <f>SUM(AK33:AK35)</f>
        <v>16081317.33</v>
      </c>
      <c r="AL32" s="591">
        <f t="shared" si="28"/>
        <v>0.96575752386113167</v>
      </c>
      <c r="AM32" s="598">
        <v>0.96116407571316764</v>
      </c>
      <c r="AN32" s="591">
        <f t="shared" si="11"/>
        <v>4.5934481479640299E-3</v>
      </c>
      <c r="AO32" s="599">
        <f t="shared" si="29"/>
        <v>0.96575752386113167</v>
      </c>
      <c r="AP32" s="600"/>
      <c r="AQ32" s="601"/>
      <c r="AR32" s="601"/>
      <c r="AS32" s="601"/>
      <c r="AT32" s="434"/>
      <c r="AU32" s="601"/>
      <c r="AV32" s="601"/>
      <c r="AW32" s="602"/>
    </row>
    <row r="33" spans="1:49" ht="148.5">
      <c r="A33" s="327" t="s">
        <v>186</v>
      </c>
      <c r="B33" s="328" t="s">
        <v>1019</v>
      </c>
      <c r="C33" s="329" t="s">
        <v>0</v>
      </c>
      <c r="D33" s="329" t="s">
        <v>814</v>
      </c>
      <c r="E33" s="585"/>
      <c r="F33" s="586">
        <v>4203764</v>
      </c>
      <c r="G33" s="331"/>
      <c r="H33" s="331">
        <f>F33</f>
        <v>4203764</v>
      </c>
      <c r="I33" s="617"/>
      <c r="J33" s="331">
        <f t="shared" si="32"/>
        <v>4203764</v>
      </c>
      <c r="K33" s="588" t="s">
        <v>885</v>
      </c>
      <c r="L33" s="588"/>
      <c r="M33" s="588"/>
      <c r="N33" s="331">
        <v>0</v>
      </c>
      <c r="O33" s="331">
        <v>0</v>
      </c>
      <c r="P33" s="331"/>
      <c r="Q33" s="317">
        <f t="shared" si="13"/>
        <v>4203764</v>
      </c>
      <c r="R33" s="589">
        <f t="shared" si="30"/>
        <v>1</v>
      </c>
      <c r="S33" s="590">
        <v>5189377.4799999995</v>
      </c>
      <c r="T33" s="626">
        <v>4146997.76</v>
      </c>
      <c r="U33" s="591">
        <f t="shared" si="24"/>
        <v>0.98649633043148943</v>
      </c>
      <c r="V33" s="592">
        <v>0.98649633043148943</v>
      </c>
      <c r="W33" s="591">
        <f t="shared" si="16"/>
        <v>0</v>
      </c>
      <c r="X33" s="593">
        <f t="shared" si="25"/>
        <v>0.98649633043148943</v>
      </c>
      <c r="Y33" s="626">
        <v>4146997.76</v>
      </c>
      <c r="Z33" s="591">
        <f t="shared" si="26"/>
        <v>0.98649633043148943</v>
      </c>
      <c r="AA33" s="592">
        <v>0.98649633043148943</v>
      </c>
      <c r="AB33" s="591">
        <f t="shared" si="6"/>
        <v>0</v>
      </c>
      <c r="AC33" s="593">
        <f t="shared" si="27"/>
        <v>0.98649633043148943</v>
      </c>
      <c r="AD33" s="625">
        <v>4146997.76</v>
      </c>
      <c r="AE33" s="22">
        <v>0</v>
      </c>
      <c r="AF33" s="22">
        <v>0</v>
      </c>
      <c r="AG33" s="22">
        <v>0</v>
      </c>
      <c r="AH33" s="606">
        <v>0</v>
      </c>
      <c r="AI33" s="594">
        <f t="shared" si="8"/>
        <v>4146997.76</v>
      </c>
      <c r="AJ33" s="332">
        <f t="shared" si="31"/>
        <v>4146997.76</v>
      </c>
      <c r="AK33" s="332">
        <f>SUM(AD33:AF33)</f>
        <v>4146997.76</v>
      </c>
      <c r="AL33" s="591">
        <f t="shared" si="28"/>
        <v>0.98649633043148943</v>
      </c>
      <c r="AM33" s="598">
        <v>0.98649633043148943</v>
      </c>
      <c r="AN33" s="591">
        <f t="shared" si="11"/>
        <v>0</v>
      </c>
      <c r="AO33" s="599">
        <f t="shared" si="29"/>
        <v>0.98649633043148943</v>
      </c>
      <c r="AP33" s="600"/>
      <c r="AQ33" s="601"/>
      <c r="AR33" s="601"/>
      <c r="AS33" s="601"/>
      <c r="AT33" s="434"/>
      <c r="AU33" s="601"/>
      <c r="AV33" s="601"/>
      <c r="AW33" s="602"/>
    </row>
    <row r="34" spans="1:49" ht="115.5">
      <c r="A34" s="327" t="s">
        <v>165</v>
      </c>
      <c r="B34" s="328" t="s">
        <v>1020</v>
      </c>
      <c r="C34" s="329" t="s">
        <v>0</v>
      </c>
      <c r="D34" s="329" t="s">
        <v>814</v>
      </c>
      <c r="E34" s="585"/>
      <c r="F34" s="586">
        <v>9112799.1313799992</v>
      </c>
      <c r="G34" s="331"/>
      <c r="H34" s="331">
        <f>F34</f>
        <v>9112799.1313799992</v>
      </c>
      <c r="I34" s="634"/>
      <c r="J34" s="331">
        <f t="shared" si="32"/>
        <v>9112799.1313799992</v>
      </c>
      <c r="K34" s="588" t="s">
        <v>885</v>
      </c>
      <c r="L34" s="588"/>
      <c r="M34" s="588"/>
      <c r="N34" s="331">
        <v>0</v>
      </c>
      <c r="O34" s="331">
        <v>0</v>
      </c>
      <c r="P34" s="331"/>
      <c r="Q34" s="317">
        <f t="shared" si="13"/>
        <v>9112799.1313799992</v>
      </c>
      <c r="R34" s="589">
        <f t="shared" si="30"/>
        <v>1</v>
      </c>
      <c r="S34" s="590">
        <v>10907184.18</v>
      </c>
      <c r="T34" s="626">
        <v>9112797.5500000007</v>
      </c>
      <c r="U34" s="575">
        <f t="shared" si="24"/>
        <v>0.99999982646605334</v>
      </c>
      <c r="V34" s="592">
        <v>0.99999982646605334</v>
      </c>
      <c r="W34" s="591">
        <f t="shared" si="16"/>
        <v>0</v>
      </c>
      <c r="X34" s="593">
        <f t="shared" si="25"/>
        <v>0.99999982646605334</v>
      </c>
      <c r="Y34" s="626">
        <v>9112797.5500000007</v>
      </c>
      <c r="Z34" s="591">
        <f t="shared" si="26"/>
        <v>0.99999982646605334</v>
      </c>
      <c r="AA34" s="592">
        <v>0.99999982646605334</v>
      </c>
      <c r="AB34" s="591">
        <f t="shared" si="6"/>
        <v>0</v>
      </c>
      <c r="AC34" s="593">
        <f t="shared" si="27"/>
        <v>0.99999982646605334</v>
      </c>
      <c r="AD34" s="625">
        <v>9112797.5500000007</v>
      </c>
      <c r="AE34" s="22">
        <v>0</v>
      </c>
      <c r="AF34" s="22">
        <v>0</v>
      </c>
      <c r="AG34" s="22">
        <v>0</v>
      </c>
      <c r="AH34" s="606">
        <v>537.20000000000005</v>
      </c>
      <c r="AI34" s="594">
        <f t="shared" si="8"/>
        <v>9112260.3500000015</v>
      </c>
      <c r="AJ34" s="332">
        <f t="shared" si="31"/>
        <v>9112260.3500000015</v>
      </c>
      <c r="AK34" s="332">
        <f>SUM(AD34:AF34)</f>
        <v>9112797.5500000007</v>
      </c>
      <c r="AL34" s="628">
        <f t="shared" si="28"/>
        <v>0.99999982646605334</v>
      </c>
      <c r="AM34" s="633">
        <v>0.99999982646605334</v>
      </c>
      <c r="AN34" s="628">
        <f t="shared" si="11"/>
        <v>0</v>
      </c>
      <c r="AO34" s="599">
        <f t="shared" si="29"/>
        <v>0.99999982646605334</v>
      </c>
      <c r="AP34" s="600"/>
      <c r="AQ34" s="601"/>
      <c r="AR34" s="601"/>
      <c r="AS34" s="601"/>
      <c r="AT34" s="434"/>
      <c r="AU34" s="601"/>
      <c r="AV34" s="601"/>
      <c r="AW34" s="602"/>
    </row>
    <row r="35" spans="1:49" ht="115.5">
      <c r="A35" s="327" t="s">
        <v>179</v>
      </c>
      <c r="B35" s="328" t="s">
        <v>1021</v>
      </c>
      <c r="C35" s="329" t="s">
        <v>0</v>
      </c>
      <c r="D35" s="329" t="s">
        <v>814</v>
      </c>
      <c r="E35" s="585"/>
      <c r="F35" s="586">
        <v>3334943</v>
      </c>
      <c r="G35" s="331"/>
      <c r="H35" s="331">
        <f>F35</f>
        <v>3334943</v>
      </c>
      <c r="I35" s="634"/>
      <c r="J35" s="331">
        <f t="shared" si="32"/>
        <v>3334943</v>
      </c>
      <c r="K35" s="588" t="s">
        <v>885</v>
      </c>
      <c r="L35" s="588"/>
      <c r="M35" s="588"/>
      <c r="N35" s="331">
        <v>0</v>
      </c>
      <c r="O35" s="331">
        <v>0</v>
      </c>
      <c r="P35" s="331"/>
      <c r="Q35" s="317">
        <f t="shared" si="13"/>
        <v>3334943</v>
      </c>
      <c r="R35" s="589">
        <f t="shared" si="30"/>
        <v>1</v>
      </c>
      <c r="S35" s="590">
        <v>4027517.66</v>
      </c>
      <c r="T35" s="586">
        <v>3294742.51</v>
      </c>
      <c r="U35" s="575">
        <f t="shared" si="24"/>
        <v>0.9879456740340089</v>
      </c>
      <c r="V35" s="592">
        <v>0.9879456740340089</v>
      </c>
      <c r="W35" s="591">
        <f t="shared" si="16"/>
        <v>0</v>
      </c>
      <c r="X35" s="593">
        <f t="shared" si="25"/>
        <v>0.9879456740340089</v>
      </c>
      <c r="Y35" s="594">
        <v>3294742.51</v>
      </c>
      <c r="Z35" s="591">
        <f t="shared" si="26"/>
        <v>0.9879456740340089</v>
      </c>
      <c r="AA35" s="592">
        <v>0.9879456740340089</v>
      </c>
      <c r="AB35" s="591">
        <f t="shared" si="6"/>
        <v>0</v>
      </c>
      <c r="AC35" s="593">
        <f t="shared" si="27"/>
        <v>0.9879456740340089</v>
      </c>
      <c r="AD35" s="604">
        <v>2668522.02</v>
      </c>
      <c r="AE35" s="596">
        <v>0</v>
      </c>
      <c r="AF35" s="22">
        <v>153000</v>
      </c>
      <c r="AG35" s="22">
        <v>153000</v>
      </c>
      <c r="AH35" s="606">
        <v>0</v>
      </c>
      <c r="AI35" s="594">
        <f t="shared" si="8"/>
        <v>2821522.02</v>
      </c>
      <c r="AJ35" s="332">
        <f t="shared" si="31"/>
        <v>2821522.02</v>
      </c>
      <c r="AK35" s="332">
        <f>SUM(AD35:AF35)</f>
        <v>2821522.02</v>
      </c>
      <c r="AL35" s="628">
        <f t="shared" si="28"/>
        <v>0.84604804939694622</v>
      </c>
      <c r="AM35" s="633">
        <v>0.82311277584054654</v>
      </c>
      <c r="AN35" s="628">
        <f t="shared" si="11"/>
        <v>2.2935273556399682E-2</v>
      </c>
      <c r="AO35" s="599">
        <f t="shared" si="29"/>
        <v>0.84604804939694622</v>
      </c>
      <c r="AP35" s="600"/>
      <c r="AQ35" s="601"/>
      <c r="AR35" s="601"/>
      <c r="AS35" s="601"/>
      <c r="AT35" s="434"/>
      <c r="AU35" s="601"/>
      <c r="AV35" s="601"/>
      <c r="AW35" s="602"/>
    </row>
    <row r="36" spans="1:49" s="59" customFormat="1" ht="181.5">
      <c r="A36" s="14" t="s">
        <v>16</v>
      </c>
      <c r="B36" s="15" t="s">
        <v>1022</v>
      </c>
      <c r="C36" s="16" t="s">
        <v>0</v>
      </c>
      <c r="D36" s="16" t="s">
        <v>1</v>
      </c>
      <c r="E36" s="607"/>
      <c r="F36" s="608">
        <f>F37+F42+F45+F48</f>
        <v>32667364.518632002</v>
      </c>
      <c r="G36" s="588"/>
      <c r="H36" s="588">
        <f>H37+H42+H45+H48</f>
        <v>32667364.518632002</v>
      </c>
      <c r="I36" s="588"/>
      <c r="J36" s="588">
        <f>J37+J42+J45+J48</f>
        <v>32667364.518632002</v>
      </c>
      <c r="K36" s="588" t="s">
        <v>885</v>
      </c>
      <c r="L36" s="588"/>
      <c r="M36" s="588"/>
      <c r="N36" s="588">
        <f>N37+N42+N45+N48</f>
        <v>1622893</v>
      </c>
      <c r="O36" s="588">
        <f>O37+O42+O45+O48</f>
        <v>1622893</v>
      </c>
      <c r="P36" s="588"/>
      <c r="Q36" s="294">
        <f>J36+O36</f>
        <v>34290257.518632002</v>
      </c>
      <c r="R36" s="610">
        <f>Q36/J36</f>
        <v>1.0496793366686918</v>
      </c>
      <c r="S36" s="611">
        <v>35696404.149999999</v>
      </c>
      <c r="T36" s="573">
        <f>T37+T42+T45+T48</f>
        <v>33579250.439999998</v>
      </c>
      <c r="U36" s="575">
        <f t="shared" si="24"/>
        <v>1.0279142788163367</v>
      </c>
      <c r="V36" s="575">
        <v>1.0279142788163367</v>
      </c>
      <c r="W36" s="575">
        <f t="shared" si="16"/>
        <v>0</v>
      </c>
      <c r="X36" s="612">
        <f t="shared" si="25"/>
        <v>0.97926504114920487</v>
      </c>
      <c r="Y36" s="573">
        <f>Y37+Y42+Y45+Y48</f>
        <v>33579250.439999998</v>
      </c>
      <c r="Z36" s="575">
        <f t="shared" si="26"/>
        <v>1.0279142788163367</v>
      </c>
      <c r="AA36" s="575">
        <v>1.0279142788163367</v>
      </c>
      <c r="AB36" s="575">
        <f t="shared" si="6"/>
        <v>0</v>
      </c>
      <c r="AC36" s="612">
        <f t="shared" si="27"/>
        <v>0.97926504114920487</v>
      </c>
      <c r="AD36" s="613">
        <f>AD37+AD42+AD45+AD48</f>
        <v>29535559.949999999</v>
      </c>
      <c r="AE36" s="17">
        <f>AE37+AE42+AE45+AE48</f>
        <v>0</v>
      </c>
      <c r="AF36" s="17">
        <f>AF37+AF42+AF45+AF48</f>
        <v>1512925.05</v>
      </c>
      <c r="AG36" s="17">
        <f>AG37+AG42+AG45+AG48</f>
        <v>1069574.45</v>
      </c>
      <c r="AH36" s="614">
        <f>AH37+AH42+AH45+AH48</f>
        <v>11362.99</v>
      </c>
      <c r="AI36" s="573">
        <f t="shared" si="8"/>
        <v>31037122.010000002</v>
      </c>
      <c r="AJ36" s="17">
        <f t="shared" ref="AJ36:AJ52" si="33">AD36+AE36+AG36</f>
        <v>30605134.399999999</v>
      </c>
      <c r="AK36" s="17">
        <f>AK37+AK42+AK45+AK48</f>
        <v>31048485</v>
      </c>
      <c r="AL36" s="575">
        <f t="shared" si="28"/>
        <v>0.95044352238122343</v>
      </c>
      <c r="AM36" s="574">
        <v>0.93354388789478882</v>
      </c>
      <c r="AN36" s="575">
        <f t="shared" si="11"/>
        <v>1.6899634486434612E-2</v>
      </c>
      <c r="AO36" s="522">
        <f t="shared" si="29"/>
        <v>0.90546082901621405</v>
      </c>
      <c r="AP36" s="582"/>
      <c r="AQ36" s="583"/>
      <c r="AR36" s="583"/>
      <c r="AS36" s="583"/>
      <c r="AT36" s="571"/>
      <c r="AU36" s="583"/>
      <c r="AV36" s="583"/>
      <c r="AW36" s="584"/>
    </row>
    <row r="37" spans="1:49" s="59" customFormat="1" ht="49.5">
      <c r="A37" s="19" t="s">
        <v>17</v>
      </c>
      <c r="B37" s="20" t="s">
        <v>1023</v>
      </c>
      <c r="C37" s="21" t="s">
        <v>0</v>
      </c>
      <c r="D37" s="21" t="s">
        <v>1</v>
      </c>
      <c r="E37" s="616"/>
      <c r="F37" s="586">
        <f>SUM(F38:F41)</f>
        <v>22397467.876044001</v>
      </c>
      <c r="G37" s="331"/>
      <c r="H37" s="331">
        <f>SUM(H38:H41)</f>
        <v>22397467.876044001</v>
      </c>
      <c r="I37" s="331"/>
      <c r="J37" s="331">
        <f>SUM(J38:J41)</f>
        <v>22397467.876044001</v>
      </c>
      <c r="K37" s="588" t="s">
        <v>885</v>
      </c>
      <c r="L37" s="588"/>
      <c r="M37" s="588"/>
      <c r="N37" s="331">
        <f>SUM(N38:N41)</f>
        <v>1622893</v>
      </c>
      <c r="O37" s="331">
        <f>SUM(O38:O41)</f>
        <v>1622893</v>
      </c>
      <c r="P37" s="331"/>
      <c r="Q37" s="317">
        <f t="shared" si="13"/>
        <v>24020360.876044001</v>
      </c>
      <c r="R37" s="589">
        <f t="shared" ref="R37:R41" si="34">Q37/J37</f>
        <v>1.072458771187069</v>
      </c>
      <c r="S37" s="618">
        <v>25551548.210000001</v>
      </c>
      <c r="T37" s="619">
        <f>SUM(T38:T41)</f>
        <v>23389603.350000001</v>
      </c>
      <c r="U37" s="591">
        <f t="shared" si="24"/>
        <v>1.0442967695922973</v>
      </c>
      <c r="V37" s="591">
        <v>1.0442967695922973</v>
      </c>
      <c r="W37" s="591">
        <f t="shared" si="16"/>
        <v>0</v>
      </c>
      <c r="X37" s="593">
        <f t="shared" si="25"/>
        <v>0.97374071400096796</v>
      </c>
      <c r="Y37" s="620">
        <f>SUM(Y38:Y41)</f>
        <v>23389603.350000001</v>
      </c>
      <c r="Z37" s="591">
        <f t="shared" si="26"/>
        <v>1.0442967695922973</v>
      </c>
      <c r="AA37" s="591">
        <v>1.0442967695922973</v>
      </c>
      <c r="AB37" s="591">
        <f t="shared" si="6"/>
        <v>0</v>
      </c>
      <c r="AC37" s="593">
        <f t="shared" si="27"/>
        <v>0.97374071400096796</v>
      </c>
      <c r="AD37" s="621">
        <f>SUM(AD38:AD41)</f>
        <v>22267242.350000001</v>
      </c>
      <c r="AE37" s="23">
        <f>SUM(AE38:AE41)</f>
        <v>0</v>
      </c>
      <c r="AF37" s="23">
        <f>SUM(AF38:AF41)</f>
        <v>0</v>
      </c>
      <c r="AG37" s="23">
        <f>SUM(AG38:AG41)</f>
        <v>0</v>
      </c>
      <c r="AH37" s="622">
        <f>SUM(AH38:AH41)</f>
        <v>0</v>
      </c>
      <c r="AI37" s="620">
        <f t="shared" si="8"/>
        <v>22267242.350000001</v>
      </c>
      <c r="AJ37" s="332">
        <f t="shared" ref="AJ37:AJ49" si="35">AD37+AE37+AG37-AH37</f>
        <v>22267242.350000001</v>
      </c>
      <c r="AK37" s="23">
        <f>SUM(AK38:AK41)</f>
        <v>22267242.350000001</v>
      </c>
      <c r="AL37" s="591">
        <f t="shared" si="28"/>
        <v>0.99418570318909638</v>
      </c>
      <c r="AM37" s="598">
        <v>0.97089420912882474</v>
      </c>
      <c r="AN37" s="591">
        <f t="shared" si="11"/>
        <v>2.3291494060271645E-2</v>
      </c>
      <c r="AO37" s="599">
        <f t="shared" si="29"/>
        <v>0.92701531275525417</v>
      </c>
      <c r="AP37" s="600"/>
      <c r="AQ37" s="601"/>
      <c r="AR37" s="601"/>
      <c r="AS37" s="601"/>
      <c r="AT37" s="434"/>
      <c r="AU37" s="601"/>
      <c r="AV37" s="601"/>
      <c r="AW37" s="602"/>
    </row>
    <row r="38" spans="1:49" ht="165">
      <c r="A38" s="327" t="s">
        <v>18</v>
      </c>
      <c r="B38" s="328" t="s">
        <v>1024</v>
      </c>
      <c r="C38" s="329" t="s">
        <v>0</v>
      </c>
      <c r="D38" s="329" t="s">
        <v>814</v>
      </c>
      <c r="E38" s="585"/>
      <c r="F38" s="586">
        <v>0</v>
      </c>
      <c r="G38" s="331"/>
      <c r="H38" s="331">
        <v>0</v>
      </c>
      <c r="I38" s="587"/>
      <c r="J38" s="331">
        <v>0</v>
      </c>
      <c r="K38" s="588" t="s">
        <v>885</v>
      </c>
      <c r="L38" s="588"/>
      <c r="M38" s="588"/>
      <c r="N38" s="331">
        <v>0</v>
      </c>
      <c r="O38" s="331">
        <v>0</v>
      </c>
      <c r="P38" s="331"/>
      <c r="Q38" s="317">
        <f t="shared" si="13"/>
        <v>0</v>
      </c>
      <c r="R38" s="589">
        <v>0</v>
      </c>
      <c r="S38" s="590">
        <v>0</v>
      </c>
      <c r="T38" s="586">
        <v>0</v>
      </c>
      <c r="U38" s="591">
        <v>0</v>
      </c>
      <c r="V38" s="592">
        <v>0</v>
      </c>
      <c r="W38" s="591">
        <f t="shared" si="16"/>
        <v>0</v>
      </c>
      <c r="X38" s="593">
        <v>0</v>
      </c>
      <c r="Y38" s="594">
        <v>0</v>
      </c>
      <c r="Z38" s="591">
        <v>0</v>
      </c>
      <c r="AA38" s="592">
        <v>0</v>
      </c>
      <c r="AB38" s="591">
        <f t="shared" si="6"/>
        <v>0</v>
      </c>
      <c r="AC38" s="593">
        <v>0</v>
      </c>
      <c r="AD38" s="595">
        <v>0</v>
      </c>
      <c r="AE38" s="596">
        <v>0</v>
      </c>
      <c r="AF38" s="596">
        <v>0</v>
      </c>
      <c r="AG38" s="596">
        <v>0</v>
      </c>
      <c r="AH38" s="597">
        <v>0</v>
      </c>
      <c r="AI38" s="594">
        <f t="shared" si="8"/>
        <v>0</v>
      </c>
      <c r="AJ38" s="332">
        <f t="shared" si="35"/>
        <v>0</v>
      </c>
      <c r="AK38" s="332">
        <f>SUM(AD38:AF38)</f>
        <v>0</v>
      </c>
      <c r="AL38" s="591">
        <v>0</v>
      </c>
      <c r="AM38" s="598">
        <v>0</v>
      </c>
      <c r="AN38" s="591">
        <f t="shared" si="11"/>
        <v>0</v>
      </c>
      <c r="AO38" s="599">
        <v>0</v>
      </c>
      <c r="AP38" s="600"/>
      <c r="AQ38" s="601"/>
      <c r="AR38" s="601"/>
      <c r="AS38" s="601"/>
      <c r="AT38" s="434"/>
      <c r="AU38" s="601"/>
      <c r="AV38" s="601"/>
      <c r="AW38" s="602"/>
    </row>
    <row r="39" spans="1:49" ht="99">
      <c r="A39" s="327" t="s">
        <v>19</v>
      </c>
      <c r="B39" s="328" t="s">
        <v>1025</v>
      </c>
      <c r="C39" s="329" t="s">
        <v>0</v>
      </c>
      <c r="D39" s="329" t="s">
        <v>815</v>
      </c>
      <c r="E39" s="585"/>
      <c r="F39" s="586">
        <v>5441400</v>
      </c>
      <c r="G39" s="331"/>
      <c r="H39" s="331">
        <v>5441400</v>
      </c>
      <c r="I39" s="587"/>
      <c r="J39" s="331">
        <v>5441400</v>
      </c>
      <c r="K39" s="588" t="s">
        <v>885</v>
      </c>
      <c r="L39" s="588"/>
      <c r="M39" s="588"/>
      <c r="N39" s="341">
        <f>1000000+645717-22824</f>
        <v>1622893</v>
      </c>
      <c r="O39" s="341">
        <f>N39*1</f>
        <v>1622893</v>
      </c>
      <c r="P39" s="331"/>
      <c r="Q39" s="317">
        <f t="shared" si="13"/>
        <v>7064293</v>
      </c>
      <c r="R39" s="589">
        <f t="shared" si="34"/>
        <v>1.298249163818135</v>
      </c>
      <c r="S39" s="590">
        <v>5606324.4199999999</v>
      </c>
      <c r="T39" s="586">
        <v>6433536.3499999996</v>
      </c>
      <c r="U39" s="591">
        <f>T39/J39</f>
        <v>1.1823310820744661</v>
      </c>
      <c r="V39" s="592">
        <v>1.1823310820744661</v>
      </c>
      <c r="W39" s="591">
        <f t="shared" si="16"/>
        <v>0</v>
      </c>
      <c r="X39" s="593">
        <f>T39/Q39</f>
        <v>0.91071199198560981</v>
      </c>
      <c r="Y39" s="594">
        <v>6433536.3499999996</v>
      </c>
      <c r="Z39" s="591">
        <f>Y39/J39</f>
        <v>1.1823310820744661</v>
      </c>
      <c r="AA39" s="592">
        <v>1.1823310820744661</v>
      </c>
      <c r="AB39" s="591">
        <f t="shared" si="6"/>
        <v>0</v>
      </c>
      <c r="AC39" s="593">
        <f>Y39/Q39</f>
        <v>0.91071199198560981</v>
      </c>
      <c r="AD39" s="604">
        <v>5353344.25</v>
      </c>
      <c r="AE39" s="22">
        <v>0</v>
      </c>
      <c r="AF39" s="22">
        <v>0</v>
      </c>
      <c r="AG39" s="22">
        <v>0</v>
      </c>
      <c r="AH39" s="606">
        <v>0</v>
      </c>
      <c r="AI39" s="594">
        <f t="shared" si="8"/>
        <v>5353344.25</v>
      </c>
      <c r="AJ39" s="332">
        <f t="shared" si="35"/>
        <v>5353344.25</v>
      </c>
      <c r="AK39" s="332">
        <f>SUM(AD39:AF39)</f>
        <v>5353344.25</v>
      </c>
      <c r="AL39" s="591">
        <f>AK39/J39</f>
        <v>0.9838174458778991</v>
      </c>
      <c r="AM39" s="598">
        <v>0.88794680780681434</v>
      </c>
      <c r="AN39" s="591">
        <f t="shared" si="11"/>
        <v>9.5870638071084757E-2</v>
      </c>
      <c r="AO39" s="599">
        <f>AK39/Q39</f>
        <v>0.75780325787732761</v>
      </c>
      <c r="AP39" s="600"/>
      <c r="AQ39" s="601"/>
      <c r="AR39" s="601"/>
      <c r="AS39" s="601"/>
      <c r="AT39" s="434"/>
      <c r="AU39" s="601"/>
      <c r="AV39" s="601"/>
      <c r="AW39" s="602"/>
    </row>
    <row r="40" spans="1:49" ht="82.5">
      <c r="A40" s="327" t="s">
        <v>20</v>
      </c>
      <c r="B40" s="328" t="s">
        <v>1026</v>
      </c>
      <c r="C40" s="329" t="s">
        <v>0</v>
      </c>
      <c r="D40" s="329" t="s">
        <v>814</v>
      </c>
      <c r="E40" s="585"/>
      <c r="F40" s="586">
        <v>0</v>
      </c>
      <c r="G40" s="331"/>
      <c r="H40" s="331">
        <v>0</v>
      </c>
      <c r="I40" s="587"/>
      <c r="J40" s="331">
        <v>0</v>
      </c>
      <c r="K40" s="588" t="s">
        <v>885</v>
      </c>
      <c r="L40" s="588"/>
      <c r="M40" s="588"/>
      <c r="N40" s="331">
        <v>0</v>
      </c>
      <c r="O40" s="331">
        <v>0</v>
      </c>
      <c r="P40" s="331"/>
      <c r="Q40" s="317">
        <f t="shared" si="13"/>
        <v>0</v>
      </c>
      <c r="R40" s="589">
        <v>0</v>
      </c>
      <c r="S40" s="590">
        <v>0</v>
      </c>
      <c r="T40" s="586">
        <v>0</v>
      </c>
      <c r="U40" s="591">
        <v>0</v>
      </c>
      <c r="V40" s="592">
        <v>0</v>
      </c>
      <c r="W40" s="591">
        <f t="shared" si="16"/>
        <v>0</v>
      </c>
      <c r="X40" s="593">
        <v>0</v>
      </c>
      <c r="Y40" s="594">
        <v>0</v>
      </c>
      <c r="Z40" s="591">
        <v>0</v>
      </c>
      <c r="AA40" s="592">
        <v>0</v>
      </c>
      <c r="AB40" s="591">
        <f t="shared" si="6"/>
        <v>0</v>
      </c>
      <c r="AC40" s="593">
        <v>0</v>
      </c>
      <c r="AD40" s="595">
        <v>0</v>
      </c>
      <c r="AE40" s="596">
        <v>0</v>
      </c>
      <c r="AF40" s="596">
        <v>0</v>
      </c>
      <c r="AG40" s="596">
        <v>0</v>
      </c>
      <c r="AH40" s="597">
        <v>0</v>
      </c>
      <c r="AI40" s="594">
        <f t="shared" si="8"/>
        <v>0</v>
      </c>
      <c r="AJ40" s="332">
        <f t="shared" si="35"/>
        <v>0</v>
      </c>
      <c r="AK40" s="332">
        <f>SUM(AD40:AF40)</f>
        <v>0</v>
      </c>
      <c r="AL40" s="591">
        <v>0</v>
      </c>
      <c r="AM40" s="598">
        <v>0</v>
      </c>
      <c r="AN40" s="591">
        <f t="shared" si="11"/>
        <v>0</v>
      </c>
      <c r="AO40" s="599">
        <v>0</v>
      </c>
      <c r="AP40" s="600"/>
      <c r="AQ40" s="601"/>
      <c r="AR40" s="601"/>
      <c r="AS40" s="601"/>
      <c r="AT40" s="434"/>
      <c r="AU40" s="601"/>
      <c r="AV40" s="601"/>
      <c r="AW40" s="602"/>
    </row>
    <row r="41" spans="1:49" ht="132">
      <c r="A41" s="327" t="s">
        <v>1027</v>
      </c>
      <c r="B41" s="328" t="s">
        <v>1028</v>
      </c>
      <c r="C41" s="329" t="s">
        <v>0</v>
      </c>
      <c r="D41" s="329" t="s">
        <v>814</v>
      </c>
      <c r="E41" s="585"/>
      <c r="F41" s="586">
        <v>16956067.876044001</v>
      </c>
      <c r="G41" s="331"/>
      <c r="H41" s="331">
        <v>16956067.876044001</v>
      </c>
      <c r="I41" s="587"/>
      <c r="J41" s="331">
        <v>16956067.876044001</v>
      </c>
      <c r="K41" s="588" t="s">
        <v>885</v>
      </c>
      <c r="L41" s="588"/>
      <c r="M41" s="588"/>
      <c r="N41" s="331">
        <v>0</v>
      </c>
      <c r="O41" s="331">
        <v>0</v>
      </c>
      <c r="P41" s="331"/>
      <c r="Q41" s="317">
        <f t="shared" si="13"/>
        <v>16956067.876044001</v>
      </c>
      <c r="R41" s="589">
        <f t="shared" si="34"/>
        <v>1</v>
      </c>
      <c r="S41" s="590">
        <v>19945223.789999999</v>
      </c>
      <c r="T41" s="586">
        <v>16956067</v>
      </c>
      <c r="U41" s="591">
        <f>T41/J41</f>
        <v>0.99999994833448369</v>
      </c>
      <c r="V41" s="592">
        <v>0.99999994833448369</v>
      </c>
      <c r="W41" s="591">
        <f t="shared" si="16"/>
        <v>0</v>
      </c>
      <c r="X41" s="593">
        <f>T41/Q41</f>
        <v>0.99999994833448369</v>
      </c>
      <c r="Y41" s="594">
        <v>16956067</v>
      </c>
      <c r="Z41" s="591">
        <f>Y41/J41</f>
        <v>0.99999994833448369</v>
      </c>
      <c r="AA41" s="592">
        <v>0.99999994833448369</v>
      </c>
      <c r="AB41" s="591">
        <f t="shared" si="6"/>
        <v>0</v>
      </c>
      <c r="AC41" s="593">
        <f>Y41/Q41</f>
        <v>0.99999994833448369</v>
      </c>
      <c r="AD41" s="604">
        <v>16913898.100000001</v>
      </c>
      <c r="AE41" s="596">
        <v>0</v>
      </c>
      <c r="AF41" s="596">
        <v>0</v>
      </c>
      <c r="AG41" s="596">
        <v>0</v>
      </c>
      <c r="AH41" s="597">
        <v>0</v>
      </c>
      <c r="AI41" s="594">
        <f t="shared" si="8"/>
        <v>16913898.100000001</v>
      </c>
      <c r="AJ41" s="332">
        <f t="shared" si="35"/>
        <v>16913898.100000001</v>
      </c>
      <c r="AK41" s="332">
        <f>SUM(AD41:AF41)</f>
        <v>16913898.100000001</v>
      </c>
      <c r="AL41" s="591">
        <f>AK41/J41</f>
        <v>0.9975129979219074</v>
      </c>
      <c r="AM41" s="598">
        <v>0.9975129979219074</v>
      </c>
      <c r="AN41" s="591">
        <f t="shared" si="11"/>
        <v>0</v>
      </c>
      <c r="AO41" s="599">
        <f>AK41/Q41</f>
        <v>0.9975129979219074</v>
      </c>
      <c r="AP41" s="600"/>
      <c r="AQ41" s="601"/>
      <c r="AR41" s="601"/>
      <c r="AS41" s="601"/>
      <c r="AT41" s="434"/>
      <c r="AU41" s="601"/>
      <c r="AV41" s="601"/>
      <c r="AW41" s="602"/>
    </row>
    <row r="42" spans="1:49" ht="99">
      <c r="A42" s="327" t="s">
        <v>21</v>
      </c>
      <c r="B42" s="328" t="s">
        <v>1029</v>
      </c>
      <c r="C42" s="329" t="s">
        <v>0</v>
      </c>
      <c r="D42" s="329" t="s">
        <v>814</v>
      </c>
      <c r="E42" s="585"/>
      <c r="F42" s="586">
        <v>0</v>
      </c>
      <c r="G42" s="331"/>
      <c r="H42" s="331">
        <v>0</v>
      </c>
      <c r="I42" s="587"/>
      <c r="J42" s="331">
        <v>0</v>
      </c>
      <c r="K42" s="588" t="s">
        <v>885</v>
      </c>
      <c r="L42" s="588"/>
      <c r="M42" s="588"/>
      <c r="N42" s="331">
        <f>SUM(N43:N44)</f>
        <v>0</v>
      </c>
      <c r="O42" s="331">
        <f>SUM(O43:O44)</f>
        <v>0</v>
      </c>
      <c r="P42" s="331"/>
      <c r="Q42" s="317">
        <f t="shared" si="13"/>
        <v>0</v>
      </c>
      <c r="R42" s="589">
        <v>0</v>
      </c>
      <c r="S42" s="590">
        <v>0</v>
      </c>
      <c r="T42" s="586">
        <f>SUM(T43:T44)</f>
        <v>0</v>
      </c>
      <c r="U42" s="591">
        <v>0</v>
      </c>
      <c r="V42" s="592">
        <v>0</v>
      </c>
      <c r="W42" s="591">
        <f t="shared" si="16"/>
        <v>0</v>
      </c>
      <c r="X42" s="593" t="e">
        <f>T42/Q42</f>
        <v>#DIV/0!</v>
      </c>
      <c r="Y42" s="594">
        <f>SUM(Y43:Y44)</f>
        <v>0</v>
      </c>
      <c r="Z42" s="591">
        <v>0</v>
      </c>
      <c r="AA42" s="592">
        <v>0</v>
      </c>
      <c r="AB42" s="591">
        <f t="shared" si="6"/>
        <v>0</v>
      </c>
      <c r="AC42" s="593" t="e">
        <f>Y42/Q42</f>
        <v>#DIV/0!</v>
      </c>
      <c r="AD42" s="625">
        <f>SUM(AD43:AD44)</f>
        <v>0</v>
      </c>
      <c r="AE42" s="22">
        <f>SUM(AE43:AE44)</f>
        <v>0</v>
      </c>
      <c r="AF42" s="22">
        <f>SUM(AF43:AF44)</f>
        <v>0</v>
      </c>
      <c r="AG42" s="22">
        <f>SUM(AG43:AG44)</f>
        <v>0</v>
      </c>
      <c r="AH42" s="606">
        <f>SUM(AH43:AH44)</f>
        <v>0</v>
      </c>
      <c r="AI42" s="620">
        <f t="shared" si="8"/>
        <v>0</v>
      </c>
      <c r="AJ42" s="332">
        <f t="shared" si="35"/>
        <v>0</v>
      </c>
      <c r="AK42" s="22">
        <f>SUM(AK43:AK44)</f>
        <v>0</v>
      </c>
      <c r="AL42" s="591">
        <v>0</v>
      </c>
      <c r="AM42" s="598">
        <v>0</v>
      </c>
      <c r="AN42" s="591">
        <f t="shared" si="11"/>
        <v>0</v>
      </c>
      <c r="AO42" s="599" t="e">
        <f>AK42/Q42</f>
        <v>#DIV/0!</v>
      </c>
      <c r="AP42" s="600"/>
      <c r="AQ42" s="601"/>
      <c r="AR42" s="601"/>
      <c r="AS42" s="601"/>
      <c r="AT42" s="434"/>
      <c r="AU42" s="601"/>
      <c r="AV42" s="601"/>
      <c r="AW42" s="602"/>
    </row>
    <row r="43" spans="1:49" ht="115.5">
      <c r="A43" s="327" t="s">
        <v>22</v>
      </c>
      <c r="B43" s="328" t="s">
        <v>1030</v>
      </c>
      <c r="C43" s="329" t="s">
        <v>0</v>
      </c>
      <c r="D43" s="329" t="s">
        <v>814</v>
      </c>
      <c r="E43" s="585"/>
      <c r="F43" s="586">
        <v>0</v>
      </c>
      <c r="G43" s="331"/>
      <c r="H43" s="331">
        <v>0</v>
      </c>
      <c r="I43" s="587"/>
      <c r="J43" s="331">
        <v>0</v>
      </c>
      <c r="K43" s="588" t="s">
        <v>885</v>
      </c>
      <c r="L43" s="588"/>
      <c r="M43" s="588"/>
      <c r="N43" s="331">
        <f>1456261-1456261</f>
        <v>0</v>
      </c>
      <c r="O43" s="331">
        <v>0</v>
      </c>
      <c r="P43" s="331"/>
      <c r="Q43" s="317">
        <f t="shared" si="13"/>
        <v>0</v>
      </c>
      <c r="R43" s="589">
        <v>0</v>
      </c>
      <c r="S43" s="590">
        <v>0</v>
      </c>
      <c r="T43" s="586">
        <v>0</v>
      </c>
      <c r="U43" s="591">
        <v>0</v>
      </c>
      <c r="V43" s="592">
        <v>0</v>
      </c>
      <c r="W43" s="591">
        <f t="shared" si="16"/>
        <v>0</v>
      </c>
      <c r="X43" s="593" t="e">
        <f>T43/Q43</f>
        <v>#DIV/0!</v>
      </c>
      <c r="Y43" s="594">
        <v>0</v>
      </c>
      <c r="Z43" s="591">
        <v>0</v>
      </c>
      <c r="AA43" s="592">
        <v>0</v>
      </c>
      <c r="AB43" s="591">
        <f t="shared" si="6"/>
        <v>0</v>
      </c>
      <c r="AC43" s="593" t="e">
        <f>Y43/Q43</f>
        <v>#DIV/0!</v>
      </c>
      <c r="AD43" s="595">
        <v>0</v>
      </c>
      <c r="AE43" s="596">
        <v>0</v>
      </c>
      <c r="AF43" s="596">
        <v>0</v>
      </c>
      <c r="AG43" s="596">
        <v>0</v>
      </c>
      <c r="AH43" s="597">
        <v>0</v>
      </c>
      <c r="AI43" s="594">
        <f t="shared" si="8"/>
        <v>0</v>
      </c>
      <c r="AJ43" s="332">
        <f t="shared" si="35"/>
        <v>0</v>
      </c>
      <c r="AK43" s="332">
        <f>SUM(AD43:AF43)</f>
        <v>0</v>
      </c>
      <c r="AL43" s="591">
        <v>0</v>
      </c>
      <c r="AM43" s="598">
        <v>0</v>
      </c>
      <c r="AN43" s="591">
        <f t="shared" si="11"/>
        <v>0</v>
      </c>
      <c r="AO43" s="599" t="e">
        <f>AK43/Q43</f>
        <v>#DIV/0!</v>
      </c>
      <c r="AP43" s="600"/>
      <c r="AQ43" s="601"/>
      <c r="AR43" s="601"/>
      <c r="AS43" s="601"/>
      <c r="AT43" s="434"/>
      <c r="AU43" s="601"/>
      <c r="AV43" s="601"/>
      <c r="AW43" s="602"/>
    </row>
    <row r="44" spans="1:49" ht="148.5">
      <c r="A44" s="327" t="s">
        <v>23</v>
      </c>
      <c r="B44" s="328" t="s">
        <v>1031</v>
      </c>
      <c r="C44" s="329" t="s">
        <v>0</v>
      </c>
      <c r="D44" s="329" t="s">
        <v>814</v>
      </c>
      <c r="E44" s="585"/>
      <c r="F44" s="586">
        <v>0</v>
      </c>
      <c r="G44" s="331"/>
      <c r="H44" s="331">
        <v>0</v>
      </c>
      <c r="I44" s="617"/>
      <c r="J44" s="331">
        <v>0</v>
      </c>
      <c r="K44" s="588" t="s">
        <v>885</v>
      </c>
      <c r="L44" s="588"/>
      <c r="M44" s="588"/>
      <c r="N44" s="331">
        <v>0</v>
      </c>
      <c r="O44" s="331">
        <v>0</v>
      </c>
      <c r="P44" s="331"/>
      <c r="Q44" s="317">
        <f t="shared" si="13"/>
        <v>0</v>
      </c>
      <c r="R44" s="589">
        <v>0</v>
      </c>
      <c r="S44" s="590">
        <v>0</v>
      </c>
      <c r="T44" s="586">
        <v>0</v>
      </c>
      <c r="U44" s="591">
        <v>0</v>
      </c>
      <c r="V44" s="592">
        <v>0</v>
      </c>
      <c r="W44" s="591">
        <f t="shared" si="16"/>
        <v>0</v>
      </c>
      <c r="X44" s="593" t="e">
        <f>T44/Q44</f>
        <v>#DIV/0!</v>
      </c>
      <c r="Y44" s="594">
        <v>0</v>
      </c>
      <c r="Z44" s="591">
        <v>0</v>
      </c>
      <c r="AA44" s="592">
        <v>0</v>
      </c>
      <c r="AB44" s="591">
        <f t="shared" si="6"/>
        <v>0</v>
      </c>
      <c r="AC44" s="593">
        <v>0</v>
      </c>
      <c r="AD44" s="595">
        <v>0</v>
      </c>
      <c r="AE44" s="596">
        <v>0</v>
      </c>
      <c r="AF44" s="596">
        <v>0</v>
      </c>
      <c r="AG44" s="596">
        <v>0</v>
      </c>
      <c r="AH44" s="597">
        <v>0</v>
      </c>
      <c r="AI44" s="594">
        <f t="shared" si="8"/>
        <v>0</v>
      </c>
      <c r="AJ44" s="332">
        <f t="shared" si="35"/>
        <v>0</v>
      </c>
      <c r="AK44" s="332">
        <f>SUM(AD44:AF44)</f>
        <v>0</v>
      </c>
      <c r="AL44" s="591">
        <v>0</v>
      </c>
      <c r="AM44" s="598">
        <v>0</v>
      </c>
      <c r="AN44" s="591">
        <f t="shared" si="11"/>
        <v>0</v>
      </c>
      <c r="AO44" s="599">
        <v>0</v>
      </c>
      <c r="AP44" s="600"/>
      <c r="AQ44" s="601"/>
      <c r="AR44" s="601"/>
      <c r="AS44" s="601"/>
      <c r="AT44" s="434"/>
      <c r="AU44" s="601"/>
      <c r="AV44" s="601"/>
      <c r="AW44" s="602"/>
    </row>
    <row r="45" spans="1:49" s="59" customFormat="1" ht="148.5">
      <c r="A45" s="19" t="s">
        <v>24</v>
      </c>
      <c r="B45" s="20" t="s">
        <v>1032</v>
      </c>
      <c r="C45" s="21" t="s">
        <v>0</v>
      </c>
      <c r="D45" s="21" t="s">
        <v>814</v>
      </c>
      <c r="E45" s="616"/>
      <c r="F45" s="586">
        <f>SUM(F46:F47)</f>
        <v>973356.13064400002</v>
      </c>
      <c r="G45" s="331"/>
      <c r="H45" s="331">
        <f>SUM(H46:H47)</f>
        <v>973356.13064400002</v>
      </c>
      <c r="I45" s="587"/>
      <c r="J45" s="331">
        <f>SUM(J46:J47)</f>
        <v>973356.13064400002</v>
      </c>
      <c r="K45" s="588" t="s">
        <v>885</v>
      </c>
      <c r="L45" s="588"/>
      <c r="M45" s="588"/>
      <c r="N45" s="331">
        <f>SUM(N46:N47)</f>
        <v>0</v>
      </c>
      <c r="O45" s="331">
        <f>SUM(O46:O47)</f>
        <v>0</v>
      </c>
      <c r="P45" s="331"/>
      <c r="Q45" s="317">
        <f t="shared" si="13"/>
        <v>973356.13064400002</v>
      </c>
      <c r="R45" s="589">
        <f t="shared" ref="R45" si="36">Q45/J45</f>
        <v>1</v>
      </c>
      <c r="S45" s="618">
        <v>654115.82999999996</v>
      </c>
      <c r="T45" s="619">
        <f>SUM(T46:T47)</f>
        <v>972125</v>
      </c>
      <c r="U45" s="591">
        <f>T45/J45</f>
        <v>0.99873516937404461</v>
      </c>
      <c r="V45" s="591">
        <v>0.99873516937404461</v>
      </c>
      <c r="W45" s="591">
        <f t="shared" si="16"/>
        <v>0</v>
      </c>
      <c r="X45" s="593">
        <f>T45/Q45</f>
        <v>0.99873516937404461</v>
      </c>
      <c r="Y45" s="620">
        <f>SUM(Y46:Y47)</f>
        <v>972125</v>
      </c>
      <c r="Z45" s="591">
        <f>Y45/J45</f>
        <v>0.99873516937404461</v>
      </c>
      <c r="AA45" s="591">
        <v>0.99873516937404461</v>
      </c>
      <c r="AB45" s="591">
        <f t="shared" si="6"/>
        <v>0</v>
      </c>
      <c r="AC45" s="593">
        <f t="shared" ref="AC45:AC64" si="37">Y45/Q45</f>
        <v>0.99873516937404461</v>
      </c>
      <c r="AD45" s="621">
        <f>SUM(AD46:AD47)</f>
        <v>542338.49</v>
      </c>
      <c r="AE45" s="23">
        <f>SUM(AE46:AE47)</f>
        <v>0</v>
      </c>
      <c r="AF45" s="23">
        <f>SUM(AF46:AF47)</f>
        <v>0</v>
      </c>
      <c r="AG45" s="23">
        <f>SUM(AG46:AG47)</f>
        <v>0</v>
      </c>
      <c r="AH45" s="622">
        <v>0</v>
      </c>
      <c r="AI45" s="620">
        <f t="shared" si="8"/>
        <v>542338.49</v>
      </c>
      <c r="AJ45" s="332">
        <f t="shared" si="35"/>
        <v>542338.49</v>
      </c>
      <c r="AK45" s="23">
        <f>SUM(AK46:AK47)</f>
        <v>542338.49</v>
      </c>
      <c r="AL45" s="591">
        <f>AK45/J45</f>
        <v>0.55718402846158011</v>
      </c>
      <c r="AM45" s="598">
        <v>0.55718402846158011</v>
      </c>
      <c r="AN45" s="591">
        <f t="shared" si="11"/>
        <v>0</v>
      </c>
      <c r="AO45" s="599">
        <f>AK45/Q45</f>
        <v>0.55718402846158011</v>
      </c>
      <c r="AP45" s="600"/>
      <c r="AQ45" s="601"/>
      <c r="AR45" s="601"/>
      <c r="AS45" s="601"/>
      <c r="AT45" s="434"/>
      <c r="AU45" s="601"/>
      <c r="AV45" s="601"/>
      <c r="AW45" s="602"/>
    </row>
    <row r="46" spans="1:49" ht="148.5">
      <c r="A46" s="327" t="s">
        <v>25</v>
      </c>
      <c r="B46" s="328" t="s">
        <v>1033</v>
      </c>
      <c r="C46" s="329" t="s">
        <v>0</v>
      </c>
      <c r="D46" s="329" t="s">
        <v>814</v>
      </c>
      <c r="E46" s="585"/>
      <c r="F46" s="586">
        <v>0</v>
      </c>
      <c r="G46" s="331"/>
      <c r="H46" s="331">
        <v>0</v>
      </c>
      <c r="I46" s="587"/>
      <c r="J46" s="331">
        <v>0</v>
      </c>
      <c r="K46" s="588" t="s">
        <v>885</v>
      </c>
      <c r="L46" s="588"/>
      <c r="M46" s="588"/>
      <c r="N46" s="331">
        <v>0</v>
      </c>
      <c r="O46" s="331">
        <v>0</v>
      </c>
      <c r="P46" s="331"/>
      <c r="Q46" s="317">
        <f t="shared" si="13"/>
        <v>0</v>
      </c>
      <c r="R46" s="589">
        <v>0</v>
      </c>
      <c r="S46" s="590">
        <v>0</v>
      </c>
      <c r="T46" s="586">
        <v>0</v>
      </c>
      <c r="U46" s="591">
        <v>0</v>
      </c>
      <c r="V46" s="592">
        <v>0</v>
      </c>
      <c r="W46" s="591">
        <f t="shared" si="16"/>
        <v>0</v>
      </c>
      <c r="X46" s="593">
        <v>0</v>
      </c>
      <c r="Y46" s="594">
        <v>0</v>
      </c>
      <c r="Z46" s="591">
        <v>0</v>
      </c>
      <c r="AA46" s="592">
        <v>0</v>
      </c>
      <c r="AB46" s="591">
        <f t="shared" si="6"/>
        <v>0</v>
      </c>
      <c r="AC46" s="593" t="e">
        <f t="shared" si="37"/>
        <v>#DIV/0!</v>
      </c>
      <c r="AD46" s="595">
        <v>0</v>
      </c>
      <c r="AE46" s="596">
        <v>0</v>
      </c>
      <c r="AF46" s="596">
        <v>0</v>
      </c>
      <c r="AG46" s="596">
        <v>0</v>
      </c>
      <c r="AH46" s="597">
        <v>0</v>
      </c>
      <c r="AI46" s="594">
        <f t="shared" si="8"/>
        <v>0</v>
      </c>
      <c r="AJ46" s="332">
        <f t="shared" si="35"/>
        <v>0</v>
      </c>
      <c r="AK46" s="332">
        <f>SUM(AD46:AF46)</f>
        <v>0</v>
      </c>
      <c r="AL46" s="591">
        <v>0</v>
      </c>
      <c r="AM46" s="598">
        <v>0</v>
      </c>
      <c r="AN46" s="591">
        <f t="shared" si="11"/>
        <v>0</v>
      </c>
      <c r="AO46" s="599">
        <v>0</v>
      </c>
      <c r="AP46" s="600"/>
      <c r="AQ46" s="601"/>
      <c r="AR46" s="601"/>
      <c r="AS46" s="601"/>
      <c r="AT46" s="434"/>
      <c r="AU46" s="601"/>
      <c r="AV46" s="601"/>
      <c r="AW46" s="602"/>
    </row>
    <row r="47" spans="1:49" ht="49.5">
      <c r="A47" s="327" t="s">
        <v>26</v>
      </c>
      <c r="B47" s="328" t="s">
        <v>1034</v>
      </c>
      <c r="C47" s="329" t="s">
        <v>0</v>
      </c>
      <c r="D47" s="329" t="s">
        <v>814</v>
      </c>
      <c r="E47" s="585"/>
      <c r="F47" s="586">
        <v>973356.13064400002</v>
      </c>
      <c r="G47" s="331"/>
      <c r="H47" s="331">
        <v>973356.13064400002</v>
      </c>
      <c r="I47" s="634"/>
      <c r="J47" s="331">
        <v>973356.13064400002</v>
      </c>
      <c r="K47" s="588" t="s">
        <v>885</v>
      </c>
      <c r="L47" s="588"/>
      <c r="M47" s="588"/>
      <c r="N47" s="331">
        <v>0</v>
      </c>
      <c r="O47" s="331">
        <v>0</v>
      </c>
      <c r="P47" s="331"/>
      <c r="Q47" s="317">
        <f t="shared" si="13"/>
        <v>973356.13064400002</v>
      </c>
      <c r="R47" s="589">
        <f t="shared" ref="R47:R53" si="38">Q47/J47</f>
        <v>1</v>
      </c>
      <c r="S47" s="590">
        <v>654115.82999999996</v>
      </c>
      <c r="T47" s="586">
        <v>972125</v>
      </c>
      <c r="U47" s="591">
        <f t="shared" ref="U47:U64" si="39">T47/J47</f>
        <v>0.99873516937404461</v>
      </c>
      <c r="V47" s="592">
        <v>0.99873516937404461</v>
      </c>
      <c r="W47" s="591">
        <f t="shared" si="16"/>
        <v>0</v>
      </c>
      <c r="X47" s="593">
        <f t="shared" ref="X47:X64" si="40">T47/Q47</f>
        <v>0.99873516937404461</v>
      </c>
      <c r="Y47" s="594">
        <v>972125</v>
      </c>
      <c r="Z47" s="591">
        <f t="shared" ref="Z47:Z64" si="41">Y47/J47</f>
        <v>0.99873516937404461</v>
      </c>
      <c r="AA47" s="592">
        <v>0.99873516937404461</v>
      </c>
      <c r="AB47" s="591">
        <f t="shared" si="6"/>
        <v>0</v>
      </c>
      <c r="AC47" s="593">
        <f t="shared" si="37"/>
        <v>0.99873516937404461</v>
      </c>
      <c r="AD47" s="625">
        <v>542338.49</v>
      </c>
      <c r="AE47" s="596">
        <v>0</v>
      </c>
      <c r="AF47" s="596">
        <v>0</v>
      </c>
      <c r="AG47" s="596">
        <v>0</v>
      </c>
      <c r="AH47" s="597">
        <v>0</v>
      </c>
      <c r="AI47" s="594">
        <f t="shared" si="8"/>
        <v>542338.49</v>
      </c>
      <c r="AJ47" s="332">
        <f t="shared" si="35"/>
        <v>542338.49</v>
      </c>
      <c r="AK47" s="332">
        <f>SUM(AD47:AF47)</f>
        <v>542338.49</v>
      </c>
      <c r="AL47" s="591">
        <f t="shared" ref="AL47:AL57" si="42">AK47/J47</f>
        <v>0.55718402846158011</v>
      </c>
      <c r="AM47" s="598">
        <v>0.55718402846158011</v>
      </c>
      <c r="AN47" s="591">
        <f t="shared" si="11"/>
        <v>0</v>
      </c>
      <c r="AO47" s="599">
        <f t="shared" ref="AO47:AO64" si="43">AK47/Q47</f>
        <v>0.55718402846158011</v>
      </c>
      <c r="AP47" s="600"/>
      <c r="AQ47" s="601"/>
      <c r="AR47" s="601"/>
      <c r="AS47" s="601"/>
      <c r="AT47" s="434"/>
      <c r="AU47" s="601"/>
      <c r="AV47" s="601"/>
      <c r="AW47" s="602"/>
    </row>
    <row r="48" spans="1:49" s="59" customFormat="1" ht="148.5">
      <c r="A48" s="19" t="s">
        <v>27</v>
      </c>
      <c r="B48" s="20" t="s">
        <v>1035</v>
      </c>
      <c r="C48" s="21" t="s">
        <v>0</v>
      </c>
      <c r="D48" s="21" t="s">
        <v>814</v>
      </c>
      <c r="E48" s="616"/>
      <c r="F48" s="586">
        <f>SUM(F49:F50)</f>
        <v>9296540.5119439997</v>
      </c>
      <c r="G48" s="331"/>
      <c r="H48" s="331">
        <f>SUM(H49:H50)</f>
        <v>9296540.5119439997</v>
      </c>
      <c r="I48" s="331"/>
      <c r="J48" s="331">
        <f>SUM(J49:J50)</f>
        <v>9296540.5119439997</v>
      </c>
      <c r="K48" s="588" t="s">
        <v>885</v>
      </c>
      <c r="L48" s="588"/>
      <c r="M48" s="588"/>
      <c r="N48" s="331">
        <f>SUM(N49:N50)</f>
        <v>0</v>
      </c>
      <c r="O48" s="331">
        <f>SUM(O49:O50)</f>
        <v>0</v>
      </c>
      <c r="P48" s="331"/>
      <c r="Q48" s="317">
        <f t="shared" si="13"/>
        <v>9296540.5119439997</v>
      </c>
      <c r="R48" s="589">
        <f t="shared" si="38"/>
        <v>1</v>
      </c>
      <c r="S48" s="618">
        <v>9490740.1099999994</v>
      </c>
      <c r="T48" s="619">
        <f>SUM(T49:T50)</f>
        <v>9217522.0899999999</v>
      </c>
      <c r="U48" s="591">
        <f t="shared" si="39"/>
        <v>0.99150023367913276</v>
      </c>
      <c r="V48" s="591">
        <v>0.99150023367913276</v>
      </c>
      <c r="W48" s="591">
        <f t="shared" si="16"/>
        <v>0</v>
      </c>
      <c r="X48" s="593">
        <f t="shared" si="40"/>
        <v>0.99150023367913276</v>
      </c>
      <c r="Y48" s="620">
        <f>SUM(Y49:Y50)</f>
        <v>9217522.0899999999</v>
      </c>
      <c r="Z48" s="591">
        <f t="shared" si="41"/>
        <v>0.99150023367913276</v>
      </c>
      <c r="AA48" s="591">
        <v>0.99150023367913276</v>
      </c>
      <c r="AB48" s="591">
        <f t="shared" si="6"/>
        <v>0</v>
      </c>
      <c r="AC48" s="593">
        <f t="shared" si="37"/>
        <v>0.99150023367913276</v>
      </c>
      <c r="AD48" s="621">
        <f>SUM(AD49:AD50)</f>
        <v>6725979.1099999994</v>
      </c>
      <c r="AE48" s="23">
        <f>SUM(AE49:AE50)</f>
        <v>0</v>
      </c>
      <c r="AF48" s="23">
        <f>SUM(AF49:AF50)</f>
        <v>1512925.05</v>
      </c>
      <c r="AG48" s="23">
        <f>SUM(AG49:AG50)</f>
        <v>1069574.45</v>
      </c>
      <c r="AH48" s="622">
        <f>SUM(AH49:AH50)</f>
        <v>11362.99</v>
      </c>
      <c r="AI48" s="620">
        <f t="shared" si="8"/>
        <v>8227541.1699999999</v>
      </c>
      <c r="AJ48" s="332">
        <f t="shared" si="35"/>
        <v>7784190.5699999994</v>
      </c>
      <c r="AK48" s="23">
        <f>SUM(AK49:AK50)</f>
        <v>8238904.1600000001</v>
      </c>
      <c r="AL48" s="591">
        <f t="shared" si="42"/>
        <v>0.88623334125364472</v>
      </c>
      <c r="AM48" s="598">
        <v>0.88296373467677369</v>
      </c>
      <c r="AN48" s="591">
        <f t="shared" si="11"/>
        <v>3.2696065768710314E-3</v>
      </c>
      <c r="AO48" s="599">
        <f t="shared" si="43"/>
        <v>0.88623334125364472</v>
      </c>
      <c r="AP48" s="600"/>
      <c r="AQ48" s="601"/>
      <c r="AR48" s="601"/>
      <c r="AS48" s="601"/>
      <c r="AT48" s="434"/>
      <c r="AU48" s="601"/>
      <c r="AV48" s="601"/>
      <c r="AW48" s="602"/>
    </row>
    <row r="49" spans="1:49" ht="214.5">
      <c r="A49" s="327" t="s">
        <v>28</v>
      </c>
      <c r="B49" s="328" t="s">
        <v>1036</v>
      </c>
      <c r="C49" s="329" t="s">
        <v>0</v>
      </c>
      <c r="D49" s="329" t="s">
        <v>814</v>
      </c>
      <c r="E49" s="585"/>
      <c r="F49" s="586">
        <v>3584300</v>
      </c>
      <c r="G49" s="331"/>
      <c r="H49" s="331">
        <v>3584300</v>
      </c>
      <c r="I49" s="587"/>
      <c r="J49" s="331">
        <v>3584300</v>
      </c>
      <c r="K49" s="588" t="s">
        <v>885</v>
      </c>
      <c r="L49" s="588"/>
      <c r="M49" s="588"/>
      <c r="N49" s="331">
        <v>0</v>
      </c>
      <c r="O49" s="331">
        <v>0</v>
      </c>
      <c r="P49" s="331"/>
      <c r="Q49" s="317">
        <f t="shared" si="13"/>
        <v>3584300</v>
      </c>
      <c r="R49" s="589">
        <f t="shared" si="38"/>
        <v>1</v>
      </c>
      <c r="S49" s="590">
        <v>3744902.3200000003</v>
      </c>
      <c r="T49" s="586">
        <v>3576222</v>
      </c>
      <c r="U49" s="591">
        <f t="shared" si="39"/>
        <v>0.99774628239823671</v>
      </c>
      <c r="V49" s="592">
        <v>0.99774628239823671</v>
      </c>
      <c r="W49" s="591">
        <f t="shared" si="16"/>
        <v>0</v>
      </c>
      <c r="X49" s="593">
        <f t="shared" si="40"/>
        <v>0.99774628239823671</v>
      </c>
      <c r="Y49" s="594">
        <v>3576222</v>
      </c>
      <c r="Z49" s="591">
        <f t="shared" si="41"/>
        <v>0.99774628239823671</v>
      </c>
      <c r="AA49" s="592">
        <v>0.99774628239823671</v>
      </c>
      <c r="AB49" s="591">
        <f t="shared" si="6"/>
        <v>0</v>
      </c>
      <c r="AC49" s="593">
        <f t="shared" si="37"/>
        <v>0.99774628239823671</v>
      </c>
      <c r="AD49" s="625">
        <v>2691943.34</v>
      </c>
      <c r="AE49" s="22">
        <v>0</v>
      </c>
      <c r="AF49" s="22">
        <v>110704</v>
      </c>
      <c r="AG49" s="22">
        <v>0</v>
      </c>
      <c r="AH49" s="606">
        <v>0</v>
      </c>
      <c r="AI49" s="594">
        <f t="shared" si="8"/>
        <v>2802647.34</v>
      </c>
      <c r="AJ49" s="332">
        <f t="shared" si="35"/>
        <v>2691943.34</v>
      </c>
      <c r="AK49" s="332">
        <f>SUM(AD49:AF49)</f>
        <v>2802647.34</v>
      </c>
      <c r="AL49" s="591">
        <f t="shared" si="42"/>
        <v>0.78192320397288173</v>
      </c>
      <c r="AM49" s="598">
        <v>0.77600185531345034</v>
      </c>
      <c r="AN49" s="591">
        <f t="shared" si="11"/>
        <v>5.9213486594313913E-3</v>
      </c>
      <c r="AO49" s="599">
        <f t="shared" si="43"/>
        <v>0.78192320397288173</v>
      </c>
      <c r="AP49" s="600"/>
      <c r="AQ49" s="601"/>
      <c r="AR49" s="601"/>
      <c r="AS49" s="601"/>
      <c r="AT49" s="434"/>
      <c r="AU49" s="601"/>
      <c r="AV49" s="601"/>
      <c r="AW49" s="602"/>
    </row>
    <row r="50" spans="1:49" ht="165">
      <c r="A50" s="327" t="s">
        <v>204</v>
      </c>
      <c r="B50" s="328" t="s">
        <v>1037</v>
      </c>
      <c r="C50" s="329" t="s">
        <v>0</v>
      </c>
      <c r="D50" s="329" t="s">
        <v>5</v>
      </c>
      <c r="E50" s="585"/>
      <c r="F50" s="586">
        <v>5712240.5119439997</v>
      </c>
      <c r="G50" s="331"/>
      <c r="H50" s="331">
        <f>F50</f>
        <v>5712240.5119439997</v>
      </c>
      <c r="I50" s="587"/>
      <c r="J50" s="331">
        <f>F50</f>
        <v>5712240.5119439997</v>
      </c>
      <c r="K50" s="588" t="s">
        <v>885</v>
      </c>
      <c r="L50" s="588"/>
      <c r="M50" s="588"/>
      <c r="N50" s="331">
        <v>0</v>
      </c>
      <c r="O50" s="331">
        <v>0</v>
      </c>
      <c r="P50" s="331"/>
      <c r="Q50" s="317">
        <f t="shared" si="13"/>
        <v>5712240.5119439997</v>
      </c>
      <c r="R50" s="589">
        <f t="shared" si="38"/>
        <v>1</v>
      </c>
      <c r="S50" s="590">
        <v>5745837.7899999991</v>
      </c>
      <c r="T50" s="635">
        <v>5641300.0899999999</v>
      </c>
      <c r="U50" s="591">
        <f t="shared" si="39"/>
        <v>0.98758098126371485</v>
      </c>
      <c r="V50" s="592">
        <v>0.98758098126371485</v>
      </c>
      <c r="W50" s="591">
        <f t="shared" si="16"/>
        <v>0</v>
      </c>
      <c r="X50" s="593">
        <f t="shared" si="40"/>
        <v>0.98758098126371485</v>
      </c>
      <c r="Y50" s="635">
        <v>5641300.0899999999</v>
      </c>
      <c r="Z50" s="591">
        <f t="shared" si="41"/>
        <v>0.98758098126371485</v>
      </c>
      <c r="AA50" s="592">
        <v>0.98758098126371485</v>
      </c>
      <c r="AB50" s="591">
        <f t="shared" si="6"/>
        <v>0</v>
      </c>
      <c r="AC50" s="593">
        <f t="shared" si="37"/>
        <v>0.98758098126371485</v>
      </c>
      <c r="AD50" s="604">
        <v>4034035.77</v>
      </c>
      <c r="AE50" s="596">
        <v>0</v>
      </c>
      <c r="AF50" s="22">
        <v>1402221.05</v>
      </c>
      <c r="AG50" s="605">
        <v>1069574.45</v>
      </c>
      <c r="AH50" s="606">
        <v>11362.99</v>
      </c>
      <c r="AI50" s="594">
        <f t="shared" si="8"/>
        <v>5424893.8300000001</v>
      </c>
      <c r="AJ50" s="332">
        <f>AD50+AE50+AG50-AH50</f>
        <v>5092247.2299999995</v>
      </c>
      <c r="AK50" s="332">
        <f>SUM(AD50:AF50)</f>
        <v>5436256.8200000003</v>
      </c>
      <c r="AL50" s="591">
        <f t="shared" si="42"/>
        <v>0.9516855616693779</v>
      </c>
      <c r="AM50" s="598">
        <v>0.95007986247292042</v>
      </c>
      <c r="AN50" s="591">
        <f t="shared" si="11"/>
        <v>1.6056991964574774E-3</v>
      </c>
      <c r="AO50" s="599">
        <f t="shared" si="43"/>
        <v>0.9516855616693779</v>
      </c>
      <c r="AP50" s="600"/>
      <c r="AQ50" s="601"/>
      <c r="AR50" s="601"/>
      <c r="AS50" s="601"/>
      <c r="AT50" s="434"/>
      <c r="AU50" s="601"/>
      <c r="AV50" s="601"/>
      <c r="AW50" s="602"/>
    </row>
    <row r="51" spans="1:49" s="59" customFormat="1" ht="82.5">
      <c r="A51" s="14" t="s">
        <v>383</v>
      </c>
      <c r="B51" s="15" t="s">
        <v>1038</v>
      </c>
      <c r="C51" s="16" t="s">
        <v>0</v>
      </c>
      <c r="D51" s="16"/>
      <c r="E51" s="636">
        <f>F51/0.702804</f>
        <v>249273031.97330123</v>
      </c>
      <c r="F51" s="608">
        <f>F52+F69</f>
        <v>175190083.962964</v>
      </c>
      <c r="G51" s="588"/>
      <c r="H51" s="588">
        <f>H52+H69</f>
        <v>175190083.962964</v>
      </c>
      <c r="I51" s="588">
        <f>I52</f>
        <v>0</v>
      </c>
      <c r="J51" s="588">
        <f>J52+J69</f>
        <v>175190083.962964</v>
      </c>
      <c r="K51" s="588" t="s">
        <v>885</v>
      </c>
      <c r="L51" s="588"/>
      <c r="M51" s="588"/>
      <c r="N51" s="588">
        <f>N52+N69</f>
        <v>30353437</v>
      </c>
      <c r="O51" s="588">
        <f>O52+O69</f>
        <v>25635086.034599997</v>
      </c>
      <c r="P51" s="588"/>
      <c r="Q51" s="294">
        <f t="shared" si="13"/>
        <v>200825169.99756399</v>
      </c>
      <c r="R51" s="610">
        <f t="shared" si="38"/>
        <v>1.1463272661026829</v>
      </c>
      <c r="S51" s="611">
        <v>200622040.38000014</v>
      </c>
      <c r="T51" s="573">
        <f>T52+T69</f>
        <v>196586276.62</v>
      </c>
      <c r="U51" s="575">
        <f t="shared" si="39"/>
        <v>1.1221312997461619</v>
      </c>
      <c r="V51" s="575">
        <v>1.1208148819717094</v>
      </c>
      <c r="W51" s="575">
        <f t="shared" si="16"/>
        <v>1.3164177744524608E-3</v>
      </c>
      <c r="X51" s="612">
        <f t="shared" si="40"/>
        <v>0.97889261899982261</v>
      </c>
      <c r="Y51" s="573">
        <f>Y52+Y69</f>
        <v>196586276.62</v>
      </c>
      <c r="Z51" s="575">
        <f t="shared" si="41"/>
        <v>1.1221312997461619</v>
      </c>
      <c r="AA51" s="575">
        <v>1.1208148819717094</v>
      </c>
      <c r="AB51" s="575">
        <f t="shared" si="6"/>
        <v>1.3164177744524608E-3</v>
      </c>
      <c r="AC51" s="612">
        <f t="shared" si="37"/>
        <v>0.97889261899982261</v>
      </c>
      <c r="AD51" s="613">
        <f>AD52+AD69</f>
        <v>168127974.13</v>
      </c>
      <c r="AE51" s="17">
        <f>AE52+AE69</f>
        <v>0</v>
      </c>
      <c r="AF51" s="17">
        <f>AF52+AF69</f>
        <v>1349615.73</v>
      </c>
      <c r="AG51" s="17">
        <f>AG52+AG69</f>
        <v>1244500.9800000018</v>
      </c>
      <c r="AH51" s="614">
        <f>AH52+AH69</f>
        <v>3177292.93</v>
      </c>
      <c r="AI51" s="620">
        <f t="shared" si="8"/>
        <v>166300296.93000001</v>
      </c>
      <c r="AJ51" s="17">
        <f t="shared" si="33"/>
        <v>169372475.10999998</v>
      </c>
      <c r="AK51" s="17">
        <f>AK52+AK69</f>
        <v>169477589.86000001</v>
      </c>
      <c r="AL51" s="575">
        <f t="shared" si="42"/>
        <v>0.96739259452508952</v>
      </c>
      <c r="AM51" s="574">
        <v>0.94515630356174041</v>
      </c>
      <c r="AN51" s="575">
        <f t="shared" si="11"/>
        <v>2.2236290963349115E-2</v>
      </c>
      <c r="AO51" s="522">
        <f t="shared" si="43"/>
        <v>0.84390611924817882</v>
      </c>
      <c r="AP51" s="582"/>
      <c r="AQ51" s="583"/>
      <c r="AR51" s="583"/>
      <c r="AS51" s="583"/>
      <c r="AT51" s="571"/>
      <c r="AU51" s="583"/>
      <c r="AV51" s="583"/>
      <c r="AW51" s="584"/>
    </row>
    <row r="52" spans="1:49" s="59" customFormat="1" ht="33">
      <c r="A52" s="14" t="s">
        <v>29</v>
      </c>
      <c r="B52" s="15" t="s">
        <v>1039</v>
      </c>
      <c r="C52" s="16" t="s">
        <v>0</v>
      </c>
      <c r="D52" s="16"/>
      <c r="E52" s="636">
        <f>F52/0.702804</f>
        <v>236865097.47093642</v>
      </c>
      <c r="F52" s="608">
        <f>F53+F59+F60+F63+F64+F65+F66+F67+F68</f>
        <v>166469737.962964</v>
      </c>
      <c r="G52" s="588"/>
      <c r="H52" s="588">
        <f>H53+H59+H60+H63+H64+H65+H66+H67+H68</f>
        <v>166469737.962964</v>
      </c>
      <c r="I52" s="588">
        <f>I64</f>
        <v>0</v>
      </c>
      <c r="J52" s="588">
        <f>J53+J59+J60+J63+J64+J65+J66+J67+J68</f>
        <v>166469737.962964</v>
      </c>
      <c r="K52" s="588" t="s">
        <v>885</v>
      </c>
      <c r="L52" s="588"/>
      <c r="M52" s="588"/>
      <c r="N52" s="588">
        <f>N53+N59+N60+N63+N64+N65+N66+N67+N68</f>
        <v>29153437</v>
      </c>
      <c r="O52" s="588">
        <f>O53+O59+O60+O63+O64+O65+O66+O67+O68</f>
        <v>24598886.034599997</v>
      </c>
      <c r="P52" s="588"/>
      <c r="Q52" s="294">
        <f t="shared" si="13"/>
        <v>191068623.99756399</v>
      </c>
      <c r="R52" s="610">
        <f t="shared" si="38"/>
        <v>1.1477679146709099</v>
      </c>
      <c r="S52" s="611">
        <v>190398014.48000014</v>
      </c>
      <c r="T52" s="573">
        <f>T53+T59+T60+T63+T64+T65+T66+T67+T68</f>
        <v>186877677.06999999</v>
      </c>
      <c r="U52" s="575">
        <f t="shared" si="39"/>
        <v>1.1225924865189392</v>
      </c>
      <c r="V52" s="575">
        <v>1.1212071095543246</v>
      </c>
      <c r="W52" s="575">
        <f t="shared" si="16"/>
        <v>1.3853769646146041E-3</v>
      </c>
      <c r="X52" s="612">
        <f t="shared" si="40"/>
        <v>0.97806575020073716</v>
      </c>
      <c r="Y52" s="573">
        <f>Y53+Y59+Y60+Y63+Y64+Y65+Y66+Y67+Y68</f>
        <v>186877677.06999999</v>
      </c>
      <c r="Z52" s="575">
        <f t="shared" si="41"/>
        <v>1.1225924865189392</v>
      </c>
      <c r="AA52" s="575">
        <v>1.1212071095543246</v>
      </c>
      <c r="AB52" s="575">
        <f t="shared" si="6"/>
        <v>1.3853769646146041E-3</v>
      </c>
      <c r="AC52" s="612">
        <f t="shared" si="37"/>
        <v>0.97806575020073716</v>
      </c>
      <c r="AD52" s="613">
        <f>AD53+AD59+AD60+AD63+AD64+AD65+AD66+AD67+AD68</f>
        <v>159933809.21000001</v>
      </c>
      <c r="AE52" s="17">
        <f>AE53+AE59+AE60+AE63+AE64+AE65+AE66+AE67+AE68</f>
        <v>0</v>
      </c>
      <c r="AF52" s="17">
        <f>AF53+AF59+AF60+AF63+AF64+AF65+AF66+AF67+AF68</f>
        <v>1349615.73</v>
      </c>
      <c r="AG52" s="17">
        <f>AG53+AG59+AG60+AG63+AG64+AG65+AG66+AG67+AG68</f>
        <v>1244500.9800000018</v>
      </c>
      <c r="AH52" s="614">
        <f>AH53+AH59+AH60+AH63+AH64+AH65+AH66+AH67+AH68</f>
        <v>3177292.93</v>
      </c>
      <c r="AI52" s="573">
        <f t="shared" si="8"/>
        <v>158106132.01000002</v>
      </c>
      <c r="AJ52" s="17">
        <f t="shared" si="33"/>
        <v>161178310.19</v>
      </c>
      <c r="AK52" s="17">
        <f>AK53+AK59+AK60+AK63+AK64+AK65+AK66+AK67+AK68</f>
        <v>161283424.94000003</v>
      </c>
      <c r="AL52" s="575">
        <f t="shared" si="42"/>
        <v>0.96884531034632959</v>
      </c>
      <c r="AM52" s="574">
        <v>0.94594998007661024</v>
      </c>
      <c r="AN52" s="575">
        <f t="shared" si="11"/>
        <v>2.2895330269719349E-2</v>
      </c>
      <c r="AO52" s="522">
        <f t="shared" si="43"/>
        <v>0.84411255791561202</v>
      </c>
      <c r="AP52" s="582"/>
      <c r="AQ52" s="583"/>
      <c r="AR52" s="583"/>
      <c r="AS52" s="583"/>
      <c r="AT52" s="571"/>
      <c r="AU52" s="583"/>
      <c r="AV52" s="583"/>
      <c r="AW52" s="584"/>
    </row>
    <row r="53" spans="1:49" s="59" customFormat="1" ht="148.5">
      <c r="A53" s="19" t="s">
        <v>30</v>
      </c>
      <c r="B53" s="20" t="s">
        <v>1040</v>
      </c>
      <c r="C53" s="21" t="s">
        <v>0</v>
      </c>
      <c r="D53" s="21"/>
      <c r="E53" s="637">
        <f>F53/0.702804</f>
        <v>141763253.4318985</v>
      </c>
      <c r="F53" s="586">
        <f>SUM(F54:F58)</f>
        <v>99631781.564952001</v>
      </c>
      <c r="G53" s="331"/>
      <c r="H53" s="331">
        <f>SUM(H54:H58)</f>
        <v>99631781.564952001</v>
      </c>
      <c r="I53" s="331"/>
      <c r="J53" s="331">
        <f>SUM(J54:J58)</f>
        <v>99631781.564952001</v>
      </c>
      <c r="K53" s="588" t="s">
        <v>885</v>
      </c>
      <c r="L53" s="588"/>
      <c r="M53" s="588"/>
      <c r="N53" s="331">
        <f>SUM(N54:N58)</f>
        <v>10264083</v>
      </c>
      <c r="O53" s="331">
        <f>SUM(O54:O58)</f>
        <v>9394845</v>
      </c>
      <c r="P53" s="331"/>
      <c r="Q53" s="317">
        <f t="shared" si="13"/>
        <v>109026626.564952</v>
      </c>
      <c r="R53" s="589">
        <f t="shared" si="38"/>
        <v>1.0942956640183665</v>
      </c>
      <c r="S53" s="618">
        <v>91563499.970000118</v>
      </c>
      <c r="T53" s="626">
        <f>SUM(T54:T58)</f>
        <v>107116536.61999999</v>
      </c>
      <c r="U53" s="591">
        <f t="shared" si="39"/>
        <v>1.0751241715994864</v>
      </c>
      <c r="V53" s="591">
        <v>1.0669435400926088</v>
      </c>
      <c r="W53" s="591">
        <f t="shared" si="16"/>
        <v>8.1806315068775337E-3</v>
      </c>
      <c r="X53" s="593">
        <f t="shared" si="40"/>
        <v>0.98248051870325381</v>
      </c>
      <c r="Y53" s="619">
        <f>SUM(Y54:Y58)</f>
        <v>107116536.61999999</v>
      </c>
      <c r="Z53" s="591">
        <f t="shared" si="41"/>
        <v>1.0751241715994864</v>
      </c>
      <c r="AA53" s="591">
        <v>1.0669435400926088</v>
      </c>
      <c r="AB53" s="591">
        <f t="shared" si="6"/>
        <v>8.1806315068775337E-3</v>
      </c>
      <c r="AC53" s="593">
        <f t="shared" si="37"/>
        <v>0.98248051870325381</v>
      </c>
      <c r="AD53" s="621">
        <f>SUM(AD54:AD57)</f>
        <v>81869644.320000008</v>
      </c>
      <c r="AE53" s="23">
        <f>SUM(AE54:AE57)</f>
        <v>0</v>
      </c>
      <c r="AF53" s="23">
        <f>SUM(AF54:AF57)</f>
        <v>168158.4</v>
      </c>
      <c r="AG53" s="23">
        <f>SUM(AG54:AG57)</f>
        <v>85879.580000001893</v>
      </c>
      <c r="AH53" s="622">
        <f>SUM(AH54:AH57)</f>
        <v>378.62</v>
      </c>
      <c r="AI53" s="620">
        <f t="shared" si="8"/>
        <v>82037424.099999994</v>
      </c>
      <c r="AJ53" s="332">
        <f t="shared" ref="AJ53:AJ68" si="44">AD53+AE53+AG53-AH53</f>
        <v>81955145.280000001</v>
      </c>
      <c r="AK53" s="23">
        <f>SUM(AK54:AK57)</f>
        <v>82037802.719999999</v>
      </c>
      <c r="AL53" s="591">
        <f t="shared" si="42"/>
        <v>0.82340997452221476</v>
      </c>
      <c r="AM53" s="598">
        <v>0.79693082578013907</v>
      </c>
      <c r="AN53" s="591">
        <f t="shared" si="11"/>
        <v>2.6479148742075687E-2</v>
      </c>
      <c r="AO53" s="599">
        <f t="shared" si="43"/>
        <v>0.75245658152255535</v>
      </c>
      <c r="AP53" s="600"/>
      <c r="AQ53" s="601"/>
      <c r="AR53" s="601"/>
      <c r="AS53" s="601"/>
      <c r="AT53" s="434"/>
      <c r="AU53" s="601"/>
      <c r="AV53" s="601"/>
      <c r="AW53" s="602"/>
    </row>
    <row r="54" spans="1:49" ht="115.5">
      <c r="A54" s="327" t="s">
        <v>243</v>
      </c>
      <c r="B54" s="328" t="s">
        <v>1041</v>
      </c>
      <c r="C54" s="329" t="s">
        <v>0</v>
      </c>
      <c r="D54" s="329" t="s">
        <v>1042</v>
      </c>
      <c r="E54" s="638">
        <v>30896185</v>
      </c>
      <c r="F54" s="639">
        <f>E54*0.702804</f>
        <v>21713962.402739998</v>
      </c>
      <c r="G54" s="331"/>
      <c r="H54" s="341">
        <f>F54</f>
        <v>21713962.402739998</v>
      </c>
      <c r="I54" s="331"/>
      <c r="J54" s="341">
        <f>H54</f>
        <v>21713962.402739998</v>
      </c>
      <c r="K54" s="588" t="s">
        <v>885</v>
      </c>
      <c r="L54" s="588"/>
      <c r="M54" s="588"/>
      <c r="N54" s="331">
        <f>2500000-2018050</f>
        <v>481950</v>
      </c>
      <c r="O54" s="331">
        <v>256996</v>
      </c>
      <c r="P54" s="331"/>
      <c r="Q54" s="317">
        <f>J54+O54</f>
        <v>21970958.402739998</v>
      </c>
      <c r="R54" s="589">
        <f>Q54/J54</f>
        <v>1.0118355183284085</v>
      </c>
      <c r="S54" s="590">
        <v>12621460.939999999</v>
      </c>
      <c r="T54" s="635">
        <v>20678857.66</v>
      </c>
      <c r="U54" s="591">
        <f t="shared" si="39"/>
        <v>0.95232999286167219</v>
      </c>
      <c r="V54" s="592">
        <v>0.93676624078308668</v>
      </c>
      <c r="W54" s="591">
        <f t="shared" si="16"/>
        <v>1.5563752078585513E-2</v>
      </c>
      <c r="X54" s="593">
        <f t="shared" si="40"/>
        <v>0.94119051526769715</v>
      </c>
      <c r="Y54" s="635">
        <v>20678857.66</v>
      </c>
      <c r="Z54" s="591">
        <f t="shared" si="41"/>
        <v>0.95232999286167219</v>
      </c>
      <c r="AA54" s="592">
        <v>0.93676624078308668</v>
      </c>
      <c r="AB54" s="591">
        <f t="shared" si="6"/>
        <v>1.5563752078585513E-2</v>
      </c>
      <c r="AC54" s="593">
        <f t="shared" si="37"/>
        <v>0.94119051526769715</v>
      </c>
      <c r="AD54" s="604">
        <v>12453228.279999999</v>
      </c>
      <c r="AE54" s="596">
        <v>0</v>
      </c>
      <c r="AF54" s="22">
        <v>168158.4</v>
      </c>
      <c r="AG54" s="22">
        <v>85879.580000001893</v>
      </c>
      <c r="AH54" s="606">
        <v>96.1</v>
      </c>
      <c r="AI54" s="594">
        <f t="shared" si="8"/>
        <v>12621290.58</v>
      </c>
      <c r="AJ54" s="332">
        <f t="shared" si="44"/>
        <v>12539011.760000002</v>
      </c>
      <c r="AK54" s="332">
        <f>SUM(AD54:AF54)</f>
        <v>12621386.68</v>
      </c>
      <c r="AL54" s="591">
        <f t="shared" si="42"/>
        <v>0.58125672532284378</v>
      </c>
      <c r="AM54" s="598">
        <v>0.54871087761284176</v>
      </c>
      <c r="AN54" s="591">
        <f t="shared" si="11"/>
        <v>3.2545847710002018E-2</v>
      </c>
      <c r="AO54" s="599">
        <f t="shared" si="43"/>
        <v>0.57445772044363741</v>
      </c>
      <c r="AP54" s="600"/>
      <c r="AQ54" s="601"/>
      <c r="AR54" s="601"/>
      <c r="AS54" s="601"/>
      <c r="AT54" s="434"/>
      <c r="AU54" s="601"/>
      <c r="AV54" s="601"/>
      <c r="AW54" s="602"/>
    </row>
    <row r="55" spans="1:49" ht="66">
      <c r="A55" s="327" t="s">
        <v>171</v>
      </c>
      <c r="B55" s="328" t="s">
        <v>1043</v>
      </c>
      <c r="C55" s="329" t="s">
        <v>0</v>
      </c>
      <c r="D55" s="329" t="s">
        <v>815</v>
      </c>
      <c r="E55" s="585"/>
      <c r="F55" s="586">
        <f>99432869*0.702804</f>
        <v>69881818.064676002</v>
      </c>
      <c r="G55" s="331"/>
      <c r="H55" s="331">
        <f>99432869*0.702804</f>
        <v>69881818.064676002</v>
      </c>
      <c r="I55" s="331"/>
      <c r="J55" s="331">
        <f>H55</f>
        <v>69881818.064676002</v>
      </c>
      <c r="K55" s="588" t="s">
        <v>885</v>
      </c>
      <c r="L55" s="588"/>
      <c r="M55" s="588"/>
      <c r="N55" s="331">
        <v>8238007</v>
      </c>
      <c r="O55" s="331">
        <v>7593723</v>
      </c>
      <c r="P55" s="331"/>
      <c r="Q55" s="317">
        <f t="shared" si="13"/>
        <v>77475541.064676002</v>
      </c>
      <c r="R55" s="589">
        <f t="shared" ref="R55:R68" si="45">Q55/J55</f>
        <v>1.1086652180825056</v>
      </c>
      <c r="S55" s="590">
        <v>72854240.790000111</v>
      </c>
      <c r="T55" s="626">
        <v>76857800.280000001</v>
      </c>
      <c r="U55" s="591">
        <f t="shared" si="39"/>
        <v>1.0998254253898732</v>
      </c>
      <c r="V55" s="592">
        <v>1.0998254253898732</v>
      </c>
      <c r="W55" s="591">
        <f t="shared" si="16"/>
        <v>0</v>
      </c>
      <c r="X55" s="593">
        <f t="shared" si="40"/>
        <v>0.99202663477806097</v>
      </c>
      <c r="Y55" s="626">
        <v>76857800.280000001</v>
      </c>
      <c r="Z55" s="591">
        <f t="shared" si="41"/>
        <v>1.0998254253898732</v>
      </c>
      <c r="AA55" s="592">
        <v>1.0998254253898732</v>
      </c>
      <c r="AB55" s="591">
        <f t="shared" si="6"/>
        <v>0</v>
      </c>
      <c r="AC55" s="593">
        <f t="shared" si="37"/>
        <v>0.99202663477806097</v>
      </c>
      <c r="AD55" s="604">
        <v>64353400.920000002</v>
      </c>
      <c r="AE55" s="596">
        <v>0</v>
      </c>
      <c r="AF55" s="596">
        <v>0</v>
      </c>
      <c r="AG55" s="596">
        <v>0</v>
      </c>
      <c r="AH55" s="597">
        <v>36.119999999999997</v>
      </c>
      <c r="AI55" s="594">
        <f t="shared" si="8"/>
        <v>64353364.800000004</v>
      </c>
      <c r="AJ55" s="332">
        <f t="shared" si="44"/>
        <v>64353364.800000004</v>
      </c>
      <c r="AK55" s="332">
        <f>SUM(AD55:AF55)</f>
        <v>64353400.920000002</v>
      </c>
      <c r="AL55" s="591">
        <f t="shared" si="42"/>
        <v>0.9208890481418297</v>
      </c>
      <c r="AM55" s="598">
        <v>0.89859340582528302</v>
      </c>
      <c r="AN55" s="591">
        <f t="shared" si="11"/>
        <v>2.2295642316546682E-2</v>
      </c>
      <c r="AO55" s="599">
        <f t="shared" si="43"/>
        <v>0.83062860917974446</v>
      </c>
      <c r="AP55" s="600"/>
      <c r="AQ55" s="601"/>
      <c r="AR55" s="601"/>
      <c r="AS55" s="601"/>
      <c r="AT55" s="434"/>
      <c r="AU55" s="601"/>
      <c r="AV55" s="601"/>
      <c r="AW55" s="602"/>
    </row>
    <row r="56" spans="1:49" ht="181.5">
      <c r="A56" s="327" t="s">
        <v>1044</v>
      </c>
      <c r="B56" s="328" t="s">
        <v>1045</v>
      </c>
      <c r="C56" s="329" t="s">
        <v>0</v>
      </c>
      <c r="D56" s="329" t="s">
        <v>1042</v>
      </c>
      <c r="E56" s="638">
        <v>2796304</v>
      </c>
      <c r="F56" s="639">
        <f>2796304*0.702804</f>
        <v>1965253.6364159998</v>
      </c>
      <c r="G56" s="331"/>
      <c r="H56" s="341">
        <f>F56</f>
        <v>1965253.6364159998</v>
      </c>
      <c r="I56" s="331"/>
      <c r="J56" s="341">
        <f>F56</f>
        <v>1965253.6364159998</v>
      </c>
      <c r="K56" s="588" t="s">
        <v>885</v>
      </c>
      <c r="L56" s="588"/>
      <c r="M56" s="588"/>
      <c r="N56" s="331">
        <v>0</v>
      </c>
      <c r="O56" s="331">
        <v>0</v>
      </c>
      <c r="P56" s="331"/>
      <c r="Q56" s="317">
        <f>J56+O56</f>
        <v>1965253.6364159998</v>
      </c>
      <c r="R56" s="589">
        <f t="shared" si="45"/>
        <v>1</v>
      </c>
      <c r="S56" s="590">
        <v>1992268.84</v>
      </c>
      <c r="T56" s="635">
        <v>1965252.94</v>
      </c>
      <c r="U56" s="591">
        <f t="shared" si="39"/>
        <v>0.99999964563556221</v>
      </c>
      <c r="V56" s="592">
        <v>0.81931804996750768</v>
      </c>
      <c r="W56" s="591">
        <f t="shared" si="16"/>
        <v>0.18068159566805453</v>
      </c>
      <c r="X56" s="593">
        <f t="shared" si="40"/>
        <v>0.99999964563556221</v>
      </c>
      <c r="Y56" s="635">
        <v>1965252.94</v>
      </c>
      <c r="Z56" s="591">
        <f t="shared" si="41"/>
        <v>0.99999964563556221</v>
      </c>
      <c r="AA56" s="592">
        <v>0.81931804996750768</v>
      </c>
      <c r="AB56" s="591">
        <f t="shared" si="6"/>
        <v>0.18068159566805453</v>
      </c>
      <c r="AC56" s="593">
        <f t="shared" si="37"/>
        <v>0.99999964563556221</v>
      </c>
      <c r="AD56" s="623">
        <v>1992268.8399999999</v>
      </c>
      <c r="AE56" s="596">
        <v>0</v>
      </c>
      <c r="AF56" s="596">
        <v>0</v>
      </c>
      <c r="AG56" s="596">
        <v>0</v>
      </c>
      <c r="AH56" s="597">
        <v>0</v>
      </c>
      <c r="AI56" s="594">
        <f t="shared" si="8"/>
        <v>1992268.8399999999</v>
      </c>
      <c r="AJ56" s="332">
        <f t="shared" si="44"/>
        <v>1992268.8399999999</v>
      </c>
      <c r="AK56" s="332">
        <f>SUM(AD56:AF56)</f>
        <v>1992268.8399999999</v>
      </c>
      <c r="AL56" s="591">
        <f t="shared" si="42"/>
        <v>1.0137464208606006</v>
      </c>
      <c r="AM56" s="598">
        <v>0.83058103502942904</v>
      </c>
      <c r="AN56" s="591">
        <f t="shared" si="11"/>
        <v>0.18316538583117159</v>
      </c>
      <c r="AO56" s="599">
        <f t="shared" si="43"/>
        <v>1.0137464208606006</v>
      </c>
      <c r="AP56" s="600"/>
      <c r="AQ56" s="601"/>
      <c r="AR56" s="601"/>
      <c r="AS56" s="601"/>
      <c r="AT56" s="434"/>
      <c r="AU56" s="601"/>
      <c r="AV56" s="601"/>
      <c r="AW56" s="602"/>
    </row>
    <row r="57" spans="1:49" ht="82.5">
      <c r="A57" s="327" t="s">
        <v>1046</v>
      </c>
      <c r="B57" s="328" t="s">
        <v>1047</v>
      </c>
      <c r="C57" s="329" t="s">
        <v>0</v>
      </c>
      <c r="D57" s="640" t="s">
        <v>815</v>
      </c>
      <c r="E57" s="641"/>
      <c r="F57" s="586">
        <v>3070747.4611200001</v>
      </c>
      <c r="G57" s="331"/>
      <c r="H57" s="331">
        <v>3070747.4611200001</v>
      </c>
      <c r="I57" s="331"/>
      <c r="J57" s="331">
        <v>3070747.4611200001</v>
      </c>
      <c r="K57" s="588" t="s">
        <v>885</v>
      </c>
      <c r="L57" s="588"/>
      <c r="M57" s="588"/>
      <c r="N57" s="331">
        <v>0</v>
      </c>
      <c r="O57" s="331">
        <v>0</v>
      </c>
      <c r="P57" s="331"/>
      <c r="Q57" s="317">
        <f t="shared" si="13"/>
        <v>3070747.4611200001</v>
      </c>
      <c r="R57" s="589">
        <f t="shared" si="45"/>
        <v>1</v>
      </c>
      <c r="S57" s="590">
        <v>4095529.4000000102</v>
      </c>
      <c r="T57" s="586">
        <v>3070499.88</v>
      </c>
      <c r="U57" s="591">
        <f t="shared" si="39"/>
        <v>0.99991937431419065</v>
      </c>
      <c r="V57" s="592">
        <v>0.99991937431419065</v>
      </c>
      <c r="W57" s="591">
        <f t="shared" si="16"/>
        <v>0</v>
      </c>
      <c r="X57" s="593">
        <f t="shared" si="40"/>
        <v>0.99991937431419065</v>
      </c>
      <c r="Y57" s="594">
        <v>3070499.88</v>
      </c>
      <c r="Z57" s="591">
        <f t="shared" si="41"/>
        <v>0.99991937431419065</v>
      </c>
      <c r="AA57" s="592">
        <v>0.99991937431419065</v>
      </c>
      <c r="AB57" s="591">
        <f t="shared" si="6"/>
        <v>0</v>
      </c>
      <c r="AC57" s="593">
        <f t="shared" si="37"/>
        <v>0.99991937431419065</v>
      </c>
      <c r="AD57" s="623">
        <v>3070746.28</v>
      </c>
      <c r="AE57" s="596">
        <v>0</v>
      </c>
      <c r="AF57" s="596">
        <v>0</v>
      </c>
      <c r="AG57" s="596">
        <v>0</v>
      </c>
      <c r="AH57" s="597">
        <v>246.4</v>
      </c>
      <c r="AI57" s="594">
        <f t="shared" si="8"/>
        <v>3070499.88</v>
      </c>
      <c r="AJ57" s="332">
        <f t="shared" si="44"/>
        <v>3070499.88</v>
      </c>
      <c r="AK57" s="332">
        <f>SUM(AD57:AF57)</f>
        <v>3070746.28</v>
      </c>
      <c r="AL57" s="591">
        <f t="shared" si="42"/>
        <v>0.99999961536400661</v>
      </c>
      <c r="AM57" s="598">
        <v>0.99999961536400661</v>
      </c>
      <c r="AN57" s="591">
        <f t="shared" si="11"/>
        <v>0</v>
      </c>
      <c r="AO57" s="599">
        <f t="shared" si="43"/>
        <v>0.99999961536400661</v>
      </c>
      <c r="AP57" s="600"/>
      <c r="AQ57" s="601"/>
      <c r="AR57" s="601"/>
      <c r="AS57" s="601"/>
      <c r="AT57" s="434"/>
      <c r="AU57" s="601"/>
      <c r="AV57" s="601"/>
      <c r="AW57" s="602"/>
    </row>
    <row r="58" spans="1:49" ht="49.5">
      <c r="A58" s="327" t="s">
        <v>384</v>
      </c>
      <c r="B58" s="328" t="s">
        <v>1048</v>
      </c>
      <c r="C58" s="329" t="s">
        <v>0</v>
      </c>
      <c r="D58" s="640" t="s">
        <v>1042</v>
      </c>
      <c r="E58" s="641"/>
      <c r="F58" s="331">
        <v>3000000</v>
      </c>
      <c r="G58" s="331"/>
      <c r="H58" s="331">
        <v>3000000</v>
      </c>
      <c r="I58" s="331"/>
      <c r="J58" s="331">
        <v>3000000</v>
      </c>
      <c r="K58" s="588" t="s">
        <v>885</v>
      </c>
      <c r="L58" s="588"/>
      <c r="M58" s="588"/>
      <c r="N58" s="331">
        <f>4000000-840132-1615742</f>
        <v>1544126</v>
      </c>
      <c r="O58" s="331">
        <f>N58*1</f>
        <v>1544126</v>
      </c>
      <c r="P58" s="331"/>
      <c r="Q58" s="317">
        <f t="shared" si="13"/>
        <v>4544126</v>
      </c>
      <c r="R58" s="589">
        <f t="shared" si="45"/>
        <v>1.5147086666666667</v>
      </c>
      <c r="S58" s="590">
        <v>0</v>
      </c>
      <c r="T58" s="586">
        <v>4544125.8600000003</v>
      </c>
      <c r="U58" s="591">
        <f t="shared" si="39"/>
        <v>1.5147086200000002</v>
      </c>
      <c r="V58" s="592">
        <v>1.5147086200000002</v>
      </c>
      <c r="W58" s="591">
        <f t="shared" si="16"/>
        <v>0</v>
      </c>
      <c r="X58" s="593">
        <f t="shared" si="40"/>
        <v>0.99999996919099521</v>
      </c>
      <c r="Y58" s="594">
        <v>4544125.8600000003</v>
      </c>
      <c r="Z58" s="591">
        <f t="shared" si="41"/>
        <v>1.5147086200000002</v>
      </c>
      <c r="AA58" s="592">
        <v>1.5147086200000002</v>
      </c>
      <c r="AB58" s="591">
        <f>Z58-AA58</f>
        <v>0</v>
      </c>
      <c r="AC58" s="593">
        <f t="shared" si="37"/>
        <v>0.99999996919099521</v>
      </c>
      <c r="AD58" s="623">
        <v>0</v>
      </c>
      <c r="AE58" s="596">
        <v>0</v>
      </c>
      <c r="AF58" s="596">
        <v>0</v>
      </c>
      <c r="AG58" s="596">
        <v>0</v>
      </c>
      <c r="AH58" s="597"/>
      <c r="AI58" s="594"/>
      <c r="AJ58" s="332">
        <f t="shared" si="44"/>
        <v>0</v>
      </c>
      <c r="AK58" s="332">
        <v>0</v>
      </c>
      <c r="AL58" s="591">
        <v>0</v>
      </c>
      <c r="AM58" s="598">
        <v>0</v>
      </c>
      <c r="AN58" s="591">
        <v>0</v>
      </c>
      <c r="AO58" s="599">
        <f t="shared" si="43"/>
        <v>0</v>
      </c>
      <c r="AP58" s="600"/>
      <c r="AQ58" s="601"/>
      <c r="AR58" s="601"/>
      <c r="AS58" s="601"/>
      <c r="AT58" s="434"/>
      <c r="AU58" s="601"/>
      <c r="AV58" s="601"/>
      <c r="AW58" s="602"/>
    </row>
    <row r="59" spans="1:49" ht="99">
      <c r="A59" s="327" t="s">
        <v>1049</v>
      </c>
      <c r="B59" s="328" t="s">
        <v>1050</v>
      </c>
      <c r="C59" s="329" t="s">
        <v>0</v>
      </c>
      <c r="D59" s="640" t="s">
        <v>1042</v>
      </c>
      <c r="E59" s="642">
        <v>12817551</v>
      </c>
      <c r="F59" s="341">
        <f>12817551*0.702804</f>
        <v>9008226.113003999</v>
      </c>
      <c r="G59" s="331"/>
      <c r="H59" s="341">
        <f>F59</f>
        <v>9008226.113003999</v>
      </c>
      <c r="I59" s="331"/>
      <c r="J59" s="341">
        <f>F59</f>
        <v>9008226.113003999</v>
      </c>
      <c r="K59" s="588" t="s">
        <v>885</v>
      </c>
      <c r="L59" s="588"/>
      <c r="M59" s="588"/>
      <c r="N59" s="331">
        <v>0</v>
      </c>
      <c r="O59" s="331">
        <v>0</v>
      </c>
      <c r="P59" s="331"/>
      <c r="Q59" s="317">
        <f t="shared" si="13"/>
        <v>9008226.113003999</v>
      </c>
      <c r="R59" s="589">
        <f t="shared" si="45"/>
        <v>1</v>
      </c>
      <c r="S59" s="590">
        <v>14315238</v>
      </c>
      <c r="T59" s="623">
        <v>8461940</v>
      </c>
      <c r="U59" s="591">
        <f>T59/J59</f>
        <v>0.93935697148904851</v>
      </c>
      <c r="V59" s="592">
        <v>1</v>
      </c>
      <c r="W59" s="591">
        <f>U59-V59</f>
        <v>-6.0643028510951491E-2</v>
      </c>
      <c r="X59" s="593">
        <f t="shared" si="40"/>
        <v>0.93935697148904851</v>
      </c>
      <c r="Y59" s="623">
        <v>8461940</v>
      </c>
      <c r="Z59" s="591">
        <f t="shared" si="41"/>
        <v>0.93935697148904851</v>
      </c>
      <c r="AA59" s="592">
        <v>1</v>
      </c>
      <c r="AB59" s="591">
        <f t="shared" ref="AB59:AB122" si="46">Z59-AA59</f>
        <v>-6.0643028510951491E-2</v>
      </c>
      <c r="AC59" s="593">
        <f t="shared" si="37"/>
        <v>0.93935697148904851</v>
      </c>
      <c r="AD59" s="623">
        <v>12167953</v>
      </c>
      <c r="AE59" s="596">
        <v>0</v>
      </c>
      <c r="AF59" s="596">
        <v>0</v>
      </c>
      <c r="AG59" s="596">
        <v>0</v>
      </c>
      <c r="AH59" s="606">
        <v>3159726</v>
      </c>
      <c r="AI59" s="594">
        <f>AK59-AH59</f>
        <v>9008227</v>
      </c>
      <c r="AJ59" s="332">
        <f t="shared" si="44"/>
        <v>9008227</v>
      </c>
      <c r="AK59" s="332">
        <f>SUM(AD59:AF59)</f>
        <v>12167953</v>
      </c>
      <c r="AL59" s="591">
        <f t="shared" ref="AL59:AL64" si="47">AK59/J59</f>
        <v>1.3507601660258857</v>
      </c>
      <c r="AM59" s="598">
        <v>1.4379625712307107</v>
      </c>
      <c r="AN59" s="591">
        <f t="shared" ref="AN59:AN122" si="48">AL59-AM59</f>
        <v>-8.7202405204825029E-2</v>
      </c>
      <c r="AO59" s="599">
        <f t="shared" si="43"/>
        <v>1.3507601660258857</v>
      </c>
      <c r="AP59" s="600"/>
      <c r="AQ59" s="601"/>
      <c r="AR59" s="601"/>
      <c r="AS59" s="601"/>
      <c r="AT59" s="434"/>
      <c r="AU59" s="601"/>
      <c r="AV59" s="601"/>
      <c r="AW59" s="602"/>
    </row>
    <row r="60" spans="1:49" s="59" customFormat="1" ht="132">
      <c r="A60" s="19" t="s">
        <v>32</v>
      </c>
      <c r="B60" s="20" t="s">
        <v>1051</v>
      </c>
      <c r="C60" s="21" t="s">
        <v>0</v>
      </c>
      <c r="D60" s="643" t="s">
        <v>815</v>
      </c>
      <c r="E60" s="644"/>
      <c r="F60" s="331">
        <f>SUM(F61:F62)</f>
        <v>6205088.8449839996</v>
      </c>
      <c r="G60" s="331"/>
      <c r="H60" s="331">
        <f>SUM(H61:H62)</f>
        <v>6205088.8449839996</v>
      </c>
      <c r="I60" s="331"/>
      <c r="J60" s="331">
        <f>SUM(J61:J62)</f>
        <v>6205088.8449839996</v>
      </c>
      <c r="K60" s="588" t="s">
        <v>885</v>
      </c>
      <c r="L60" s="588"/>
      <c r="M60" s="588"/>
      <c r="N60" s="331">
        <f>SUM(N61:N62)</f>
        <v>0</v>
      </c>
      <c r="O60" s="331">
        <f>SUM(O61:O62)</f>
        <v>0</v>
      </c>
      <c r="P60" s="331"/>
      <c r="Q60" s="317">
        <f t="shared" si="13"/>
        <v>6205088.8449839996</v>
      </c>
      <c r="R60" s="589">
        <f t="shared" si="45"/>
        <v>1</v>
      </c>
      <c r="S60" s="618">
        <v>6827844.5300000003</v>
      </c>
      <c r="T60" s="619">
        <f>SUM(T61:T62)</f>
        <v>6029622.5099999998</v>
      </c>
      <c r="U60" s="591">
        <f t="shared" si="39"/>
        <v>0.97172218813178779</v>
      </c>
      <c r="V60" s="591">
        <v>0.97172218813178779</v>
      </c>
      <c r="W60" s="591">
        <f t="shared" si="16"/>
        <v>0</v>
      </c>
      <c r="X60" s="593">
        <f t="shared" si="40"/>
        <v>0.97172218813178779</v>
      </c>
      <c r="Y60" s="620">
        <f>SUM(Y61:Y62)</f>
        <v>6029622.5099999998</v>
      </c>
      <c r="Z60" s="591">
        <f t="shared" si="41"/>
        <v>0.97172218813178779</v>
      </c>
      <c r="AA60" s="591">
        <v>0.97172218813178779</v>
      </c>
      <c r="AB60" s="591">
        <f t="shared" si="46"/>
        <v>0</v>
      </c>
      <c r="AC60" s="593">
        <f t="shared" si="37"/>
        <v>0.97172218813178779</v>
      </c>
      <c r="AD60" s="621">
        <f>SUM(AD61:AD62)</f>
        <v>4548356.2</v>
      </c>
      <c r="AE60" s="23">
        <f>SUM(AE61:AE62)</f>
        <v>0</v>
      </c>
      <c r="AF60" s="23">
        <f>SUM(AF61:AF62)</f>
        <v>1181457.33</v>
      </c>
      <c r="AG60" s="23">
        <f>SUM(AG61:AG62)</f>
        <v>1158621.3999999999</v>
      </c>
      <c r="AH60" s="622">
        <f>SUM(AH61:AH62)</f>
        <v>16761.810000000001</v>
      </c>
      <c r="AI60" s="620">
        <f t="shared" ref="AI60:AI123" si="49">AK60-AH60</f>
        <v>5713051.7200000007</v>
      </c>
      <c r="AJ60" s="332">
        <f t="shared" si="44"/>
        <v>5690215.79</v>
      </c>
      <c r="AK60" s="23">
        <f>SUM(AK61:AK62)</f>
        <v>5729813.5300000003</v>
      </c>
      <c r="AL60" s="591">
        <f t="shared" si="47"/>
        <v>0.92340555842835403</v>
      </c>
      <c r="AM60" s="598">
        <v>0.92340555842835403</v>
      </c>
      <c r="AN60" s="591">
        <f t="shared" si="48"/>
        <v>0</v>
      </c>
      <c r="AO60" s="599">
        <f t="shared" si="43"/>
        <v>0.92340555842835403</v>
      </c>
      <c r="AP60" s="600"/>
      <c r="AQ60" s="601"/>
      <c r="AR60" s="601"/>
      <c r="AS60" s="601"/>
      <c r="AT60" s="434"/>
      <c r="AU60" s="601"/>
      <c r="AV60" s="601"/>
      <c r="AW60" s="602"/>
    </row>
    <row r="61" spans="1:49" ht="115.5">
      <c r="A61" s="327" t="s">
        <v>1052</v>
      </c>
      <c r="B61" s="328" t="s">
        <v>1053</v>
      </c>
      <c r="C61" s="329" t="s">
        <v>0</v>
      </c>
      <c r="D61" s="329" t="s">
        <v>815</v>
      </c>
      <c r="E61" s="585"/>
      <c r="F61" s="586">
        <v>519738.31688400003</v>
      </c>
      <c r="G61" s="331"/>
      <c r="H61" s="331">
        <v>519738.31688400003</v>
      </c>
      <c r="I61" s="331"/>
      <c r="J61" s="331">
        <v>519738.31688399997</v>
      </c>
      <c r="K61" s="588" t="s">
        <v>885</v>
      </c>
      <c r="L61" s="588"/>
      <c r="M61" s="588"/>
      <c r="N61" s="331">
        <v>0</v>
      </c>
      <c r="O61" s="331">
        <v>0</v>
      </c>
      <c r="P61" s="331"/>
      <c r="Q61" s="317">
        <f t="shared" si="13"/>
        <v>519738.31688399997</v>
      </c>
      <c r="R61" s="589">
        <f t="shared" si="45"/>
        <v>1</v>
      </c>
      <c r="S61" s="590">
        <v>718063</v>
      </c>
      <c r="T61" s="586">
        <v>519737.8</v>
      </c>
      <c r="U61" s="591">
        <f t="shared" si="39"/>
        <v>0.99999900549183462</v>
      </c>
      <c r="V61" s="592">
        <v>0.99999900549183462</v>
      </c>
      <c r="W61" s="591">
        <f t="shared" si="16"/>
        <v>0</v>
      </c>
      <c r="X61" s="593">
        <f t="shared" si="40"/>
        <v>0.99999900549183462</v>
      </c>
      <c r="Y61" s="594">
        <v>519737.8</v>
      </c>
      <c r="Z61" s="591">
        <f t="shared" si="41"/>
        <v>0.99999900549183462</v>
      </c>
      <c r="AA61" s="592">
        <v>0.99999900549183462</v>
      </c>
      <c r="AB61" s="591">
        <f t="shared" si="46"/>
        <v>0</v>
      </c>
      <c r="AC61" s="593">
        <f t="shared" si="37"/>
        <v>0.99999900549183462</v>
      </c>
      <c r="AD61" s="625">
        <v>536499.61</v>
      </c>
      <c r="AE61" s="22">
        <v>0</v>
      </c>
      <c r="AF61" s="22">
        <v>0</v>
      </c>
      <c r="AG61" s="22">
        <v>0</v>
      </c>
      <c r="AH61" s="606">
        <v>16761.810000000001</v>
      </c>
      <c r="AI61" s="594">
        <f t="shared" si="49"/>
        <v>519737.8</v>
      </c>
      <c r="AJ61" s="332">
        <f t="shared" si="44"/>
        <v>519737.8</v>
      </c>
      <c r="AK61" s="332">
        <f t="shared" ref="AK61:AK68" si="50">SUM(AD61:AF61)</f>
        <v>536499.61</v>
      </c>
      <c r="AL61" s="591">
        <f t="shared" si="47"/>
        <v>1.0322494851187602</v>
      </c>
      <c r="AM61" s="598">
        <v>1.0322494851187602</v>
      </c>
      <c r="AN61" s="591">
        <f t="shared" si="48"/>
        <v>0</v>
      </c>
      <c r="AO61" s="599">
        <f t="shared" si="43"/>
        <v>1.0322494851187602</v>
      </c>
      <c r="AP61" s="600"/>
      <c r="AQ61" s="601"/>
      <c r="AR61" s="601"/>
      <c r="AS61" s="601"/>
      <c r="AT61" s="434"/>
      <c r="AU61" s="601"/>
      <c r="AV61" s="601"/>
      <c r="AW61" s="602"/>
    </row>
    <row r="62" spans="1:49" ht="132">
      <c r="A62" s="327" t="s">
        <v>253</v>
      </c>
      <c r="B62" s="328" t="s">
        <v>1054</v>
      </c>
      <c r="C62" s="329" t="s">
        <v>0</v>
      </c>
      <c r="D62" s="329" t="s">
        <v>815</v>
      </c>
      <c r="E62" s="585"/>
      <c r="F62" s="586">
        <f>8089525*0.702804</f>
        <v>5685350.5280999998</v>
      </c>
      <c r="G62" s="331"/>
      <c r="H62" s="331">
        <f>8089525*0.702804</f>
        <v>5685350.5280999998</v>
      </c>
      <c r="I62" s="331"/>
      <c r="J62" s="331">
        <f>H62</f>
        <v>5685350.5280999998</v>
      </c>
      <c r="K62" s="588" t="s">
        <v>885</v>
      </c>
      <c r="L62" s="588"/>
      <c r="M62" s="588"/>
      <c r="N62" s="331">
        <v>0</v>
      </c>
      <c r="O62" s="331">
        <v>0</v>
      </c>
      <c r="P62" s="331"/>
      <c r="Q62" s="317">
        <f t="shared" si="13"/>
        <v>5685350.5280999998</v>
      </c>
      <c r="R62" s="589">
        <f t="shared" si="45"/>
        <v>1</v>
      </c>
      <c r="S62" s="590">
        <v>6109781.5300000003</v>
      </c>
      <c r="T62" s="586">
        <v>5509884.71</v>
      </c>
      <c r="U62" s="591">
        <f t="shared" si="39"/>
        <v>0.96913720319745367</v>
      </c>
      <c r="V62" s="592">
        <v>0.96913720319745367</v>
      </c>
      <c r="W62" s="591">
        <f t="shared" si="16"/>
        <v>0</v>
      </c>
      <c r="X62" s="593">
        <f t="shared" si="40"/>
        <v>0.96913720319745367</v>
      </c>
      <c r="Y62" s="594">
        <v>5509884.71</v>
      </c>
      <c r="Z62" s="591">
        <f t="shared" si="41"/>
        <v>0.96913720319745367</v>
      </c>
      <c r="AA62" s="592">
        <v>0.96913720319745367</v>
      </c>
      <c r="AB62" s="591">
        <f t="shared" si="46"/>
        <v>0</v>
      </c>
      <c r="AC62" s="593">
        <f t="shared" si="37"/>
        <v>0.96913720319745367</v>
      </c>
      <c r="AD62" s="625">
        <v>4011856.59</v>
      </c>
      <c r="AE62" s="22">
        <v>0</v>
      </c>
      <c r="AF62" s="22">
        <v>1181457.33</v>
      </c>
      <c r="AG62" s="605">
        <v>1158621.3999999999</v>
      </c>
      <c r="AH62" s="606">
        <v>0</v>
      </c>
      <c r="AI62" s="594">
        <f t="shared" si="49"/>
        <v>5193313.92</v>
      </c>
      <c r="AJ62" s="332">
        <f t="shared" si="44"/>
        <v>5170477.99</v>
      </c>
      <c r="AK62" s="332">
        <f t="shared" si="50"/>
        <v>5193313.92</v>
      </c>
      <c r="AL62" s="591">
        <f t="shared" si="47"/>
        <v>0.91345536116584269</v>
      </c>
      <c r="AM62" s="598">
        <v>0.91345536116584269</v>
      </c>
      <c r="AN62" s="591">
        <f t="shared" si="48"/>
        <v>0</v>
      </c>
      <c r="AO62" s="599">
        <f t="shared" si="43"/>
        <v>0.91345536116584269</v>
      </c>
      <c r="AP62" s="600"/>
      <c r="AQ62" s="601"/>
      <c r="AR62" s="601"/>
      <c r="AS62" s="601"/>
      <c r="AT62" s="434"/>
      <c r="AU62" s="601"/>
      <c r="AV62" s="601"/>
      <c r="AW62" s="602"/>
    </row>
    <row r="63" spans="1:49" ht="82.5">
      <c r="A63" s="327" t="s">
        <v>185</v>
      </c>
      <c r="B63" s="328" t="s">
        <v>1055</v>
      </c>
      <c r="C63" s="329" t="s">
        <v>0</v>
      </c>
      <c r="D63" s="329" t="s">
        <v>815</v>
      </c>
      <c r="E63" s="585"/>
      <c r="F63" s="586">
        <v>1970593.5412079999</v>
      </c>
      <c r="G63" s="331"/>
      <c r="H63" s="331">
        <v>1970593.5412079999</v>
      </c>
      <c r="I63" s="331"/>
      <c r="J63" s="331">
        <v>1970593.5412079999</v>
      </c>
      <c r="K63" s="588" t="s">
        <v>885</v>
      </c>
      <c r="L63" s="588"/>
      <c r="M63" s="588"/>
      <c r="N63" s="331">
        <v>0</v>
      </c>
      <c r="O63" s="331">
        <v>0</v>
      </c>
      <c r="P63" s="331"/>
      <c r="Q63" s="317">
        <f t="shared" si="13"/>
        <v>1970593.5412079999</v>
      </c>
      <c r="R63" s="589">
        <f t="shared" si="45"/>
        <v>1</v>
      </c>
      <c r="S63" s="590">
        <v>2363544.9</v>
      </c>
      <c r="T63" s="586">
        <v>1966107.66</v>
      </c>
      <c r="U63" s="591">
        <f t="shared" si="39"/>
        <v>0.99772358879992573</v>
      </c>
      <c r="V63" s="592">
        <v>0.99772358879992573</v>
      </c>
      <c r="W63" s="591">
        <f t="shared" si="16"/>
        <v>0</v>
      </c>
      <c r="X63" s="593">
        <f t="shared" si="40"/>
        <v>0.99772358879992573</v>
      </c>
      <c r="Y63" s="594">
        <v>1966107.66</v>
      </c>
      <c r="Z63" s="591">
        <f t="shared" si="41"/>
        <v>0.99772358879992573</v>
      </c>
      <c r="AA63" s="592">
        <v>0.99772358879992573</v>
      </c>
      <c r="AB63" s="591">
        <f t="shared" si="46"/>
        <v>0</v>
      </c>
      <c r="AC63" s="593">
        <f t="shared" si="37"/>
        <v>0.99772358879992573</v>
      </c>
      <c r="AD63" s="625">
        <v>1691381.79</v>
      </c>
      <c r="AE63" s="22">
        <v>0</v>
      </c>
      <c r="AF63" s="22">
        <v>0</v>
      </c>
      <c r="AG63" s="22">
        <v>0</v>
      </c>
      <c r="AH63" s="606">
        <v>0</v>
      </c>
      <c r="AI63" s="594">
        <f t="shared" si="49"/>
        <v>1691381.79</v>
      </c>
      <c r="AJ63" s="332">
        <f t="shared" si="44"/>
        <v>1691381.79</v>
      </c>
      <c r="AK63" s="332">
        <f t="shared" si="50"/>
        <v>1691381.79</v>
      </c>
      <c r="AL63" s="591">
        <f t="shared" si="47"/>
        <v>0.85831083611649339</v>
      </c>
      <c r="AM63" s="598">
        <v>0.84863469560285343</v>
      </c>
      <c r="AN63" s="591">
        <f t="shared" si="48"/>
        <v>9.6761405136399636E-3</v>
      </c>
      <c r="AO63" s="599">
        <f t="shared" si="43"/>
        <v>0.85831083611649339</v>
      </c>
      <c r="AP63" s="600"/>
      <c r="AQ63" s="601"/>
      <c r="AR63" s="601"/>
      <c r="AS63" s="601"/>
      <c r="AT63" s="434"/>
      <c r="AU63" s="601"/>
      <c r="AV63" s="601"/>
      <c r="AW63" s="602"/>
    </row>
    <row r="64" spans="1:49" ht="99">
      <c r="A64" s="327" t="s">
        <v>256</v>
      </c>
      <c r="B64" s="328" t="s">
        <v>1056</v>
      </c>
      <c r="C64" s="329" t="s">
        <v>0</v>
      </c>
      <c r="D64" s="329" t="s">
        <v>815</v>
      </c>
      <c r="E64" s="585"/>
      <c r="F64" s="586">
        <v>48697755.119052</v>
      </c>
      <c r="G64" s="331"/>
      <c r="H64" s="331">
        <v>48697755.119052</v>
      </c>
      <c r="I64" s="331"/>
      <c r="J64" s="331">
        <v>48697755.119052</v>
      </c>
      <c r="K64" s="588" t="s">
        <v>885</v>
      </c>
      <c r="L64" s="588"/>
      <c r="M64" s="588"/>
      <c r="N64" s="341">
        <f>15707779+3236445-54870</f>
        <v>18889354</v>
      </c>
      <c r="O64" s="341">
        <f>N64*0.8049</f>
        <v>15204041.034599999</v>
      </c>
      <c r="P64" s="331"/>
      <c r="Q64" s="317">
        <f t="shared" si="13"/>
        <v>63901796.153651997</v>
      </c>
      <c r="R64" s="589">
        <f t="shared" si="45"/>
        <v>1.3122123596340425</v>
      </c>
      <c r="S64" s="590">
        <v>74441370.840000004</v>
      </c>
      <c r="T64" s="626">
        <v>62446406.82</v>
      </c>
      <c r="U64" s="591">
        <f t="shared" si="39"/>
        <v>1.2823261907522534</v>
      </c>
      <c r="V64" s="592">
        <v>1.2823584528143579</v>
      </c>
      <c r="W64" s="591">
        <f t="shared" si="16"/>
        <v>-3.2262062104493339E-5</v>
      </c>
      <c r="X64" s="593">
        <f t="shared" si="40"/>
        <v>0.97722459427975217</v>
      </c>
      <c r="Y64" s="626">
        <v>62446406.82</v>
      </c>
      <c r="Z64" s="591">
        <f t="shared" si="41"/>
        <v>1.2823261907522534</v>
      </c>
      <c r="AA64" s="592">
        <v>1.2823584528143579</v>
      </c>
      <c r="AB64" s="591">
        <f t="shared" si="46"/>
        <v>-3.2262062104493339E-5</v>
      </c>
      <c r="AC64" s="593">
        <f t="shared" si="37"/>
        <v>0.97722459427975217</v>
      </c>
      <c r="AD64" s="604">
        <v>58961656.5</v>
      </c>
      <c r="AE64" s="22">
        <v>0</v>
      </c>
      <c r="AF64" s="22">
        <v>0</v>
      </c>
      <c r="AG64" s="22">
        <v>0</v>
      </c>
      <c r="AH64" s="606">
        <v>426.5</v>
      </c>
      <c r="AI64" s="594">
        <f t="shared" si="49"/>
        <v>58961230</v>
      </c>
      <c r="AJ64" s="332">
        <f t="shared" si="44"/>
        <v>58961230</v>
      </c>
      <c r="AK64" s="332">
        <f t="shared" si="50"/>
        <v>58961656.5</v>
      </c>
      <c r="AL64" s="591">
        <f t="shared" si="47"/>
        <v>1.2107674441225416</v>
      </c>
      <c r="AM64" s="598">
        <v>1.1783582912541675</v>
      </c>
      <c r="AN64" s="591">
        <f t="shared" si="48"/>
        <v>3.2409152868374091E-2</v>
      </c>
      <c r="AO64" s="599">
        <f t="shared" si="43"/>
        <v>0.92269169333247814</v>
      </c>
      <c r="AP64" s="600"/>
      <c r="AQ64" s="601"/>
      <c r="AR64" s="601"/>
      <c r="AS64" s="601"/>
      <c r="AT64" s="434"/>
      <c r="AU64" s="601"/>
      <c r="AV64" s="601"/>
      <c r="AW64" s="602"/>
    </row>
    <row r="65" spans="1:49" ht="82.5">
      <c r="A65" s="327" t="s">
        <v>33</v>
      </c>
      <c r="B65" s="328" t="s">
        <v>1057</v>
      </c>
      <c r="C65" s="329" t="s">
        <v>0</v>
      </c>
      <c r="D65" s="329" t="s">
        <v>815</v>
      </c>
      <c r="E65" s="585"/>
      <c r="F65" s="586">
        <v>0</v>
      </c>
      <c r="G65" s="331"/>
      <c r="H65" s="331">
        <v>0</v>
      </c>
      <c r="I65" s="331"/>
      <c r="J65" s="331">
        <v>0</v>
      </c>
      <c r="K65" s="588" t="s">
        <v>885</v>
      </c>
      <c r="L65" s="588"/>
      <c r="M65" s="588"/>
      <c r="N65" s="331">
        <v>0</v>
      </c>
      <c r="O65" s="331">
        <v>0</v>
      </c>
      <c r="P65" s="331"/>
      <c r="Q65" s="317">
        <f t="shared" si="13"/>
        <v>0</v>
      </c>
      <c r="R65" s="589">
        <v>0</v>
      </c>
      <c r="S65" s="590">
        <v>0</v>
      </c>
      <c r="T65" s="586">
        <v>0</v>
      </c>
      <c r="U65" s="591">
        <v>0</v>
      </c>
      <c r="V65" s="592">
        <v>0</v>
      </c>
      <c r="W65" s="591">
        <f t="shared" si="16"/>
        <v>0</v>
      </c>
      <c r="X65" s="593">
        <v>0</v>
      </c>
      <c r="Y65" s="594">
        <v>0</v>
      </c>
      <c r="Z65" s="591">
        <v>0</v>
      </c>
      <c r="AA65" s="592">
        <v>0</v>
      </c>
      <c r="AB65" s="591">
        <f t="shared" si="46"/>
        <v>0</v>
      </c>
      <c r="AC65" s="593">
        <v>0</v>
      </c>
      <c r="AD65" s="625">
        <v>0</v>
      </c>
      <c r="AE65" s="22">
        <v>0</v>
      </c>
      <c r="AF65" s="22">
        <v>0</v>
      </c>
      <c r="AG65" s="22">
        <v>0</v>
      </c>
      <c r="AH65" s="606">
        <v>0</v>
      </c>
      <c r="AI65" s="594">
        <f t="shared" si="49"/>
        <v>0</v>
      </c>
      <c r="AJ65" s="332">
        <f t="shared" si="44"/>
        <v>0</v>
      </c>
      <c r="AK65" s="332">
        <f t="shared" si="50"/>
        <v>0</v>
      </c>
      <c r="AL65" s="591">
        <v>0</v>
      </c>
      <c r="AM65" s="598">
        <v>0</v>
      </c>
      <c r="AN65" s="591">
        <f t="shared" si="48"/>
        <v>0</v>
      </c>
      <c r="AO65" s="599">
        <v>0</v>
      </c>
      <c r="AP65" s="600"/>
      <c r="AQ65" s="601"/>
      <c r="AR65" s="601"/>
      <c r="AS65" s="601"/>
      <c r="AT65" s="434"/>
      <c r="AU65" s="601"/>
      <c r="AV65" s="601"/>
      <c r="AW65" s="602"/>
    </row>
    <row r="66" spans="1:49" ht="132">
      <c r="A66" s="327" t="s">
        <v>34</v>
      </c>
      <c r="B66" s="328" t="s">
        <v>1058</v>
      </c>
      <c r="C66" s="329" t="s">
        <v>0</v>
      </c>
      <c r="D66" s="329" t="s">
        <v>815</v>
      </c>
      <c r="E66" s="585"/>
      <c r="F66" s="586">
        <v>850000</v>
      </c>
      <c r="G66" s="331"/>
      <c r="H66" s="331">
        <v>850000</v>
      </c>
      <c r="I66" s="331"/>
      <c r="J66" s="331">
        <v>850000</v>
      </c>
      <c r="K66" s="588" t="s">
        <v>885</v>
      </c>
      <c r="L66" s="588"/>
      <c r="M66" s="588"/>
      <c r="N66" s="331">
        <v>0</v>
      </c>
      <c r="O66" s="331">
        <v>0</v>
      </c>
      <c r="P66" s="331"/>
      <c r="Q66" s="317">
        <f t="shared" si="13"/>
        <v>850000</v>
      </c>
      <c r="R66" s="589">
        <f t="shared" si="45"/>
        <v>1</v>
      </c>
      <c r="S66" s="590">
        <v>785564.03</v>
      </c>
      <c r="T66" s="586">
        <v>756111.25</v>
      </c>
      <c r="U66" s="591">
        <f>T66/J66</f>
        <v>0.88954264705882358</v>
      </c>
      <c r="V66" s="592">
        <v>0.88954264705882358</v>
      </c>
      <c r="W66" s="591">
        <f t="shared" si="16"/>
        <v>0</v>
      </c>
      <c r="X66" s="593">
        <f>T66/Q66</f>
        <v>0.88954264705882358</v>
      </c>
      <c r="Y66" s="586">
        <v>756111.25</v>
      </c>
      <c r="Z66" s="591">
        <f>Y66/J66</f>
        <v>0.88954264705882358</v>
      </c>
      <c r="AA66" s="592">
        <v>0.88954264705882358</v>
      </c>
      <c r="AB66" s="591">
        <f t="shared" si="46"/>
        <v>0</v>
      </c>
      <c r="AC66" s="593">
        <f>Y66/Q66</f>
        <v>0.88954264705882358</v>
      </c>
      <c r="AD66" s="604">
        <v>593865.18999999994</v>
      </c>
      <c r="AE66" s="22">
        <v>0</v>
      </c>
      <c r="AF66" s="22">
        <v>0</v>
      </c>
      <c r="AG66" s="22">
        <v>0</v>
      </c>
      <c r="AH66" s="606">
        <v>0</v>
      </c>
      <c r="AI66" s="594">
        <f t="shared" si="49"/>
        <v>593865.18999999994</v>
      </c>
      <c r="AJ66" s="332">
        <f t="shared" si="44"/>
        <v>593865.18999999994</v>
      </c>
      <c r="AK66" s="332">
        <f t="shared" si="50"/>
        <v>593865.18999999994</v>
      </c>
      <c r="AL66" s="591">
        <f>AK66/J66</f>
        <v>0.69866492941176461</v>
      </c>
      <c r="AM66" s="598">
        <v>0.68543382352941173</v>
      </c>
      <c r="AN66" s="591">
        <f t="shared" si="48"/>
        <v>1.3231105882352878E-2</v>
      </c>
      <c r="AO66" s="599">
        <f>AK66/Q66</f>
        <v>0.69866492941176461</v>
      </c>
      <c r="AP66" s="600"/>
      <c r="AQ66" s="601"/>
      <c r="AR66" s="601"/>
      <c r="AS66" s="601"/>
      <c r="AT66" s="434"/>
      <c r="AU66" s="601"/>
      <c r="AV66" s="601"/>
      <c r="AW66" s="602"/>
    </row>
    <row r="67" spans="1:49" ht="165">
      <c r="A67" s="327" t="s">
        <v>35</v>
      </c>
      <c r="B67" s="328" t="s">
        <v>1059</v>
      </c>
      <c r="C67" s="329" t="s">
        <v>0</v>
      </c>
      <c r="D67" s="329" t="s">
        <v>815</v>
      </c>
      <c r="E67" s="585"/>
      <c r="F67" s="586">
        <v>0</v>
      </c>
      <c r="G67" s="331"/>
      <c r="H67" s="331">
        <v>0</v>
      </c>
      <c r="I67" s="331"/>
      <c r="J67" s="331">
        <v>0</v>
      </c>
      <c r="K67" s="588" t="s">
        <v>885</v>
      </c>
      <c r="L67" s="588"/>
      <c r="M67" s="588"/>
      <c r="N67" s="331">
        <v>0</v>
      </c>
      <c r="O67" s="331">
        <v>0</v>
      </c>
      <c r="P67" s="331"/>
      <c r="Q67" s="317">
        <f t="shared" si="13"/>
        <v>0</v>
      </c>
      <c r="R67" s="589">
        <v>0</v>
      </c>
      <c r="S67" s="590">
        <v>0</v>
      </c>
      <c r="T67" s="586">
        <v>0</v>
      </c>
      <c r="U67" s="591">
        <v>0</v>
      </c>
      <c r="V67" s="592">
        <v>0</v>
      </c>
      <c r="W67" s="591">
        <f t="shared" si="16"/>
        <v>0</v>
      </c>
      <c r="X67" s="593">
        <v>0</v>
      </c>
      <c r="Y67" s="594">
        <v>0</v>
      </c>
      <c r="Z67" s="591">
        <v>0</v>
      </c>
      <c r="AA67" s="592">
        <v>0</v>
      </c>
      <c r="AB67" s="591">
        <f t="shared" si="46"/>
        <v>0</v>
      </c>
      <c r="AC67" s="593">
        <v>0</v>
      </c>
      <c r="AD67" s="625">
        <v>0</v>
      </c>
      <c r="AE67" s="22">
        <v>0</v>
      </c>
      <c r="AF67" s="22">
        <v>0</v>
      </c>
      <c r="AG67" s="22">
        <v>0</v>
      </c>
      <c r="AH67" s="606">
        <v>0</v>
      </c>
      <c r="AI67" s="594">
        <f t="shared" si="49"/>
        <v>0</v>
      </c>
      <c r="AJ67" s="332">
        <f t="shared" si="44"/>
        <v>0</v>
      </c>
      <c r="AK67" s="332">
        <f t="shared" si="50"/>
        <v>0</v>
      </c>
      <c r="AL67" s="591">
        <v>0</v>
      </c>
      <c r="AM67" s="598">
        <v>0</v>
      </c>
      <c r="AN67" s="591">
        <f t="shared" si="48"/>
        <v>0</v>
      </c>
      <c r="AO67" s="599">
        <v>0</v>
      </c>
      <c r="AP67" s="600"/>
      <c r="AQ67" s="601"/>
      <c r="AR67" s="601"/>
      <c r="AS67" s="601"/>
      <c r="AT67" s="434"/>
      <c r="AU67" s="601"/>
      <c r="AV67" s="601"/>
      <c r="AW67" s="602"/>
    </row>
    <row r="68" spans="1:49" ht="66">
      <c r="A68" s="327" t="s">
        <v>178</v>
      </c>
      <c r="B68" s="328" t="s">
        <v>1060</v>
      </c>
      <c r="C68" s="329" t="s">
        <v>0</v>
      </c>
      <c r="D68" s="329" t="s">
        <v>1042</v>
      </c>
      <c r="E68" s="585"/>
      <c r="F68" s="586">
        <v>106292.77976400001</v>
      </c>
      <c r="G68" s="331"/>
      <c r="H68" s="331">
        <v>106292.77976400001</v>
      </c>
      <c r="I68" s="331"/>
      <c r="J68" s="331">
        <v>106292.77976399999</v>
      </c>
      <c r="K68" s="588" t="s">
        <v>885</v>
      </c>
      <c r="L68" s="588"/>
      <c r="M68" s="588"/>
      <c r="N68" s="331">
        <v>0</v>
      </c>
      <c r="O68" s="331">
        <v>0</v>
      </c>
      <c r="P68" s="331"/>
      <c r="Q68" s="317">
        <f t="shared" si="13"/>
        <v>106292.77976399999</v>
      </c>
      <c r="R68" s="589">
        <f t="shared" si="45"/>
        <v>1</v>
      </c>
      <c r="S68" s="590">
        <v>100952.21</v>
      </c>
      <c r="T68" s="586">
        <v>100952.21</v>
      </c>
      <c r="U68" s="591">
        <f>T68/J68</f>
        <v>0.9497560438643381</v>
      </c>
      <c r="V68" s="592">
        <v>0.9497560438643381</v>
      </c>
      <c r="W68" s="591">
        <f t="shared" si="16"/>
        <v>0</v>
      </c>
      <c r="X68" s="593">
        <f>T68/Q68</f>
        <v>0.9497560438643381</v>
      </c>
      <c r="Y68" s="594">
        <v>100952.21</v>
      </c>
      <c r="Z68" s="591">
        <f>Y68/J68</f>
        <v>0.9497560438643381</v>
      </c>
      <c r="AA68" s="592">
        <v>0.9497560438643381</v>
      </c>
      <c r="AB68" s="591">
        <f t="shared" si="46"/>
        <v>0</v>
      </c>
      <c r="AC68" s="593">
        <f>Y68/Q68</f>
        <v>0.9497560438643381</v>
      </c>
      <c r="AD68" s="625">
        <v>100952.20999999999</v>
      </c>
      <c r="AE68" s="22">
        <v>0</v>
      </c>
      <c r="AF68" s="22">
        <v>0</v>
      </c>
      <c r="AG68" s="22">
        <v>0</v>
      </c>
      <c r="AH68" s="606">
        <v>0</v>
      </c>
      <c r="AI68" s="594">
        <f t="shared" si="49"/>
        <v>100952.20999999999</v>
      </c>
      <c r="AJ68" s="332">
        <f t="shared" si="44"/>
        <v>100952.20999999999</v>
      </c>
      <c r="AK68" s="332">
        <f t="shared" si="50"/>
        <v>100952.20999999999</v>
      </c>
      <c r="AL68" s="591">
        <f>AK68/J68</f>
        <v>0.94975604386433798</v>
      </c>
      <c r="AM68" s="598">
        <v>0.94975604386433798</v>
      </c>
      <c r="AN68" s="591">
        <f t="shared" si="48"/>
        <v>0</v>
      </c>
      <c r="AO68" s="599">
        <f>AK68/Q68</f>
        <v>0.94975604386433798</v>
      </c>
      <c r="AP68" s="600"/>
      <c r="AQ68" s="601"/>
      <c r="AR68" s="601"/>
      <c r="AS68" s="601"/>
      <c r="AT68" s="434"/>
      <c r="AU68" s="601"/>
      <c r="AV68" s="601"/>
      <c r="AW68" s="602"/>
    </row>
    <row r="69" spans="1:49" s="59" customFormat="1" ht="33">
      <c r="A69" s="14" t="s">
        <v>36</v>
      </c>
      <c r="B69" s="15" t="s">
        <v>1061</v>
      </c>
      <c r="C69" s="16" t="s">
        <v>0</v>
      </c>
      <c r="D69" s="16" t="s">
        <v>823</v>
      </c>
      <c r="E69" s="607"/>
      <c r="F69" s="608">
        <f>SUM(F70:F72)</f>
        <v>8720346</v>
      </c>
      <c r="G69" s="588"/>
      <c r="H69" s="588">
        <f>SUM(H70:H72)</f>
        <v>8720346</v>
      </c>
      <c r="I69" s="588"/>
      <c r="J69" s="588">
        <f>SUM(J70:J72)</f>
        <v>8720346</v>
      </c>
      <c r="K69" s="588" t="s">
        <v>885</v>
      </c>
      <c r="L69" s="588"/>
      <c r="M69" s="588"/>
      <c r="N69" s="588">
        <f>SUM(N70:N72)</f>
        <v>1200000</v>
      </c>
      <c r="O69" s="588">
        <f>SUM(O70:O72)</f>
        <v>1036200</v>
      </c>
      <c r="P69" s="588"/>
      <c r="Q69" s="294">
        <f t="shared" si="13"/>
        <v>9756546</v>
      </c>
      <c r="R69" s="610">
        <f>Q69/J69</f>
        <v>1.1188255603619397</v>
      </c>
      <c r="S69" s="611">
        <v>10224025.899999999</v>
      </c>
      <c r="T69" s="499">
        <f>SUM(T70:T72)</f>
        <v>9708599.5500000007</v>
      </c>
      <c r="U69" s="575">
        <f>T69/J69</f>
        <v>1.113327332424654</v>
      </c>
      <c r="V69" s="575">
        <v>1.113327332424654</v>
      </c>
      <c r="W69" s="575">
        <f t="shared" si="16"/>
        <v>0</v>
      </c>
      <c r="X69" s="612">
        <f>T69/Q69</f>
        <v>0.99508571476012109</v>
      </c>
      <c r="Y69" s="573">
        <f>SUM(Y70:Y72)</f>
        <v>9708599.5500000007</v>
      </c>
      <c r="Z69" s="575">
        <f>Y69/J69</f>
        <v>1.113327332424654</v>
      </c>
      <c r="AA69" s="575">
        <v>1.113327332424654</v>
      </c>
      <c r="AB69" s="575">
        <f t="shared" si="46"/>
        <v>0</v>
      </c>
      <c r="AC69" s="612">
        <f>Y69/Q69</f>
        <v>0.99508571476012109</v>
      </c>
      <c r="AD69" s="613">
        <f>SUM(AD70:AD72)</f>
        <v>8194164.9199999999</v>
      </c>
      <c r="AE69" s="17">
        <f>SUM(AE70:AE72)</f>
        <v>0</v>
      </c>
      <c r="AF69" s="17">
        <f>SUM(AF70:AF72)</f>
        <v>0</v>
      </c>
      <c r="AG69" s="17">
        <f>SUM(AG70:AG72)</f>
        <v>0</v>
      </c>
      <c r="AH69" s="614">
        <f>SUM(AH70:AH72)</f>
        <v>0</v>
      </c>
      <c r="AI69" s="573">
        <f t="shared" si="49"/>
        <v>8194164.9199999999</v>
      </c>
      <c r="AJ69" s="17">
        <f t="shared" ref="AJ69:AJ83" si="51">AD69+AE69+AG69</f>
        <v>8194164.9199999999</v>
      </c>
      <c r="AK69" s="17">
        <f>SUM(AK70:AK72)</f>
        <v>8194164.9199999999</v>
      </c>
      <c r="AL69" s="575">
        <f>AK69/J69</f>
        <v>0.93966052723137361</v>
      </c>
      <c r="AM69" s="574">
        <v>0.93000517066639332</v>
      </c>
      <c r="AN69" s="575">
        <f t="shared" si="48"/>
        <v>9.6553565649802886E-3</v>
      </c>
      <c r="AO69" s="522">
        <f>AK69/Q69</f>
        <v>0.83986329998341624</v>
      </c>
      <c r="AP69" s="582"/>
      <c r="AQ69" s="583"/>
      <c r="AR69" s="583"/>
      <c r="AS69" s="583"/>
      <c r="AT69" s="571"/>
      <c r="AU69" s="583"/>
      <c r="AV69" s="583"/>
      <c r="AW69" s="584"/>
    </row>
    <row r="70" spans="1:49" ht="82.5">
      <c r="A70" s="327" t="s">
        <v>37</v>
      </c>
      <c r="B70" s="328" t="s">
        <v>1062</v>
      </c>
      <c r="C70" s="329" t="s">
        <v>0</v>
      </c>
      <c r="D70" s="329" t="s">
        <v>823</v>
      </c>
      <c r="E70" s="585"/>
      <c r="F70" s="586">
        <v>0</v>
      </c>
      <c r="G70" s="331"/>
      <c r="H70" s="331">
        <v>0</v>
      </c>
      <c r="I70" s="331"/>
      <c r="J70" s="331">
        <v>0</v>
      </c>
      <c r="K70" s="588" t="s">
        <v>885</v>
      </c>
      <c r="L70" s="588"/>
      <c r="M70" s="588"/>
      <c r="N70" s="331">
        <v>0</v>
      </c>
      <c r="O70" s="331">
        <v>0</v>
      </c>
      <c r="P70" s="331"/>
      <c r="Q70" s="317">
        <f t="shared" si="13"/>
        <v>0</v>
      </c>
      <c r="R70" s="589">
        <v>0</v>
      </c>
      <c r="S70" s="590">
        <v>0</v>
      </c>
      <c r="T70" s="586">
        <v>0</v>
      </c>
      <c r="U70" s="591">
        <v>0</v>
      </c>
      <c r="V70" s="592">
        <v>0</v>
      </c>
      <c r="W70" s="591">
        <f t="shared" si="16"/>
        <v>0</v>
      </c>
      <c r="X70" s="593">
        <v>0</v>
      </c>
      <c r="Y70" s="594">
        <v>0</v>
      </c>
      <c r="Z70" s="591">
        <v>0</v>
      </c>
      <c r="AA70" s="592">
        <v>0</v>
      </c>
      <c r="AB70" s="591">
        <f t="shared" si="46"/>
        <v>0</v>
      </c>
      <c r="AC70" s="593">
        <v>0</v>
      </c>
      <c r="AD70" s="595">
        <v>0</v>
      </c>
      <c r="AE70" s="596">
        <v>0</v>
      </c>
      <c r="AF70" s="596">
        <v>0</v>
      </c>
      <c r="AG70" s="596">
        <v>0</v>
      </c>
      <c r="AH70" s="597">
        <v>0</v>
      </c>
      <c r="AI70" s="594">
        <f t="shared" si="49"/>
        <v>0</v>
      </c>
      <c r="AJ70" s="332">
        <f t="shared" ref="AJ70:AJ72" si="52">AD70+AE70+AG70-AH70</f>
        <v>0</v>
      </c>
      <c r="AK70" s="332">
        <f>SUM(AD70:AF70)</f>
        <v>0</v>
      </c>
      <c r="AL70" s="591">
        <v>0</v>
      </c>
      <c r="AM70" s="598">
        <v>0</v>
      </c>
      <c r="AN70" s="591">
        <f t="shared" si="48"/>
        <v>0</v>
      </c>
      <c r="AO70" s="599">
        <v>0</v>
      </c>
      <c r="AP70" s="600"/>
      <c r="AQ70" s="601"/>
      <c r="AR70" s="601"/>
      <c r="AS70" s="601"/>
      <c r="AT70" s="434"/>
      <c r="AU70" s="601"/>
      <c r="AV70" s="601"/>
      <c r="AW70" s="602"/>
    </row>
    <row r="71" spans="1:49" ht="49.5">
      <c r="A71" s="327" t="s">
        <v>38</v>
      </c>
      <c r="B71" s="328" t="s">
        <v>1063</v>
      </c>
      <c r="C71" s="329" t="s">
        <v>0</v>
      </c>
      <c r="D71" s="329" t="s">
        <v>823</v>
      </c>
      <c r="E71" s="585"/>
      <c r="F71" s="586">
        <v>0</v>
      </c>
      <c r="G71" s="331"/>
      <c r="H71" s="331">
        <v>0</v>
      </c>
      <c r="I71" s="331"/>
      <c r="J71" s="331">
        <v>0</v>
      </c>
      <c r="K71" s="588" t="s">
        <v>885</v>
      </c>
      <c r="L71" s="588"/>
      <c r="M71" s="588"/>
      <c r="N71" s="331">
        <v>0</v>
      </c>
      <c r="O71" s="331">
        <v>0</v>
      </c>
      <c r="P71" s="331"/>
      <c r="Q71" s="317">
        <f t="shared" si="13"/>
        <v>0</v>
      </c>
      <c r="R71" s="589">
        <v>0</v>
      </c>
      <c r="S71" s="590">
        <v>0</v>
      </c>
      <c r="T71" s="586">
        <v>0</v>
      </c>
      <c r="U71" s="591">
        <v>0</v>
      </c>
      <c r="V71" s="592">
        <v>0</v>
      </c>
      <c r="W71" s="591">
        <f t="shared" si="16"/>
        <v>0</v>
      </c>
      <c r="X71" s="593">
        <v>0</v>
      </c>
      <c r="Y71" s="594">
        <v>0</v>
      </c>
      <c r="Z71" s="591">
        <v>0</v>
      </c>
      <c r="AA71" s="592">
        <v>0</v>
      </c>
      <c r="AB71" s="591">
        <f t="shared" si="46"/>
        <v>0</v>
      </c>
      <c r="AC71" s="593">
        <v>0</v>
      </c>
      <c r="AD71" s="595">
        <v>0</v>
      </c>
      <c r="AE71" s="596">
        <v>0</v>
      </c>
      <c r="AF71" s="596">
        <v>0</v>
      </c>
      <c r="AG71" s="596">
        <v>0</v>
      </c>
      <c r="AH71" s="597">
        <v>0</v>
      </c>
      <c r="AI71" s="594">
        <f t="shared" si="49"/>
        <v>0</v>
      </c>
      <c r="AJ71" s="332">
        <f t="shared" si="52"/>
        <v>0</v>
      </c>
      <c r="AK71" s="332">
        <f>SUM(AD71:AF71)</f>
        <v>0</v>
      </c>
      <c r="AL71" s="591">
        <v>0</v>
      </c>
      <c r="AM71" s="598">
        <v>0</v>
      </c>
      <c r="AN71" s="591">
        <f t="shared" si="48"/>
        <v>0</v>
      </c>
      <c r="AO71" s="599">
        <v>0</v>
      </c>
      <c r="AP71" s="600"/>
      <c r="AQ71" s="601"/>
      <c r="AR71" s="601"/>
      <c r="AS71" s="601"/>
      <c r="AT71" s="434"/>
      <c r="AU71" s="601"/>
      <c r="AV71" s="601"/>
      <c r="AW71" s="602"/>
    </row>
    <row r="72" spans="1:49" ht="148.5">
      <c r="A72" s="327" t="s">
        <v>39</v>
      </c>
      <c r="B72" s="328" t="s">
        <v>1064</v>
      </c>
      <c r="C72" s="329" t="s">
        <v>0</v>
      </c>
      <c r="D72" s="329" t="s">
        <v>823</v>
      </c>
      <c r="E72" s="585"/>
      <c r="F72" s="586">
        <v>8720346</v>
      </c>
      <c r="G72" s="331"/>
      <c r="H72" s="331">
        <v>8720346</v>
      </c>
      <c r="I72" s="331"/>
      <c r="J72" s="331">
        <v>8720346</v>
      </c>
      <c r="K72" s="588" t="s">
        <v>885</v>
      </c>
      <c r="L72" s="588"/>
      <c r="M72" s="588"/>
      <c r="N72" s="331">
        <v>1200000</v>
      </c>
      <c r="O72" s="331">
        <f>N72*0.8635</f>
        <v>1036200</v>
      </c>
      <c r="P72" s="331"/>
      <c r="Q72" s="317">
        <f t="shared" si="13"/>
        <v>9756546</v>
      </c>
      <c r="R72" s="589">
        <f t="shared" ref="R72:R90" si="53">Q72/J72</f>
        <v>1.1188255603619397</v>
      </c>
      <c r="S72" s="590">
        <v>10224025.899999999</v>
      </c>
      <c r="T72" s="635">
        <v>9708599.5500000007</v>
      </c>
      <c r="U72" s="591">
        <f>T72/J72</f>
        <v>1.113327332424654</v>
      </c>
      <c r="V72" s="592">
        <v>1.113327332424654</v>
      </c>
      <c r="W72" s="591">
        <f t="shared" si="16"/>
        <v>0</v>
      </c>
      <c r="X72" s="593">
        <f t="shared" ref="X72:X85" si="54">T72/Q72</f>
        <v>0.99508571476012109</v>
      </c>
      <c r="Y72" s="635">
        <v>9708599.5500000007</v>
      </c>
      <c r="Z72" s="591">
        <f t="shared" ref="Z72:Z85" si="55">Y72/J72</f>
        <v>1.113327332424654</v>
      </c>
      <c r="AA72" s="592">
        <v>1.113327332424654</v>
      </c>
      <c r="AB72" s="591">
        <f t="shared" si="46"/>
        <v>0</v>
      </c>
      <c r="AC72" s="593">
        <f t="shared" ref="AC72:AC85" si="56">Y72/Q72</f>
        <v>0.99508571476012109</v>
      </c>
      <c r="AD72" s="625">
        <v>8194164.9199999999</v>
      </c>
      <c r="AE72" s="22">
        <v>0</v>
      </c>
      <c r="AF72" s="22">
        <v>0</v>
      </c>
      <c r="AG72" s="596">
        <v>0</v>
      </c>
      <c r="AH72" s="597">
        <v>0</v>
      </c>
      <c r="AI72" s="594">
        <f t="shared" si="49"/>
        <v>8194164.9199999999</v>
      </c>
      <c r="AJ72" s="332">
        <f t="shared" si="52"/>
        <v>8194164.9199999999</v>
      </c>
      <c r="AK72" s="332">
        <f>SUM(AD72:AF72)</f>
        <v>8194164.9199999999</v>
      </c>
      <c r="AL72" s="591">
        <f t="shared" ref="AL72:AL85" si="57">AK72/J72</f>
        <v>0.93966052723137361</v>
      </c>
      <c r="AM72" s="598">
        <v>0.93000517066639332</v>
      </c>
      <c r="AN72" s="591">
        <f t="shared" si="48"/>
        <v>9.6553565649802886E-3</v>
      </c>
      <c r="AO72" s="599">
        <f t="shared" ref="AO72:AO85" si="58">AK72/Q72</f>
        <v>0.83986329998341624</v>
      </c>
      <c r="AP72" s="600"/>
      <c r="AQ72" s="601"/>
      <c r="AR72" s="601"/>
      <c r="AS72" s="601"/>
      <c r="AT72" s="434"/>
      <c r="AU72" s="601"/>
      <c r="AV72" s="601"/>
      <c r="AW72" s="602"/>
    </row>
    <row r="73" spans="1:49" s="59" customFormat="1" ht="66">
      <c r="A73" s="14" t="s">
        <v>40</v>
      </c>
      <c r="B73" s="15" t="s">
        <v>1065</v>
      </c>
      <c r="C73" s="16" t="s">
        <v>0</v>
      </c>
      <c r="D73" s="16"/>
      <c r="E73" s="607"/>
      <c r="F73" s="608">
        <f>F74</f>
        <v>33745009.938956</v>
      </c>
      <c r="G73" s="588"/>
      <c r="H73" s="588">
        <f>H74</f>
        <v>33745009.938956</v>
      </c>
      <c r="I73" s="588"/>
      <c r="J73" s="588">
        <f>J74</f>
        <v>33745009.938956</v>
      </c>
      <c r="K73" s="588" t="s">
        <v>885</v>
      </c>
      <c r="L73" s="588"/>
      <c r="M73" s="588"/>
      <c r="N73" s="588">
        <f>N74</f>
        <v>3325660</v>
      </c>
      <c r="O73" s="588">
        <f>O74</f>
        <v>3076857.9969000001</v>
      </c>
      <c r="P73" s="588"/>
      <c r="Q73" s="294">
        <f t="shared" si="13"/>
        <v>36821867.935856</v>
      </c>
      <c r="R73" s="610">
        <f t="shared" si="53"/>
        <v>1.0911796441152624</v>
      </c>
      <c r="S73" s="611">
        <v>34316693.340000004</v>
      </c>
      <c r="T73" s="573">
        <f>T74</f>
        <v>35049006.329999998</v>
      </c>
      <c r="U73" s="575">
        <f t="shared" ref="U73:U85" si="59">T73/J73</f>
        <v>1.0386426435613116</v>
      </c>
      <c r="V73" s="575">
        <v>1.0386426435613116</v>
      </c>
      <c r="W73" s="575">
        <f t="shared" si="16"/>
        <v>0</v>
      </c>
      <c r="X73" s="612">
        <f t="shared" si="54"/>
        <v>0.95185302361780388</v>
      </c>
      <c r="Y73" s="573">
        <f>Y74</f>
        <v>35049006.329999998</v>
      </c>
      <c r="Z73" s="575">
        <f t="shared" si="55"/>
        <v>1.0386426435613116</v>
      </c>
      <c r="AA73" s="575">
        <v>1.0386426435613116</v>
      </c>
      <c r="AB73" s="575">
        <f t="shared" si="46"/>
        <v>0</v>
      </c>
      <c r="AC73" s="612">
        <f t="shared" si="56"/>
        <v>0.95185302361780388</v>
      </c>
      <c r="AD73" s="613">
        <f>AD74</f>
        <v>29124343.84</v>
      </c>
      <c r="AE73" s="17">
        <f>AE74</f>
        <v>0</v>
      </c>
      <c r="AF73" s="17">
        <f>AF74</f>
        <v>2295247.31</v>
      </c>
      <c r="AG73" s="17">
        <f>AG74</f>
        <v>1650225.050000001</v>
      </c>
      <c r="AH73" s="614">
        <f>AH74</f>
        <v>65741.459999999992</v>
      </c>
      <c r="AI73" s="573">
        <f t="shared" si="49"/>
        <v>31353849.689999998</v>
      </c>
      <c r="AJ73" s="17">
        <f t="shared" si="51"/>
        <v>30774568.890000001</v>
      </c>
      <c r="AK73" s="17">
        <f>AK74</f>
        <v>31419591.149999999</v>
      </c>
      <c r="AL73" s="575">
        <f t="shared" si="57"/>
        <v>0.93108851373395252</v>
      </c>
      <c r="AM73" s="574">
        <v>0.92142484877756614</v>
      </c>
      <c r="AN73" s="575">
        <f t="shared" si="48"/>
        <v>9.6636649563863752E-3</v>
      </c>
      <c r="AO73" s="522">
        <f t="shared" si="58"/>
        <v>0.85328618321952565</v>
      </c>
      <c r="AP73" s="582"/>
      <c r="AQ73" s="583"/>
      <c r="AR73" s="583"/>
      <c r="AS73" s="583"/>
      <c r="AT73" s="571"/>
      <c r="AU73" s="583"/>
      <c r="AV73" s="583"/>
      <c r="AW73" s="584"/>
    </row>
    <row r="74" spans="1:49" s="59" customFormat="1" ht="33">
      <c r="A74" s="14" t="s">
        <v>41</v>
      </c>
      <c r="B74" s="15" t="s">
        <v>1066</v>
      </c>
      <c r="C74" s="16" t="s">
        <v>0</v>
      </c>
      <c r="D74" s="16"/>
      <c r="E74" s="607"/>
      <c r="F74" s="608">
        <f>F75+F78</f>
        <v>33745009.938956</v>
      </c>
      <c r="G74" s="588"/>
      <c r="H74" s="588">
        <f>H75+H78</f>
        <v>33745009.938956</v>
      </c>
      <c r="I74" s="588"/>
      <c r="J74" s="588">
        <f>J75+J78</f>
        <v>33745009.938956</v>
      </c>
      <c r="K74" s="588" t="s">
        <v>885</v>
      </c>
      <c r="L74" s="588"/>
      <c r="M74" s="588"/>
      <c r="N74" s="588">
        <f>N75+N78</f>
        <v>3325660</v>
      </c>
      <c r="O74" s="588">
        <f>O75+O78</f>
        <v>3076857.9969000001</v>
      </c>
      <c r="P74" s="588"/>
      <c r="Q74" s="294">
        <f t="shared" ref="Q74:Q137" si="60">J74+O74</f>
        <v>36821867.935856</v>
      </c>
      <c r="R74" s="610">
        <f t="shared" si="53"/>
        <v>1.0911796441152624</v>
      </c>
      <c r="S74" s="611">
        <v>34316693.340000004</v>
      </c>
      <c r="T74" s="573">
        <f>T75+T78</f>
        <v>35049006.329999998</v>
      </c>
      <c r="U74" s="575">
        <f t="shared" si="59"/>
        <v>1.0386426435613116</v>
      </c>
      <c r="V74" s="575">
        <v>1.0386426435613116</v>
      </c>
      <c r="W74" s="575">
        <f t="shared" si="16"/>
        <v>0</v>
      </c>
      <c r="X74" s="612">
        <f t="shared" si="54"/>
        <v>0.95185302361780388</v>
      </c>
      <c r="Y74" s="573">
        <f>Y75+Y78</f>
        <v>35049006.329999998</v>
      </c>
      <c r="Z74" s="575">
        <f t="shared" si="55"/>
        <v>1.0386426435613116</v>
      </c>
      <c r="AA74" s="575">
        <v>1.0386426435613116</v>
      </c>
      <c r="AB74" s="575">
        <f t="shared" si="46"/>
        <v>0</v>
      </c>
      <c r="AC74" s="612">
        <f t="shared" si="56"/>
        <v>0.95185302361780388</v>
      </c>
      <c r="AD74" s="613">
        <f>AD75+AD78</f>
        <v>29124343.84</v>
      </c>
      <c r="AE74" s="17">
        <f>AE75+AE78</f>
        <v>0</v>
      </c>
      <c r="AF74" s="17">
        <f>AF75+AF78</f>
        <v>2295247.31</v>
      </c>
      <c r="AG74" s="17">
        <f>SUM(AG75,AG78)</f>
        <v>1650225.050000001</v>
      </c>
      <c r="AH74" s="614">
        <f>AH75+AH78</f>
        <v>65741.459999999992</v>
      </c>
      <c r="AI74" s="573">
        <f t="shared" si="49"/>
        <v>31353849.689999998</v>
      </c>
      <c r="AJ74" s="17">
        <f t="shared" si="51"/>
        <v>30774568.890000001</v>
      </c>
      <c r="AK74" s="17">
        <f>AK75+AK78</f>
        <v>31419591.149999999</v>
      </c>
      <c r="AL74" s="575">
        <f t="shared" si="57"/>
        <v>0.93108851373395252</v>
      </c>
      <c r="AM74" s="574">
        <v>0.92142484877756614</v>
      </c>
      <c r="AN74" s="575">
        <f t="shared" si="48"/>
        <v>9.6636649563863752E-3</v>
      </c>
      <c r="AO74" s="522">
        <f t="shared" si="58"/>
        <v>0.85328618321952565</v>
      </c>
      <c r="AP74" s="582"/>
      <c r="AQ74" s="583"/>
      <c r="AR74" s="583"/>
      <c r="AS74" s="583"/>
      <c r="AT74" s="571"/>
      <c r="AU74" s="583"/>
      <c r="AV74" s="583"/>
      <c r="AW74" s="584"/>
    </row>
    <row r="75" spans="1:49" s="59" customFormat="1" ht="82.5">
      <c r="A75" s="19" t="s">
        <v>42</v>
      </c>
      <c r="B75" s="20" t="s">
        <v>1067</v>
      </c>
      <c r="C75" s="21" t="s">
        <v>0</v>
      </c>
      <c r="D75" s="21" t="s">
        <v>1068</v>
      </c>
      <c r="E75" s="616"/>
      <c r="F75" s="586">
        <f>SUM(F76:F77)</f>
        <v>19645085.938956</v>
      </c>
      <c r="G75" s="331"/>
      <c r="H75" s="331">
        <f>SUM(H76:H77)</f>
        <v>19645085.938956</v>
      </c>
      <c r="I75" s="331"/>
      <c r="J75" s="331">
        <f>SUM(J76:J77)</f>
        <v>19645085.938956</v>
      </c>
      <c r="K75" s="588" t="s">
        <v>885</v>
      </c>
      <c r="L75" s="588"/>
      <c r="M75" s="588"/>
      <c r="N75" s="331">
        <f>SUM(N76:N77)</f>
        <v>3325660</v>
      </c>
      <c r="O75" s="331">
        <f>SUM(O76:O77)</f>
        <v>3076857.9969000001</v>
      </c>
      <c r="P75" s="331"/>
      <c r="Q75" s="317">
        <f t="shared" si="60"/>
        <v>22721943.935856</v>
      </c>
      <c r="R75" s="589">
        <f t="shared" si="53"/>
        <v>1.1566222721784394</v>
      </c>
      <c r="S75" s="618">
        <v>20643574.43</v>
      </c>
      <c r="T75" s="619">
        <f>SUM(T76:T77)</f>
        <v>21893235.77</v>
      </c>
      <c r="U75" s="591">
        <f t="shared" si="59"/>
        <v>1.1144382792740011</v>
      </c>
      <c r="V75" s="591">
        <v>1.1144382792740011</v>
      </c>
      <c r="W75" s="591">
        <f t="shared" si="16"/>
        <v>0</v>
      </c>
      <c r="X75" s="593">
        <f t="shared" si="54"/>
        <v>0.96352828929622214</v>
      </c>
      <c r="Y75" s="620">
        <f>SUM(Y76:Y77)</f>
        <v>21893235.77</v>
      </c>
      <c r="Z75" s="591">
        <f t="shared" si="55"/>
        <v>1.1144382792740011</v>
      </c>
      <c r="AA75" s="591">
        <v>1.1144382792740011</v>
      </c>
      <c r="AB75" s="591">
        <f t="shared" si="46"/>
        <v>0</v>
      </c>
      <c r="AC75" s="593">
        <f t="shared" si="56"/>
        <v>0.96352828929622214</v>
      </c>
      <c r="AD75" s="621">
        <f>SUM(AD76:AD77)</f>
        <v>19195801.699999999</v>
      </c>
      <c r="AE75" s="23">
        <f>SUM(AE76:AE77)</f>
        <v>0</v>
      </c>
      <c r="AF75" s="23">
        <f>SUM(AF76:AF77)</f>
        <v>0</v>
      </c>
      <c r="AG75" s="23">
        <f>SUM(AG76:AG77)</f>
        <v>0</v>
      </c>
      <c r="AH75" s="622">
        <f>SUM(AH76:AH77)</f>
        <v>0</v>
      </c>
      <c r="AI75" s="620">
        <f t="shared" si="49"/>
        <v>19195801.699999999</v>
      </c>
      <c r="AJ75" s="332">
        <f t="shared" ref="AJ75:AJ81" si="61">AD75+AE75+AG75-AH75</f>
        <v>19195801.699999999</v>
      </c>
      <c r="AK75" s="23">
        <f>SUM(AK76:AK77)</f>
        <v>19195801.699999999</v>
      </c>
      <c r="AL75" s="591">
        <f t="shared" si="57"/>
        <v>0.97712994280849264</v>
      </c>
      <c r="AM75" s="598">
        <v>0.96431397902078841</v>
      </c>
      <c r="AN75" s="591">
        <f t="shared" si="48"/>
        <v>1.2815963787704221E-2</v>
      </c>
      <c r="AO75" s="599">
        <f t="shared" si="58"/>
        <v>0.8448133555029318</v>
      </c>
      <c r="AP75" s="600"/>
      <c r="AQ75" s="601"/>
      <c r="AR75" s="601"/>
      <c r="AS75" s="601"/>
      <c r="AT75" s="434"/>
      <c r="AU75" s="601"/>
      <c r="AV75" s="601"/>
      <c r="AW75" s="602"/>
    </row>
    <row r="76" spans="1:49" ht="99">
      <c r="A76" s="327" t="s">
        <v>177</v>
      </c>
      <c r="B76" s="328" t="s">
        <v>1069</v>
      </c>
      <c r="C76" s="329" t="s">
        <v>0</v>
      </c>
      <c r="D76" s="329" t="s">
        <v>1068</v>
      </c>
      <c r="E76" s="585"/>
      <c r="F76" s="586">
        <v>10940071.258476</v>
      </c>
      <c r="G76" s="331"/>
      <c r="H76" s="331">
        <v>10940071.258476</v>
      </c>
      <c r="I76" s="331"/>
      <c r="J76" s="331">
        <v>10940071.258476</v>
      </c>
      <c r="K76" s="588" t="s">
        <v>885</v>
      </c>
      <c r="L76" s="588"/>
      <c r="M76" s="588"/>
      <c r="N76" s="22">
        <v>1519461</v>
      </c>
      <c r="O76" s="331">
        <f>N76*0.9159</f>
        <v>1391674.3299</v>
      </c>
      <c r="P76" s="331"/>
      <c r="Q76" s="317">
        <f t="shared" si="60"/>
        <v>12331745.588376001</v>
      </c>
      <c r="R76" s="589">
        <f t="shared" si="53"/>
        <v>1.1272088907850375</v>
      </c>
      <c r="S76" s="590">
        <v>11630192.1</v>
      </c>
      <c r="T76" s="635">
        <v>12331126.66</v>
      </c>
      <c r="U76" s="591">
        <f t="shared" si="59"/>
        <v>1.1271523163476889</v>
      </c>
      <c r="V76" s="592">
        <v>1.1271523163476889</v>
      </c>
      <c r="W76" s="591">
        <f t="shared" si="16"/>
        <v>0</v>
      </c>
      <c r="X76" s="593">
        <f t="shared" si="54"/>
        <v>0.99994981015691864</v>
      </c>
      <c r="Y76" s="635">
        <v>12331126.66</v>
      </c>
      <c r="Z76" s="591">
        <f t="shared" si="55"/>
        <v>1.1271523163476889</v>
      </c>
      <c r="AA76" s="592">
        <v>1.1271523163476889</v>
      </c>
      <c r="AB76" s="591">
        <f t="shared" si="46"/>
        <v>0</v>
      </c>
      <c r="AC76" s="593">
        <f t="shared" si="56"/>
        <v>0.99994981015691864</v>
      </c>
      <c r="AD76" s="604">
        <v>10352085.83</v>
      </c>
      <c r="AE76" s="22">
        <v>0</v>
      </c>
      <c r="AF76" s="22">
        <v>0</v>
      </c>
      <c r="AG76" s="22">
        <v>0</v>
      </c>
      <c r="AH76" s="606">
        <v>0</v>
      </c>
      <c r="AI76" s="594">
        <f t="shared" si="49"/>
        <v>10352085.83</v>
      </c>
      <c r="AJ76" s="332">
        <f t="shared" si="61"/>
        <v>10352085.83</v>
      </c>
      <c r="AK76" s="332">
        <f>SUM(AD76:AF76)</f>
        <v>10352085.83</v>
      </c>
      <c r="AL76" s="591">
        <f t="shared" si="57"/>
        <v>0.94625396721977939</v>
      </c>
      <c r="AM76" s="598">
        <v>0.93502353854182996</v>
      </c>
      <c r="AN76" s="591">
        <f t="shared" si="48"/>
        <v>1.1230428677949433E-2</v>
      </c>
      <c r="AO76" s="599">
        <f t="shared" si="58"/>
        <v>0.83946638014961616</v>
      </c>
      <c r="AP76" s="600"/>
      <c r="AQ76" s="601"/>
      <c r="AR76" s="601"/>
      <c r="AS76" s="601"/>
      <c r="AT76" s="434"/>
      <c r="AU76" s="601"/>
      <c r="AV76" s="601"/>
      <c r="AW76" s="602"/>
    </row>
    <row r="77" spans="1:49" ht="99">
      <c r="A77" s="327" t="s">
        <v>203</v>
      </c>
      <c r="B77" s="328" t="s">
        <v>1070</v>
      </c>
      <c r="C77" s="329" t="s">
        <v>0</v>
      </c>
      <c r="D77" s="329" t="s">
        <v>1068</v>
      </c>
      <c r="E77" s="585"/>
      <c r="F77" s="586">
        <v>8705014.6804799996</v>
      </c>
      <c r="G77" s="331"/>
      <c r="H77" s="331">
        <v>8705014.6804799996</v>
      </c>
      <c r="I77" s="331"/>
      <c r="J77" s="331">
        <v>8705014.6804799996</v>
      </c>
      <c r="K77" s="588" t="s">
        <v>885</v>
      </c>
      <c r="L77" s="588"/>
      <c r="M77" s="588"/>
      <c r="N77" s="22">
        <f>932985+700000+173214</f>
        <v>1806199</v>
      </c>
      <c r="O77" s="331">
        <f>N77*0.933</f>
        <v>1685183.6670000001</v>
      </c>
      <c r="P77" s="331"/>
      <c r="Q77" s="317">
        <f t="shared" si="60"/>
        <v>10390198.347479999</v>
      </c>
      <c r="R77" s="589">
        <f t="shared" si="53"/>
        <v>1.1935876881148553</v>
      </c>
      <c r="S77" s="590">
        <v>9013382.3300000001</v>
      </c>
      <c r="T77" s="645">
        <v>9562109.1099999994</v>
      </c>
      <c r="U77" s="591">
        <f t="shared" si="59"/>
        <v>1.0984598488319539</v>
      </c>
      <c r="V77" s="592">
        <v>1.0984598488319539</v>
      </c>
      <c r="W77" s="591">
        <f t="shared" si="16"/>
        <v>0</v>
      </c>
      <c r="X77" s="593">
        <f t="shared" si="54"/>
        <v>0.92030092113873441</v>
      </c>
      <c r="Y77" s="645">
        <v>9562109.1099999994</v>
      </c>
      <c r="Z77" s="591">
        <f t="shared" si="55"/>
        <v>1.0984598488319539</v>
      </c>
      <c r="AA77" s="592">
        <v>1.0984598488319539</v>
      </c>
      <c r="AB77" s="591">
        <f t="shared" si="46"/>
        <v>0</v>
      </c>
      <c r="AC77" s="593">
        <f t="shared" si="56"/>
        <v>0.92030092113873441</v>
      </c>
      <c r="AD77" s="604">
        <v>8843715.8699999992</v>
      </c>
      <c r="AE77" s="22">
        <v>0</v>
      </c>
      <c r="AF77" s="22">
        <v>0</v>
      </c>
      <c r="AG77" s="22">
        <v>0</v>
      </c>
      <c r="AH77" s="606">
        <v>0</v>
      </c>
      <c r="AI77" s="594">
        <f t="shared" si="49"/>
        <v>8843715.8699999992</v>
      </c>
      <c r="AJ77" s="332">
        <f t="shared" si="61"/>
        <v>8843715.8699999992</v>
      </c>
      <c r="AK77" s="332">
        <f>SUM(AD77:AF77)</f>
        <v>8843715.8699999992</v>
      </c>
      <c r="AL77" s="591">
        <f t="shared" si="57"/>
        <v>1.0159334814025094</v>
      </c>
      <c r="AM77" s="598">
        <v>1.0011248883407351</v>
      </c>
      <c r="AN77" s="591">
        <f t="shared" si="48"/>
        <v>1.4808593061774289E-2</v>
      </c>
      <c r="AO77" s="599">
        <f t="shared" si="58"/>
        <v>0.8511594845679652</v>
      </c>
      <c r="AP77" s="600"/>
      <c r="AQ77" s="601"/>
      <c r="AR77" s="601"/>
      <c r="AS77" s="601"/>
      <c r="AT77" s="434"/>
      <c r="AU77" s="601"/>
      <c r="AV77" s="601"/>
      <c r="AW77" s="602"/>
    </row>
    <row r="78" spans="1:49" s="59" customFormat="1" ht="132">
      <c r="A78" s="19" t="s">
        <v>43</v>
      </c>
      <c r="B78" s="20" t="s">
        <v>1071</v>
      </c>
      <c r="C78" s="21" t="s">
        <v>0</v>
      </c>
      <c r="D78" s="21" t="s">
        <v>1068</v>
      </c>
      <c r="E78" s="616"/>
      <c r="F78" s="586">
        <f>SUM(F79:F81)</f>
        <v>14099924</v>
      </c>
      <c r="G78" s="331"/>
      <c r="H78" s="331">
        <f>SUM(H79:H81)</f>
        <v>14099924</v>
      </c>
      <c r="I78" s="331"/>
      <c r="J78" s="331">
        <f>SUM(J79:J81)</f>
        <v>14099924</v>
      </c>
      <c r="K78" s="588" t="s">
        <v>885</v>
      </c>
      <c r="L78" s="588"/>
      <c r="M78" s="588"/>
      <c r="N78" s="331">
        <f>SUM(N79:N81)</f>
        <v>0</v>
      </c>
      <c r="O78" s="331">
        <f>SUM(O79:O81)</f>
        <v>0</v>
      </c>
      <c r="P78" s="331"/>
      <c r="Q78" s="317">
        <f t="shared" si="60"/>
        <v>14099924</v>
      </c>
      <c r="R78" s="589">
        <f t="shared" si="53"/>
        <v>1</v>
      </c>
      <c r="S78" s="618">
        <v>13673118.91</v>
      </c>
      <c r="T78" s="626">
        <f>SUM(T79:T81)</f>
        <v>13155770.559999999</v>
      </c>
      <c r="U78" s="591">
        <f t="shared" si="59"/>
        <v>0.93303840219280609</v>
      </c>
      <c r="V78" s="591">
        <v>0.93303840219280609</v>
      </c>
      <c r="W78" s="591">
        <f t="shared" si="16"/>
        <v>0</v>
      </c>
      <c r="X78" s="593">
        <f t="shared" si="54"/>
        <v>0.93303840219280609</v>
      </c>
      <c r="Y78" s="620">
        <f>SUM(Y79:Y81)</f>
        <v>13155770.559999999</v>
      </c>
      <c r="Z78" s="591">
        <f t="shared" si="55"/>
        <v>0.93303840219280609</v>
      </c>
      <c r="AA78" s="591">
        <v>0.93303840219280609</v>
      </c>
      <c r="AB78" s="591">
        <f t="shared" si="46"/>
        <v>0</v>
      </c>
      <c r="AC78" s="593">
        <f t="shared" si="56"/>
        <v>0.93303840219280609</v>
      </c>
      <c r="AD78" s="621">
        <f>SUM(AD79:AD81)</f>
        <v>9928542.1400000006</v>
      </c>
      <c r="AE78" s="23">
        <f>SUM(AE79:AE81)</f>
        <v>0</v>
      </c>
      <c r="AF78" s="23">
        <f>SUM(AF79:AF81)</f>
        <v>2295247.31</v>
      </c>
      <c r="AG78" s="23">
        <f>SUM(AG79:AG81)</f>
        <v>1650225.050000001</v>
      </c>
      <c r="AH78" s="622">
        <f>SUM(AH79:AH81)</f>
        <v>65741.459999999992</v>
      </c>
      <c r="AI78" s="620">
        <f t="shared" si="49"/>
        <v>12158047.989999998</v>
      </c>
      <c r="AJ78" s="332">
        <f t="shared" si="61"/>
        <v>11513025.73</v>
      </c>
      <c r="AK78" s="23">
        <f>SUM(AK79:AK81)</f>
        <v>12223789.449999999</v>
      </c>
      <c r="AL78" s="591">
        <f t="shared" si="57"/>
        <v>0.86694009485441192</v>
      </c>
      <c r="AM78" s="598">
        <v>0.86166845225548727</v>
      </c>
      <c r="AN78" s="591">
        <f t="shared" si="48"/>
        <v>5.2716425989246529E-3</v>
      </c>
      <c r="AO78" s="599">
        <f t="shared" si="58"/>
        <v>0.86694009485441192</v>
      </c>
      <c r="AP78" s="600"/>
      <c r="AQ78" s="601"/>
      <c r="AR78" s="601"/>
      <c r="AS78" s="601"/>
      <c r="AT78" s="434"/>
      <c r="AU78" s="601"/>
      <c r="AV78" s="601"/>
      <c r="AW78" s="602"/>
    </row>
    <row r="79" spans="1:49" ht="82.5">
      <c r="A79" s="327" t="s">
        <v>1072</v>
      </c>
      <c r="B79" s="328" t="s">
        <v>1073</v>
      </c>
      <c r="C79" s="329" t="s">
        <v>0</v>
      </c>
      <c r="D79" s="329" t="s">
        <v>1068</v>
      </c>
      <c r="E79" s="585"/>
      <c r="F79" s="586">
        <v>1262086</v>
      </c>
      <c r="G79" s="331"/>
      <c r="H79" s="331">
        <v>1262086</v>
      </c>
      <c r="I79" s="331"/>
      <c r="J79" s="331">
        <v>1262086</v>
      </c>
      <c r="K79" s="588" t="s">
        <v>885</v>
      </c>
      <c r="L79" s="588"/>
      <c r="M79" s="588"/>
      <c r="N79" s="331">
        <v>0</v>
      </c>
      <c r="O79" s="331">
        <v>0</v>
      </c>
      <c r="P79" s="331"/>
      <c r="Q79" s="317">
        <f t="shared" si="60"/>
        <v>1262086</v>
      </c>
      <c r="R79" s="589">
        <f t="shared" si="53"/>
        <v>1</v>
      </c>
      <c r="S79" s="590">
        <v>1141553.2200000002</v>
      </c>
      <c r="T79" s="586">
        <v>1261889.69</v>
      </c>
      <c r="U79" s="591">
        <f t="shared" si="59"/>
        <v>0.99984445592455662</v>
      </c>
      <c r="V79" s="592">
        <v>0.99984445592455662</v>
      </c>
      <c r="W79" s="591">
        <f t="shared" si="16"/>
        <v>0</v>
      </c>
      <c r="X79" s="593">
        <f t="shared" si="54"/>
        <v>0.99984445592455662</v>
      </c>
      <c r="Y79" s="586">
        <v>1261889.69</v>
      </c>
      <c r="Z79" s="591">
        <f t="shared" si="55"/>
        <v>0.99984445592455662</v>
      </c>
      <c r="AA79" s="592">
        <v>0.99984445592455662</v>
      </c>
      <c r="AB79" s="591">
        <f t="shared" si="46"/>
        <v>0</v>
      </c>
      <c r="AC79" s="593">
        <f t="shared" si="56"/>
        <v>0.99984445592455662</v>
      </c>
      <c r="AD79" s="604">
        <v>909254.4</v>
      </c>
      <c r="AE79" s="22">
        <v>0</v>
      </c>
      <c r="AF79" s="22">
        <v>0</v>
      </c>
      <c r="AG79" s="22">
        <v>0</v>
      </c>
      <c r="AH79" s="606">
        <v>0</v>
      </c>
      <c r="AI79" s="594">
        <f t="shared" si="49"/>
        <v>909254.4</v>
      </c>
      <c r="AJ79" s="332">
        <f t="shared" si="61"/>
        <v>909254.4</v>
      </c>
      <c r="AK79" s="332">
        <f>SUM(AD79:AF79)</f>
        <v>909254.4</v>
      </c>
      <c r="AL79" s="591">
        <f t="shared" si="57"/>
        <v>0.72043775146860045</v>
      </c>
      <c r="AM79" s="598">
        <v>0.72043775146860045</v>
      </c>
      <c r="AN79" s="591">
        <f t="shared" si="48"/>
        <v>0</v>
      </c>
      <c r="AO79" s="599">
        <f t="shared" si="58"/>
        <v>0.72043775146860045</v>
      </c>
      <c r="AP79" s="600"/>
      <c r="AQ79" s="601"/>
      <c r="AR79" s="601"/>
      <c r="AS79" s="601"/>
      <c r="AT79" s="434"/>
      <c r="AU79" s="601"/>
      <c r="AV79" s="601"/>
      <c r="AW79" s="602"/>
    </row>
    <row r="80" spans="1:49" ht="132">
      <c r="A80" s="327" t="s">
        <v>44</v>
      </c>
      <c r="B80" s="328" t="s">
        <v>1074</v>
      </c>
      <c r="C80" s="329" t="s">
        <v>0</v>
      </c>
      <c r="D80" s="329" t="s">
        <v>1068</v>
      </c>
      <c r="E80" s="585"/>
      <c r="F80" s="586">
        <v>3215141</v>
      </c>
      <c r="G80" s="331"/>
      <c r="H80" s="331">
        <v>3215141</v>
      </c>
      <c r="I80" s="331"/>
      <c r="J80" s="331">
        <v>3215141</v>
      </c>
      <c r="K80" s="588" t="s">
        <v>885</v>
      </c>
      <c r="L80" s="588"/>
      <c r="M80" s="588"/>
      <c r="N80" s="331">
        <v>0</v>
      </c>
      <c r="O80" s="331">
        <v>0</v>
      </c>
      <c r="P80" s="331"/>
      <c r="Q80" s="317">
        <f t="shared" si="60"/>
        <v>3215141</v>
      </c>
      <c r="R80" s="589">
        <f t="shared" si="53"/>
        <v>1</v>
      </c>
      <c r="S80" s="590">
        <v>3624862.64</v>
      </c>
      <c r="T80" s="586">
        <v>3214400.83</v>
      </c>
      <c r="U80" s="591">
        <f t="shared" si="59"/>
        <v>0.99976978614623746</v>
      </c>
      <c r="V80" s="592">
        <v>0.99976978614623746</v>
      </c>
      <c r="W80" s="591">
        <f t="shared" si="16"/>
        <v>0</v>
      </c>
      <c r="X80" s="593">
        <f t="shared" si="54"/>
        <v>0.99976978614623746</v>
      </c>
      <c r="Y80" s="594">
        <v>3214400.83</v>
      </c>
      <c r="Z80" s="591">
        <f t="shared" si="55"/>
        <v>0.99976978614623746</v>
      </c>
      <c r="AA80" s="592">
        <v>0.99976978614623746</v>
      </c>
      <c r="AB80" s="591">
        <f t="shared" si="46"/>
        <v>0</v>
      </c>
      <c r="AC80" s="593">
        <f t="shared" si="56"/>
        <v>0.99976978614623746</v>
      </c>
      <c r="AD80" s="604">
        <v>2826502.58</v>
      </c>
      <c r="AE80" s="596">
        <v>0</v>
      </c>
      <c r="AF80" s="22">
        <v>241209.09</v>
      </c>
      <c r="AG80" s="605">
        <v>241209.08000000101</v>
      </c>
      <c r="AH80" s="606">
        <v>0</v>
      </c>
      <c r="AI80" s="594">
        <f t="shared" si="49"/>
        <v>3067711.67</v>
      </c>
      <c r="AJ80" s="332">
        <f t="shared" si="61"/>
        <v>3067711.6600000011</v>
      </c>
      <c r="AK80" s="332">
        <f>SUM(AD80:AF80)</f>
        <v>3067711.67</v>
      </c>
      <c r="AL80" s="591">
        <f t="shared" si="57"/>
        <v>0.95414529875983667</v>
      </c>
      <c r="AM80" s="598">
        <v>0.95414529875983667</v>
      </c>
      <c r="AN80" s="591">
        <f t="shared" si="48"/>
        <v>0</v>
      </c>
      <c r="AO80" s="599">
        <f t="shared" si="58"/>
        <v>0.95414529875983667</v>
      </c>
      <c r="AP80" s="600"/>
      <c r="AQ80" s="601"/>
      <c r="AR80" s="601"/>
      <c r="AS80" s="601"/>
      <c r="AT80" s="434"/>
      <c r="AU80" s="601"/>
      <c r="AV80" s="601"/>
      <c r="AW80" s="602"/>
    </row>
    <row r="81" spans="1:49" ht="115.5">
      <c r="A81" s="327" t="s">
        <v>266</v>
      </c>
      <c r="B81" s="328" t="s">
        <v>1075</v>
      </c>
      <c r="C81" s="329" t="s">
        <v>0</v>
      </c>
      <c r="D81" s="329" t="s">
        <v>1068</v>
      </c>
      <c r="E81" s="585"/>
      <c r="F81" s="586">
        <v>9622697</v>
      </c>
      <c r="G81" s="331"/>
      <c r="H81" s="331">
        <v>9622697</v>
      </c>
      <c r="I81" s="331"/>
      <c r="J81" s="331">
        <v>9622697</v>
      </c>
      <c r="K81" s="588" t="s">
        <v>885</v>
      </c>
      <c r="L81" s="588"/>
      <c r="M81" s="588"/>
      <c r="N81" s="331">
        <v>0</v>
      </c>
      <c r="O81" s="331">
        <v>0</v>
      </c>
      <c r="P81" s="331"/>
      <c r="Q81" s="317">
        <f t="shared" si="60"/>
        <v>9622697</v>
      </c>
      <c r="R81" s="589">
        <f t="shared" si="53"/>
        <v>1</v>
      </c>
      <c r="S81" s="590">
        <v>8906703.0500000007</v>
      </c>
      <c r="T81" s="635">
        <v>8679480.0399999991</v>
      </c>
      <c r="U81" s="591">
        <f t="shared" si="59"/>
        <v>0.90197997920957074</v>
      </c>
      <c r="V81" s="592">
        <v>0.90197997920957074</v>
      </c>
      <c r="W81" s="591">
        <f t="shared" si="16"/>
        <v>0</v>
      </c>
      <c r="X81" s="593">
        <f t="shared" si="54"/>
        <v>0.90197997920957074</v>
      </c>
      <c r="Y81" s="635">
        <v>8679480.0399999991</v>
      </c>
      <c r="Z81" s="591">
        <f t="shared" si="55"/>
        <v>0.90197997920957074</v>
      </c>
      <c r="AA81" s="592">
        <v>0.90197997920957074</v>
      </c>
      <c r="AB81" s="591">
        <f t="shared" si="46"/>
        <v>0</v>
      </c>
      <c r="AC81" s="593">
        <f t="shared" si="56"/>
        <v>0.90197997920957074</v>
      </c>
      <c r="AD81" s="604">
        <v>6192785.1600000001</v>
      </c>
      <c r="AE81" s="596">
        <v>0</v>
      </c>
      <c r="AF81" s="22">
        <v>2054038.22</v>
      </c>
      <c r="AG81" s="605">
        <v>1409015.97</v>
      </c>
      <c r="AH81" s="606">
        <v>65741.459999999992</v>
      </c>
      <c r="AI81" s="594">
        <f t="shared" si="49"/>
        <v>8181081.9199999999</v>
      </c>
      <c r="AJ81" s="332">
        <f t="shared" si="61"/>
        <v>7536059.6699999999</v>
      </c>
      <c r="AK81" s="332">
        <f>SUM(AD81:AF81)</f>
        <v>8246823.3799999999</v>
      </c>
      <c r="AL81" s="591">
        <f t="shared" si="57"/>
        <v>0.85701787970669763</v>
      </c>
      <c r="AM81" s="598">
        <v>0.84929345899595499</v>
      </c>
      <c r="AN81" s="591">
        <f t="shared" si="48"/>
        <v>7.724420710742641E-3</v>
      </c>
      <c r="AO81" s="599">
        <f t="shared" si="58"/>
        <v>0.85701787970669763</v>
      </c>
      <c r="AP81" s="600"/>
      <c r="AQ81" s="601"/>
      <c r="AR81" s="601"/>
      <c r="AS81" s="601"/>
      <c r="AT81" s="434"/>
      <c r="AU81" s="601"/>
      <c r="AV81" s="601"/>
      <c r="AW81" s="602"/>
    </row>
    <row r="82" spans="1:49" s="59" customFormat="1" ht="66">
      <c r="A82" s="14" t="s">
        <v>45</v>
      </c>
      <c r="B82" s="15" t="s">
        <v>1076</v>
      </c>
      <c r="C82" s="16" t="s">
        <v>0</v>
      </c>
      <c r="D82" s="16" t="s">
        <v>1</v>
      </c>
      <c r="E82" s="607"/>
      <c r="F82" s="608">
        <f>F83+F91+F97</f>
        <v>16087896.360944001</v>
      </c>
      <c r="G82" s="588"/>
      <c r="H82" s="588">
        <f>H83+H91+H97</f>
        <v>16087896.360944001</v>
      </c>
      <c r="I82" s="588"/>
      <c r="J82" s="588">
        <f>J83+J91+J97</f>
        <v>16087896.398468001</v>
      </c>
      <c r="K82" s="588" t="s">
        <v>885</v>
      </c>
      <c r="L82" s="588"/>
      <c r="M82" s="588"/>
      <c r="N82" s="588">
        <f>N83+N91+N97</f>
        <v>0</v>
      </c>
      <c r="O82" s="588">
        <f>O83+O91+O97</f>
        <v>0</v>
      </c>
      <c r="P82" s="588"/>
      <c r="Q82" s="294">
        <f t="shared" si="60"/>
        <v>16087896.398468001</v>
      </c>
      <c r="R82" s="610">
        <f t="shared" si="53"/>
        <v>1</v>
      </c>
      <c r="S82" s="611">
        <v>14653359.550000001</v>
      </c>
      <c r="T82" s="573">
        <f>T83+T91+T97</f>
        <v>15557442.359999999</v>
      </c>
      <c r="U82" s="575">
        <f t="shared" si="59"/>
        <v>0.96702775643691274</v>
      </c>
      <c r="V82" s="575">
        <v>0.9681837366557916</v>
      </c>
      <c r="W82" s="575">
        <f t="shared" ref="W82:X127" si="62">U82-V82</f>
        <v>-1.1559802188788604E-3</v>
      </c>
      <c r="X82" s="612">
        <f t="shared" si="54"/>
        <v>0.96702775643691274</v>
      </c>
      <c r="Y82" s="573">
        <f>Y83+Y91+Y97</f>
        <v>15529113.039999999</v>
      </c>
      <c r="Z82" s="575">
        <f t="shared" si="55"/>
        <v>0.96526684753382597</v>
      </c>
      <c r="AA82" s="575">
        <v>0.96642282775270472</v>
      </c>
      <c r="AB82" s="575">
        <f t="shared" si="46"/>
        <v>-1.1559802188787494E-3</v>
      </c>
      <c r="AC82" s="612">
        <f t="shared" si="56"/>
        <v>0.96526684753382597</v>
      </c>
      <c r="AD82" s="613">
        <f>AD83+AD91+AD97</f>
        <v>9715802.629999999</v>
      </c>
      <c r="AE82" s="17">
        <f>AE83+AE91+AE97</f>
        <v>0</v>
      </c>
      <c r="AF82" s="17">
        <f>AF83+AF91+AF97</f>
        <v>3425809.87</v>
      </c>
      <c r="AG82" s="17">
        <f>AG83+AG91+AG97</f>
        <v>2792863.620000001</v>
      </c>
      <c r="AH82" s="614">
        <f>AH83+AH91+AH97</f>
        <v>175648.12</v>
      </c>
      <c r="AI82" s="573">
        <f t="shared" si="49"/>
        <v>12965964.380000001</v>
      </c>
      <c r="AJ82" s="17">
        <f t="shared" si="51"/>
        <v>12508666.25</v>
      </c>
      <c r="AK82" s="17">
        <f>AK83+AK91+AK97</f>
        <v>13141612.5</v>
      </c>
      <c r="AL82" s="575">
        <f t="shared" si="57"/>
        <v>0.81686332224587388</v>
      </c>
      <c r="AM82" s="574">
        <v>0.80174081374792217</v>
      </c>
      <c r="AN82" s="575">
        <f t="shared" si="48"/>
        <v>1.5122508497951714E-2</v>
      </c>
      <c r="AO82" s="522">
        <f t="shared" si="58"/>
        <v>0.81686332224587388</v>
      </c>
      <c r="AP82" s="582"/>
      <c r="AQ82" s="583"/>
      <c r="AR82" s="583"/>
      <c r="AS82" s="583"/>
      <c r="AT82" s="571"/>
      <c r="AU82" s="583"/>
      <c r="AV82" s="583"/>
      <c r="AW82" s="584"/>
    </row>
    <row r="83" spans="1:49" s="59" customFormat="1" ht="49.5">
      <c r="A83" s="14" t="s">
        <v>46</v>
      </c>
      <c r="B83" s="15" t="s">
        <v>1077</v>
      </c>
      <c r="C83" s="16" t="s">
        <v>0</v>
      </c>
      <c r="D83" s="16" t="s">
        <v>1</v>
      </c>
      <c r="E83" s="607"/>
      <c r="F83" s="608">
        <f>F84+F87+F88</f>
        <v>5299478.0679240003</v>
      </c>
      <c r="G83" s="588"/>
      <c r="H83" s="588">
        <f>H84+H87+H88</f>
        <v>5299478.0679240003</v>
      </c>
      <c r="I83" s="588"/>
      <c r="J83" s="588">
        <f>J84+J87+J88</f>
        <v>5299478.1054480001</v>
      </c>
      <c r="K83" s="588" t="s">
        <v>885</v>
      </c>
      <c r="L83" s="588"/>
      <c r="M83" s="588"/>
      <c r="N83" s="588">
        <f>N84+N87+N88</f>
        <v>0</v>
      </c>
      <c r="O83" s="588">
        <f>O84+O87+O88</f>
        <v>0</v>
      </c>
      <c r="P83" s="588"/>
      <c r="Q83" s="294">
        <f t="shared" si="60"/>
        <v>5299478.1054480001</v>
      </c>
      <c r="R83" s="610">
        <f t="shared" si="53"/>
        <v>1</v>
      </c>
      <c r="S83" s="611">
        <v>4875525.88</v>
      </c>
      <c r="T83" s="573">
        <f>T84+T87+T88</f>
        <v>5296089.7899999991</v>
      </c>
      <c r="U83" s="575">
        <f t="shared" si="59"/>
        <v>0.99936063223951854</v>
      </c>
      <c r="V83" s="575">
        <v>0.99996949030738824</v>
      </c>
      <c r="W83" s="575">
        <f t="shared" si="62"/>
        <v>-6.0885806786969976E-4</v>
      </c>
      <c r="X83" s="612">
        <f t="shared" si="54"/>
        <v>0.99936063223951854</v>
      </c>
      <c r="Y83" s="573">
        <f>Y84+Y87+Y88</f>
        <v>5296089.7899999991</v>
      </c>
      <c r="Z83" s="575">
        <f t="shared" si="55"/>
        <v>0.99936063223951854</v>
      </c>
      <c r="AA83" s="575">
        <v>0.99996949030738824</v>
      </c>
      <c r="AB83" s="575">
        <f t="shared" si="46"/>
        <v>-6.0885806786969976E-4</v>
      </c>
      <c r="AC83" s="612">
        <f t="shared" si="56"/>
        <v>0.99936063223951854</v>
      </c>
      <c r="AD83" s="613">
        <f>AD84+AD87+AD88</f>
        <v>3592427.67</v>
      </c>
      <c r="AE83" s="17">
        <f>AE84+AE87+AE88</f>
        <v>0</v>
      </c>
      <c r="AF83" s="17">
        <f>AF84+AF87+AF88</f>
        <v>57811.66</v>
      </c>
      <c r="AG83" s="17">
        <f>AG84+AG87+AG88</f>
        <v>55404.149999999907</v>
      </c>
      <c r="AH83" s="614">
        <f>AH84+AH87+AH88</f>
        <v>3927.54</v>
      </c>
      <c r="AI83" s="573">
        <f t="shared" si="49"/>
        <v>3646311.79</v>
      </c>
      <c r="AJ83" s="17">
        <f t="shared" si="51"/>
        <v>3647831.82</v>
      </c>
      <c r="AK83" s="17">
        <f>AK84+AK87+AK88</f>
        <v>3650239.33</v>
      </c>
      <c r="AL83" s="575">
        <f t="shared" si="57"/>
        <v>0.68879222771907667</v>
      </c>
      <c r="AM83" s="574">
        <v>0.66925910805327715</v>
      </c>
      <c r="AN83" s="575">
        <f t="shared" si="48"/>
        <v>1.9533119665799514E-2</v>
      </c>
      <c r="AO83" s="522">
        <f t="shared" si="58"/>
        <v>0.68879222771907667</v>
      </c>
      <c r="AP83" s="582"/>
      <c r="AQ83" s="583"/>
      <c r="AR83" s="583"/>
      <c r="AS83" s="583"/>
      <c r="AT83" s="571"/>
      <c r="AU83" s="583"/>
      <c r="AV83" s="583"/>
      <c r="AW83" s="584"/>
    </row>
    <row r="84" spans="1:49" s="59" customFormat="1" ht="82.5">
      <c r="A84" s="19" t="s">
        <v>47</v>
      </c>
      <c r="B84" s="20" t="s">
        <v>1078</v>
      </c>
      <c r="C84" s="21" t="s">
        <v>0</v>
      </c>
      <c r="D84" s="21" t="s">
        <v>1</v>
      </c>
      <c r="E84" s="616"/>
      <c r="F84" s="586">
        <f>SUM(F85:F86)</f>
        <v>2781474</v>
      </c>
      <c r="G84" s="331"/>
      <c r="H84" s="331">
        <f>SUM(H85:H86)</f>
        <v>2781474</v>
      </c>
      <c r="I84" s="331"/>
      <c r="J84" s="331">
        <f>SUM(J85:J86)</f>
        <v>2781474.0375239998</v>
      </c>
      <c r="K84" s="588" t="s">
        <v>885</v>
      </c>
      <c r="L84" s="588"/>
      <c r="M84" s="588"/>
      <c r="N84" s="331">
        <f>SUM(N85:N86)</f>
        <v>0</v>
      </c>
      <c r="O84" s="331">
        <f>SUM(O85:O86)</f>
        <v>0</v>
      </c>
      <c r="P84" s="331"/>
      <c r="Q84" s="317">
        <f t="shared" si="60"/>
        <v>2781474.0375239998</v>
      </c>
      <c r="R84" s="589">
        <f t="shared" si="53"/>
        <v>1</v>
      </c>
      <c r="S84" s="618">
        <v>2429309.19</v>
      </c>
      <c r="T84" s="619">
        <f>SUM(T85:T86)</f>
        <v>2781474</v>
      </c>
      <c r="U84" s="591">
        <f t="shared" si="59"/>
        <v>0.99999998650931154</v>
      </c>
      <c r="V84" s="591">
        <v>0.99999998650931154</v>
      </c>
      <c r="W84" s="591">
        <f t="shared" si="62"/>
        <v>0</v>
      </c>
      <c r="X84" s="593">
        <f t="shared" si="54"/>
        <v>0.99999998650931154</v>
      </c>
      <c r="Y84" s="620">
        <f>SUM(Y85:Y86)</f>
        <v>2781474</v>
      </c>
      <c r="Z84" s="591">
        <f t="shared" si="55"/>
        <v>0.99999998650931154</v>
      </c>
      <c r="AA84" s="591">
        <v>0.99999998650931154</v>
      </c>
      <c r="AB84" s="591">
        <f t="shared" si="46"/>
        <v>0</v>
      </c>
      <c r="AC84" s="593">
        <f t="shared" si="56"/>
        <v>0.99999998650931154</v>
      </c>
      <c r="AD84" s="621">
        <f>SUM(AD85:AD86)</f>
        <v>1893582.2</v>
      </c>
      <c r="AE84" s="23">
        <f>SUM(AE85:AE86)</f>
        <v>0</v>
      </c>
      <c r="AF84" s="23">
        <f>SUM(AF85:AF86)</f>
        <v>0</v>
      </c>
      <c r="AG84" s="23">
        <f>SUM(AG85:AG86)</f>
        <v>0</v>
      </c>
      <c r="AH84" s="622">
        <f>SUM(AH85:AH86)</f>
        <v>0</v>
      </c>
      <c r="AI84" s="620">
        <f t="shared" si="49"/>
        <v>1893582.2</v>
      </c>
      <c r="AJ84" s="332">
        <f t="shared" ref="AJ84:AJ90" si="63">AD84+AE84+AG84-AH84</f>
        <v>1893582.2</v>
      </c>
      <c r="AK84" s="23">
        <f>SUM(AK85:AK86)</f>
        <v>1893582.2</v>
      </c>
      <c r="AL84" s="591">
        <f t="shared" si="57"/>
        <v>0.68078370477461669</v>
      </c>
      <c r="AM84" s="598">
        <v>0.64797014305564904</v>
      </c>
      <c r="AN84" s="591">
        <f t="shared" si="48"/>
        <v>3.2813561718967654E-2</v>
      </c>
      <c r="AO84" s="599">
        <f t="shared" si="58"/>
        <v>0.68078370477461669</v>
      </c>
      <c r="AP84" s="600"/>
      <c r="AQ84" s="601"/>
      <c r="AR84" s="601"/>
      <c r="AS84" s="601"/>
      <c r="AT84" s="434"/>
      <c r="AU84" s="601"/>
      <c r="AV84" s="601"/>
      <c r="AW84" s="602"/>
    </row>
    <row r="85" spans="1:49" ht="115.5">
      <c r="A85" s="327" t="s">
        <v>48</v>
      </c>
      <c r="B85" s="328" t="s">
        <v>1079</v>
      </c>
      <c r="C85" s="329" t="s">
        <v>0</v>
      </c>
      <c r="D85" s="329" t="s">
        <v>1080</v>
      </c>
      <c r="E85" s="585"/>
      <c r="F85" s="586">
        <v>2781474</v>
      </c>
      <c r="G85" s="331"/>
      <c r="H85" s="331">
        <v>2781474</v>
      </c>
      <c r="I85" s="331"/>
      <c r="J85" s="331">
        <v>2781474.0375239998</v>
      </c>
      <c r="K85" s="588" t="s">
        <v>885</v>
      </c>
      <c r="L85" s="588"/>
      <c r="M85" s="588"/>
      <c r="N85" s="331">
        <v>0</v>
      </c>
      <c r="O85" s="331">
        <v>0</v>
      </c>
      <c r="P85" s="331"/>
      <c r="Q85" s="317">
        <f t="shared" si="60"/>
        <v>2781474.0375239998</v>
      </c>
      <c r="R85" s="589">
        <f t="shared" si="53"/>
        <v>1</v>
      </c>
      <c r="S85" s="590">
        <v>2429309.19</v>
      </c>
      <c r="T85" s="586">
        <v>2781474</v>
      </c>
      <c r="U85" s="591">
        <f t="shared" si="59"/>
        <v>0.99999998650931154</v>
      </c>
      <c r="V85" s="592">
        <v>0.99999998650931154</v>
      </c>
      <c r="W85" s="591">
        <f t="shared" si="62"/>
        <v>0</v>
      </c>
      <c r="X85" s="593">
        <f t="shared" si="54"/>
        <v>0.99999998650931154</v>
      </c>
      <c r="Y85" s="594">
        <f>T85</f>
        <v>2781474</v>
      </c>
      <c r="Z85" s="591">
        <f t="shared" si="55"/>
        <v>0.99999998650931154</v>
      </c>
      <c r="AA85" s="592">
        <v>0.99999998650931154</v>
      </c>
      <c r="AB85" s="591">
        <f t="shared" si="46"/>
        <v>0</v>
      </c>
      <c r="AC85" s="593">
        <f t="shared" si="56"/>
        <v>0.99999998650931154</v>
      </c>
      <c r="AD85" s="625">
        <v>1893582.2</v>
      </c>
      <c r="AE85" s="22">
        <v>0</v>
      </c>
      <c r="AF85" s="22">
        <v>0</v>
      </c>
      <c r="AG85" s="22">
        <v>0</v>
      </c>
      <c r="AH85" s="606">
        <v>0</v>
      </c>
      <c r="AI85" s="594">
        <f t="shared" si="49"/>
        <v>1893582.2</v>
      </c>
      <c r="AJ85" s="332">
        <f t="shared" si="63"/>
        <v>1893582.2</v>
      </c>
      <c r="AK85" s="332">
        <f>SUM(AD85:AF85)</f>
        <v>1893582.2</v>
      </c>
      <c r="AL85" s="591">
        <f t="shared" si="57"/>
        <v>0.68078370477461669</v>
      </c>
      <c r="AM85" s="598">
        <v>0.64797014305564904</v>
      </c>
      <c r="AN85" s="591">
        <f t="shared" si="48"/>
        <v>3.2813561718967654E-2</v>
      </c>
      <c r="AO85" s="599">
        <f t="shared" si="58"/>
        <v>0.68078370477461669</v>
      </c>
      <c r="AP85" s="600"/>
      <c r="AQ85" s="601"/>
      <c r="AR85" s="601"/>
      <c r="AS85" s="601"/>
      <c r="AT85" s="434"/>
      <c r="AU85" s="601"/>
      <c r="AV85" s="601"/>
      <c r="AW85" s="602"/>
    </row>
    <row r="86" spans="1:49" ht="49.5">
      <c r="A86" s="327" t="s">
        <v>49</v>
      </c>
      <c r="B86" s="328" t="s">
        <v>1081</v>
      </c>
      <c r="C86" s="329" t="s">
        <v>0</v>
      </c>
      <c r="D86" s="329" t="s">
        <v>1082</v>
      </c>
      <c r="E86" s="585"/>
      <c r="F86" s="586">
        <v>0</v>
      </c>
      <c r="G86" s="331"/>
      <c r="H86" s="331">
        <v>0</v>
      </c>
      <c r="I86" s="331"/>
      <c r="J86" s="331">
        <v>0</v>
      </c>
      <c r="K86" s="588" t="s">
        <v>885</v>
      </c>
      <c r="L86" s="588"/>
      <c r="M86" s="588"/>
      <c r="N86" s="331">
        <v>0</v>
      </c>
      <c r="O86" s="331">
        <v>0</v>
      </c>
      <c r="P86" s="331"/>
      <c r="Q86" s="317">
        <f t="shared" si="60"/>
        <v>0</v>
      </c>
      <c r="R86" s="589">
        <v>0</v>
      </c>
      <c r="S86" s="590">
        <v>0</v>
      </c>
      <c r="T86" s="586">
        <v>0</v>
      </c>
      <c r="U86" s="591">
        <v>0</v>
      </c>
      <c r="V86" s="592">
        <v>0</v>
      </c>
      <c r="W86" s="591">
        <f t="shared" si="62"/>
        <v>0</v>
      </c>
      <c r="X86" s="593">
        <v>0</v>
      </c>
      <c r="Y86" s="594">
        <v>0</v>
      </c>
      <c r="Z86" s="591">
        <v>0</v>
      </c>
      <c r="AA86" s="592">
        <v>0</v>
      </c>
      <c r="AB86" s="591">
        <f t="shared" si="46"/>
        <v>0</v>
      </c>
      <c r="AC86" s="593">
        <v>0</v>
      </c>
      <c r="AD86" s="595">
        <v>0</v>
      </c>
      <c r="AE86" s="596">
        <v>0</v>
      </c>
      <c r="AF86" s="596">
        <v>0</v>
      </c>
      <c r="AG86" s="22">
        <v>0</v>
      </c>
      <c r="AH86" s="606">
        <v>0</v>
      </c>
      <c r="AI86" s="594">
        <f t="shared" si="49"/>
        <v>0</v>
      </c>
      <c r="AJ86" s="332">
        <f t="shared" si="63"/>
        <v>0</v>
      </c>
      <c r="AK86" s="332">
        <f>SUM(AD86:AF86)</f>
        <v>0</v>
      </c>
      <c r="AL86" s="591">
        <v>0</v>
      </c>
      <c r="AM86" s="598">
        <v>0</v>
      </c>
      <c r="AN86" s="591">
        <f t="shared" si="48"/>
        <v>0</v>
      </c>
      <c r="AO86" s="599">
        <v>0</v>
      </c>
      <c r="AP86" s="600"/>
      <c r="AQ86" s="601"/>
      <c r="AR86" s="601"/>
      <c r="AS86" s="601"/>
      <c r="AT86" s="434"/>
      <c r="AU86" s="601"/>
      <c r="AV86" s="601"/>
      <c r="AW86" s="602"/>
    </row>
    <row r="87" spans="1:49" ht="115.5">
      <c r="A87" s="327" t="s">
        <v>50</v>
      </c>
      <c r="B87" s="328" t="s">
        <v>1083</v>
      </c>
      <c r="C87" s="329" t="s">
        <v>0</v>
      </c>
      <c r="D87" s="329" t="s">
        <v>1082</v>
      </c>
      <c r="E87" s="585"/>
      <c r="F87" s="586">
        <v>1723395</v>
      </c>
      <c r="G87" s="331"/>
      <c r="H87" s="331">
        <v>1723395</v>
      </c>
      <c r="I87" s="331"/>
      <c r="J87" s="331">
        <f>H87</f>
        <v>1723395</v>
      </c>
      <c r="K87" s="588" t="s">
        <v>885</v>
      </c>
      <c r="L87" s="588"/>
      <c r="M87" s="588"/>
      <c r="N87" s="331">
        <v>0</v>
      </c>
      <c r="O87" s="331">
        <v>0</v>
      </c>
      <c r="P87" s="331"/>
      <c r="Q87" s="317">
        <f t="shared" si="60"/>
        <v>1723395</v>
      </c>
      <c r="R87" s="589">
        <f t="shared" si="53"/>
        <v>1</v>
      </c>
      <c r="S87" s="590">
        <v>1447045.86</v>
      </c>
      <c r="T87" s="626">
        <v>1723386.35</v>
      </c>
      <c r="U87" s="628">
        <f t="shared" ref="U87:U114" si="64">T87/J87</f>
        <v>0.99999498083724281</v>
      </c>
      <c r="V87" s="629">
        <v>0.99999498083724281</v>
      </c>
      <c r="W87" s="628">
        <f t="shared" si="62"/>
        <v>0</v>
      </c>
      <c r="X87" s="646">
        <f t="shared" ref="X87:X114" si="65">T87/Q87</f>
        <v>0.99999498083724281</v>
      </c>
      <c r="Y87" s="626">
        <v>1723386.35</v>
      </c>
      <c r="Z87" s="628">
        <f t="shared" ref="Z87:Z114" si="66">Y87/J87</f>
        <v>0.99999498083724281</v>
      </c>
      <c r="AA87" s="629">
        <v>0.99999498083724281</v>
      </c>
      <c r="AB87" s="647">
        <f t="shared" si="46"/>
        <v>0</v>
      </c>
      <c r="AC87" s="646">
        <f t="shared" ref="AC87:AC120" si="67">Y87/Q87</f>
        <v>0.99999498083724281</v>
      </c>
      <c r="AD87" s="604">
        <v>990554.58</v>
      </c>
      <c r="AE87" s="22">
        <v>0</v>
      </c>
      <c r="AF87" s="22">
        <v>0</v>
      </c>
      <c r="AG87" s="22">
        <v>0</v>
      </c>
      <c r="AH87" s="606">
        <v>0</v>
      </c>
      <c r="AI87" s="594">
        <f t="shared" si="49"/>
        <v>990554.58</v>
      </c>
      <c r="AJ87" s="332">
        <f t="shared" si="63"/>
        <v>990554.58</v>
      </c>
      <c r="AK87" s="332">
        <f>SUM(AD87:AF87)</f>
        <v>990554.58</v>
      </c>
      <c r="AL87" s="628">
        <f t="shared" ref="AL87:AL114" si="68">AK87/J87</f>
        <v>0.57476932450192786</v>
      </c>
      <c r="AM87" s="633">
        <v>0.57104938217878087</v>
      </c>
      <c r="AN87" s="628">
        <f t="shared" si="48"/>
        <v>3.7199423231469853E-3</v>
      </c>
      <c r="AO87" s="599">
        <f t="shared" ref="AO87:AO114" si="69">AK87/Q87</f>
        <v>0.57476932450192786</v>
      </c>
      <c r="AP87" s="600"/>
      <c r="AQ87" s="601"/>
      <c r="AR87" s="601"/>
      <c r="AS87" s="601"/>
      <c r="AT87" s="434"/>
      <c r="AU87" s="601"/>
      <c r="AV87" s="601"/>
      <c r="AW87" s="602"/>
    </row>
    <row r="88" spans="1:49" s="59" customFormat="1" ht="115.5">
      <c r="A88" s="19" t="s">
        <v>51</v>
      </c>
      <c r="B88" s="20" t="s">
        <v>1084</v>
      </c>
      <c r="C88" s="21" t="s">
        <v>0</v>
      </c>
      <c r="D88" s="21" t="s">
        <v>1082</v>
      </c>
      <c r="E88" s="616"/>
      <c r="F88" s="586">
        <f>SUM(F89:F90)</f>
        <v>794609.06792399997</v>
      </c>
      <c r="G88" s="331"/>
      <c r="H88" s="331">
        <f>SUM(H89:H90)</f>
        <v>794609.06792399997</v>
      </c>
      <c r="I88" s="331"/>
      <c r="J88" s="331">
        <f>SUM(J89:J90)</f>
        <v>794609.06792399997</v>
      </c>
      <c r="K88" s="588" t="s">
        <v>885</v>
      </c>
      <c r="L88" s="588"/>
      <c r="M88" s="588"/>
      <c r="N88" s="331">
        <f>SUM(N89:N90)</f>
        <v>0</v>
      </c>
      <c r="O88" s="331">
        <f>SUM(O89:O90)</f>
        <v>0</v>
      </c>
      <c r="P88" s="331"/>
      <c r="Q88" s="317">
        <f t="shared" si="60"/>
        <v>794609.06792399997</v>
      </c>
      <c r="R88" s="589">
        <f t="shared" si="53"/>
        <v>1</v>
      </c>
      <c r="S88" s="618">
        <v>999170.82999999984</v>
      </c>
      <c r="T88" s="586">
        <f>T89+T90</f>
        <v>791229.43999999994</v>
      </c>
      <c r="U88" s="591">
        <f t="shared" si="64"/>
        <v>0.99574680423314366</v>
      </c>
      <c r="V88" s="591">
        <v>0.99980745509939917</v>
      </c>
      <c r="W88" s="591">
        <f t="shared" si="62"/>
        <v>-4.0606508662555107E-3</v>
      </c>
      <c r="X88" s="593">
        <f t="shared" si="65"/>
        <v>0.99574680423314366</v>
      </c>
      <c r="Y88" s="586">
        <f>Y89+Y90</f>
        <v>791229.43999999994</v>
      </c>
      <c r="Z88" s="591">
        <f t="shared" si="66"/>
        <v>0.99574680423314366</v>
      </c>
      <c r="AA88" s="591">
        <v>0.99980745509939917</v>
      </c>
      <c r="AB88" s="591">
        <f t="shared" si="46"/>
        <v>-4.0606508662555107E-3</v>
      </c>
      <c r="AC88" s="593">
        <f t="shared" si="67"/>
        <v>0.99574680423314366</v>
      </c>
      <c r="AD88" s="621">
        <f>SUM(AD89:AD90)</f>
        <v>708290.89</v>
      </c>
      <c r="AE88" s="23">
        <f>SUM(AE89:AE90)</f>
        <v>0</v>
      </c>
      <c r="AF88" s="23">
        <f>SUM(AF89:AF90)</f>
        <v>57811.66</v>
      </c>
      <c r="AG88" s="23">
        <f>SUM(AG89:AG90)</f>
        <v>55404.149999999907</v>
      </c>
      <c r="AH88" s="622">
        <f>SUM(AH89:AH90)</f>
        <v>3927.54</v>
      </c>
      <c r="AI88" s="620">
        <f t="shared" si="49"/>
        <v>762175.01</v>
      </c>
      <c r="AJ88" s="332">
        <f t="shared" si="63"/>
        <v>759767.49999999988</v>
      </c>
      <c r="AK88" s="331">
        <f>SUM(AK89:AK90)</f>
        <v>766102.55</v>
      </c>
      <c r="AL88" s="591">
        <f t="shared" si="68"/>
        <v>0.96412510368340476</v>
      </c>
      <c r="AM88" s="598">
        <v>0.95678270068863025</v>
      </c>
      <c r="AN88" s="591">
        <f t="shared" si="48"/>
        <v>7.3424029947745106E-3</v>
      </c>
      <c r="AO88" s="599">
        <f t="shared" si="69"/>
        <v>0.96412510368340476</v>
      </c>
      <c r="AP88" s="600"/>
      <c r="AQ88" s="601"/>
      <c r="AR88" s="601"/>
      <c r="AS88" s="601"/>
      <c r="AT88" s="434"/>
      <c r="AU88" s="601"/>
      <c r="AV88" s="601"/>
      <c r="AW88" s="602"/>
    </row>
    <row r="89" spans="1:49" ht="82.5">
      <c r="A89" s="327" t="s">
        <v>1085</v>
      </c>
      <c r="B89" s="328" t="s">
        <v>1086</v>
      </c>
      <c r="C89" s="329" t="s">
        <v>0</v>
      </c>
      <c r="D89" s="329" t="s">
        <v>1082</v>
      </c>
      <c r="E89" s="585"/>
      <c r="F89" s="586">
        <v>341103</v>
      </c>
      <c r="G89" s="331"/>
      <c r="H89" s="331">
        <v>341103</v>
      </c>
      <c r="I89" s="331"/>
      <c r="J89" s="331">
        <f>H89</f>
        <v>341103</v>
      </c>
      <c r="K89" s="588" t="s">
        <v>885</v>
      </c>
      <c r="L89" s="588"/>
      <c r="M89" s="588"/>
      <c r="N89" s="331">
        <v>0</v>
      </c>
      <c r="O89" s="331">
        <v>0</v>
      </c>
      <c r="P89" s="331"/>
      <c r="Q89" s="317">
        <f t="shared" si="60"/>
        <v>341103</v>
      </c>
      <c r="R89" s="589">
        <f t="shared" si="53"/>
        <v>1</v>
      </c>
      <c r="S89" s="590">
        <v>411488.88999999996</v>
      </c>
      <c r="T89" s="586">
        <v>341103.3</v>
      </c>
      <c r="U89" s="591">
        <f t="shared" si="64"/>
        <v>1.0000008794997406</v>
      </c>
      <c r="V89" s="592">
        <v>1.0000008794997406</v>
      </c>
      <c r="W89" s="591">
        <f t="shared" si="62"/>
        <v>0</v>
      </c>
      <c r="X89" s="593">
        <f t="shared" si="65"/>
        <v>1.0000008794997406</v>
      </c>
      <c r="Y89" s="594">
        <v>341103.3</v>
      </c>
      <c r="Z89" s="591">
        <f t="shared" si="66"/>
        <v>1.0000008794997406</v>
      </c>
      <c r="AA89" s="592">
        <v>1.0000008794997406</v>
      </c>
      <c r="AB89" s="591">
        <f t="shared" si="46"/>
        <v>0</v>
      </c>
      <c r="AC89" s="593">
        <f t="shared" si="67"/>
        <v>1.0000008794997406</v>
      </c>
      <c r="AD89" s="625">
        <v>315151.14</v>
      </c>
      <c r="AE89" s="22">
        <v>0</v>
      </c>
      <c r="AF89" s="22">
        <v>26366.92</v>
      </c>
      <c r="AG89" s="22">
        <v>25952.159999999902</v>
      </c>
      <c r="AH89" s="606">
        <v>414.77</v>
      </c>
      <c r="AI89" s="594">
        <f t="shared" si="49"/>
        <v>341103.29</v>
      </c>
      <c r="AJ89" s="332">
        <f t="shared" si="63"/>
        <v>340688.52999999991</v>
      </c>
      <c r="AK89" s="332">
        <f>SUM(AD89:AF89)</f>
        <v>341518.06</v>
      </c>
      <c r="AL89" s="591">
        <f t="shared" si="68"/>
        <v>1.0012168172077056</v>
      </c>
      <c r="AM89" s="598">
        <v>1.0012168172077056</v>
      </c>
      <c r="AN89" s="591">
        <f t="shared" si="48"/>
        <v>0</v>
      </c>
      <c r="AO89" s="599">
        <f t="shared" si="69"/>
        <v>1.0012168172077056</v>
      </c>
      <c r="AP89" s="600"/>
      <c r="AQ89" s="601"/>
      <c r="AR89" s="601"/>
      <c r="AS89" s="601"/>
      <c r="AT89" s="434"/>
      <c r="AU89" s="601"/>
      <c r="AV89" s="601"/>
      <c r="AW89" s="602"/>
    </row>
    <row r="90" spans="1:49" ht="115.5">
      <c r="A90" s="327" t="s">
        <v>1087</v>
      </c>
      <c r="B90" s="328" t="s">
        <v>1088</v>
      </c>
      <c r="C90" s="329" t="s">
        <v>0</v>
      </c>
      <c r="D90" s="329" t="s">
        <v>1082</v>
      </c>
      <c r="E90" s="585"/>
      <c r="F90" s="586">
        <v>453506.06792399997</v>
      </c>
      <c r="G90" s="331"/>
      <c r="H90" s="331">
        <v>453506.06792399997</v>
      </c>
      <c r="I90" s="331"/>
      <c r="J90" s="331">
        <f>H90</f>
        <v>453506.06792399997</v>
      </c>
      <c r="K90" s="588" t="s">
        <v>885</v>
      </c>
      <c r="L90" s="588"/>
      <c r="M90" s="588"/>
      <c r="N90" s="331">
        <v>0</v>
      </c>
      <c r="O90" s="331">
        <v>0</v>
      </c>
      <c r="P90" s="331"/>
      <c r="Q90" s="317">
        <f t="shared" si="60"/>
        <v>453506.06792399997</v>
      </c>
      <c r="R90" s="589">
        <f t="shared" si="53"/>
        <v>1</v>
      </c>
      <c r="S90" s="590">
        <v>587681.93999999994</v>
      </c>
      <c r="T90" s="635">
        <v>450126.14</v>
      </c>
      <c r="U90" s="628">
        <f t="shared" si="64"/>
        <v>0.99254711642675009</v>
      </c>
      <c r="V90" s="629">
        <v>0.9996619716144004</v>
      </c>
      <c r="W90" s="628">
        <f t="shared" si="62"/>
        <v>-7.1148551876503152E-3</v>
      </c>
      <c r="X90" s="646">
        <f t="shared" si="65"/>
        <v>0.99254711642675009</v>
      </c>
      <c r="Y90" s="648">
        <v>450126.14</v>
      </c>
      <c r="Z90" s="628">
        <f t="shared" si="66"/>
        <v>0.99254711642675009</v>
      </c>
      <c r="AA90" s="629">
        <v>0.9996619716144004</v>
      </c>
      <c r="AB90" s="628">
        <f t="shared" si="46"/>
        <v>-7.1148551876503152E-3</v>
      </c>
      <c r="AC90" s="646">
        <f t="shared" si="67"/>
        <v>0.99254711642675009</v>
      </c>
      <c r="AD90" s="604">
        <v>393139.75</v>
      </c>
      <c r="AE90" s="22">
        <v>0</v>
      </c>
      <c r="AF90" s="22">
        <v>31444.74</v>
      </c>
      <c r="AG90" s="22">
        <v>29451.99</v>
      </c>
      <c r="AH90" s="606">
        <v>3512.77</v>
      </c>
      <c r="AI90" s="594">
        <f t="shared" si="49"/>
        <v>421071.72</v>
      </c>
      <c r="AJ90" s="332">
        <f t="shared" si="63"/>
        <v>419078.97</v>
      </c>
      <c r="AK90" s="332">
        <f>SUM(AD90:AF90)</f>
        <v>424584.49</v>
      </c>
      <c r="AL90" s="591">
        <f t="shared" si="68"/>
        <v>0.93622670131759567</v>
      </c>
      <c r="AM90" s="598">
        <v>0.92336173563652413</v>
      </c>
      <c r="AN90" s="591">
        <f t="shared" si="48"/>
        <v>1.2864965681071538E-2</v>
      </c>
      <c r="AO90" s="599">
        <f t="shared" si="69"/>
        <v>0.93622670131759567</v>
      </c>
      <c r="AP90" s="600"/>
      <c r="AQ90" s="601"/>
      <c r="AR90" s="601"/>
      <c r="AS90" s="601"/>
      <c r="AT90" s="434"/>
      <c r="AU90" s="601"/>
      <c r="AV90" s="601"/>
      <c r="AW90" s="602"/>
    </row>
    <row r="91" spans="1:49" s="59" customFormat="1" ht="66">
      <c r="A91" s="14" t="s">
        <v>52</v>
      </c>
      <c r="B91" s="15" t="s">
        <v>1089</v>
      </c>
      <c r="C91" s="16" t="s">
        <v>0</v>
      </c>
      <c r="D91" s="16" t="s">
        <v>1082</v>
      </c>
      <c r="E91" s="607"/>
      <c r="F91" s="608">
        <f>F92+F93</f>
        <v>5761702.2930200007</v>
      </c>
      <c r="G91" s="588"/>
      <c r="H91" s="588">
        <f>H92+H93</f>
        <v>5761702.2930200007</v>
      </c>
      <c r="I91" s="588"/>
      <c r="J91" s="588">
        <f>J92+J93</f>
        <v>5761702.2930200007</v>
      </c>
      <c r="K91" s="588" t="s">
        <v>885</v>
      </c>
      <c r="L91" s="588"/>
      <c r="M91" s="588"/>
      <c r="N91" s="588">
        <f>N92+N93</f>
        <v>0</v>
      </c>
      <c r="O91" s="588">
        <f>O92+O93</f>
        <v>0</v>
      </c>
      <c r="P91" s="588"/>
      <c r="Q91" s="294">
        <f t="shared" si="60"/>
        <v>5761702.2930200007</v>
      </c>
      <c r="R91" s="610">
        <f>Q91/J91</f>
        <v>1</v>
      </c>
      <c r="S91" s="611">
        <v>5342712.53</v>
      </c>
      <c r="T91" s="573">
        <f>T92+T93</f>
        <v>5641352.8200000003</v>
      </c>
      <c r="U91" s="575">
        <f t="shared" si="64"/>
        <v>0.97911216739438323</v>
      </c>
      <c r="V91" s="575">
        <v>0.98070315032508837</v>
      </c>
      <c r="W91" s="575">
        <f t="shared" si="62"/>
        <v>-1.5909829307051426E-3</v>
      </c>
      <c r="X91" s="612">
        <f t="shared" si="65"/>
        <v>0.97911216739438323</v>
      </c>
      <c r="Y91" s="573">
        <f>Y92+Y93</f>
        <v>5613023.5</v>
      </c>
      <c r="Z91" s="575">
        <f t="shared" si="66"/>
        <v>0.97419533577774098</v>
      </c>
      <c r="AA91" s="575">
        <v>0.97578631870844623</v>
      </c>
      <c r="AB91" s="575">
        <f t="shared" si="46"/>
        <v>-1.5909829307052537E-3</v>
      </c>
      <c r="AC91" s="612">
        <f t="shared" si="67"/>
        <v>0.97419533577774098</v>
      </c>
      <c r="AD91" s="613">
        <f>AD92+AD93</f>
        <v>3955286.66</v>
      </c>
      <c r="AE91" s="17">
        <f>AE92+AE93</f>
        <v>0</v>
      </c>
      <c r="AF91" s="17">
        <f>AF92+AF93</f>
        <v>1101830.94</v>
      </c>
      <c r="AG91" s="17">
        <f>AG92+AG93</f>
        <v>714749.56</v>
      </c>
      <c r="AH91" s="614">
        <f>AH92+AH93</f>
        <v>94835.9</v>
      </c>
      <c r="AI91" s="573">
        <f t="shared" si="49"/>
        <v>4962281.7</v>
      </c>
      <c r="AJ91" s="17">
        <f t="shared" ref="AJ91:AJ111" si="70">AD91+AE91+AG91</f>
        <v>4670036.2200000007</v>
      </c>
      <c r="AK91" s="17">
        <f>AK92+AK93</f>
        <v>5057117.6000000006</v>
      </c>
      <c r="AL91" s="575">
        <f t="shared" si="68"/>
        <v>0.87771240907855175</v>
      </c>
      <c r="AM91" s="574">
        <v>0.85539800901734864</v>
      </c>
      <c r="AN91" s="575">
        <f t="shared" si="48"/>
        <v>2.231440006120311E-2</v>
      </c>
      <c r="AO91" s="522">
        <f t="shared" si="69"/>
        <v>0.87771240907855175</v>
      </c>
      <c r="AP91" s="582"/>
      <c r="AQ91" s="583"/>
      <c r="AR91" s="583"/>
      <c r="AS91" s="583"/>
      <c r="AT91" s="571"/>
      <c r="AU91" s="583"/>
      <c r="AV91" s="583"/>
      <c r="AW91" s="584"/>
    </row>
    <row r="92" spans="1:49" ht="115.5">
      <c r="A92" s="327" t="s">
        <v>274</v>
      </c>
      <c r="B92" s="328" t="s">
        <v>1090</v>
      </c>
      <c r="C92" s="329" t="s">
        <v>0</v>
      </c>
      <c r="D92" s="329" t="s">
        <v>1082</v>
      </c>
      <c r="E92" s="585"/>
      <c r="F92" s="586">
        <v>55106</v>
      </c>
      <c r="G92" s="331"/>
      <c r="H92" s="331">
        <v>55106</v>
      </c>
      <c r="I92" s="331"/>
      <c r="J92" s="331">
        <f>H92</f>
        <v>55106</v>
      </c>
      <c r="K92" s="588" t="s">
        <v>885</v>
      </c>
      <c r="L92" s="588"/>
      <c r="M92" s="588"/>
      <c r="N92" s="331">
        <v>0</v>
      </c>
      <c r="O92" s="331">
        <v>0</v>
      </c>
      <c r="P92" s="331"/>
      <c r="Q92" s="317">
        <f t="shared" si="60"/>
        <v>55106</v>
      </c>
      <c r="R92" s="589">
        <f t="shared" ref="R92:R96" si="71">Q92/J92</f>
        <v>1</v>
      </c>
      <c r="S92" s="590">
        <v>71563.47</v>
      </c>
      <c r="T92" s="586">
        <v>51187.06</v>
      </c>
      <c r="U92" s="591">
        <f t="shared" si="64"/>
        <v>0.92888360614089205</v>
      </c>
      <c r="V92" s="592">
        <v>0.92888360614089205</v>
      </c>
      <c r="W92" s="591">
        <f t="shared" si="62"/>
        <v>0</v>
      </c>
      <c r="X92" s="593">
        <f t="shared" si="65"/>
        <v>0.92888360614089205</v>
      </c>
      <c r="Y92" s="594">
        <v>51187.06</v>
      </c>
      <c r="Z92" s="591">
        <f t="shared" si="66"/>
        <v>0.92888360614089205</v>
      </c>
      <c r="AA92" s="592">
        <v>0.92888360614089205</v>
      </c>
      <c r="AB92" s="591">
        <f t="shared" si="46"/>
        <v>0</v>
      </c>
      <c r="AC92" s="593">
        <f t="shared" si="67"/>
        <v>0.92888360614089205</v>
      </c>
      <c r="AD92" s="625">
        <f>60434.93-5329.06</f>
        <v>55105.87</v>
      </c>
      <c r="AE92" s="22">
        <v>0</v>
      </c>
      <c r="AF92" s="22">
        <v>0</v>
      </c>
      <c r="AG92" s="22">
        <v>0</v>
      </c>
      <c r="AH92" s="606">
        <v>3918.81</v>
      </c>
      <c r="AI92" s="594">
        <f t="shared" si="49"/>
        <v>51187.060000000005</v>
      </c>
      <c r="AJ92" s="332">
        <f t="shared" ref="AJ92:AJ96" si="72">AD92+AE92+AG92-AH92</f>
        <v>51187.060000000005</v>
      </c>
      <c r="AK92" s="332">
        <f>SUM(AD92:AF92)</f>
        <v>55105.87</v>
      </c>
      <c r="AL92" s="591">
        <f t="shared" si="68"/>
        <v>0.99999764091024579</v>
      </c>
      <c r="AM92" s="598">
        <v>0.99999764091024579</v>
      </c>
      <c r="AN92" s="591">
        <f t="shared" si="48"/>
        <v>0</v>
      </c>
      <c r="AO92" s="599">
        <f t="shared" si="69"/>
        <v>0.99999764091024579</v>
      </c>
      <c r="AP92" s="600"/>
      <c r="AQ92" s="601"/>
      <c r="AR92" s="601"/>
      <c r="AS92" s="601"/>
      <c r="AT92" s="434"/>
      <c r="AU92" s="601"/>
      <c r="AV92" s="601"/>
      <c r="AW92" s="602"/>
    </row>
    <row r="93" spans="1:49" s="59" customFormat="1" ht="115.5">
      <c r="A93" s="19" t="s">
        <v>53</v>
      </c>
      <c r="B93" s="20" t="s">
        <v>1091</v>
      </c>
      <c r="C93" s="21" t="s">
        <v>0</v>
      </c>
      <c r="D93" s="21" t="s">
        <v>1082</v>
      </c>
      <c r="E93" s="616"/>
      <c r="F93" s="586">
        <f>SUM(F94:F96)</f>
        <v>5706596.2930200007</v>
      </c>
      <c r="G93" s="331"/>
      <c r="H93" s="331">
        <f>SUM(H94:H96)</f>
        <v>5706596.2930200007</v>
      </c>
      <c r="I93" s="331"/>
      <c r="J93" s="331">
        <f>SUM(J94:J96)</f>
        <v>5706596.2930200007</v>
      </c>
      <c r="K93" s="588" t="s">
        <v>885</v>
      </c>
      <c r="L93" s="588"/>
      <c r="M93" s="588"/>
      <c r="N93" s="331">
        <f>SUM(N94:N96)</f>
        <v>0</v>
      </c>
      <c r="O93" s="331">
        <f>SUM(O94:O96)</f>
        <v>0</v>
      </c>
      <c r="P93" s="331"/>
      <c r="Q93" s="317">
        <f t="shared" si="60"/>
        <v>5706596.2930200007</v>
      </c>
      <c r="R93" s="589">
        <f t="shared" si="71"/>
        <v>1</v>
      </c>
      <c r="S93" s="649">
        <v>5271149.0600000005</v>
      </c>
      <c r="T93" s="626">
        <f>SUM(T94:T96)</f>
        <v>5590165.7600000007</v>
      </c>
      <c r="U93" s="591">
        <f t="shared" si="64"/>
        <v>0.97959720172208231</v>
      </c>
      <c r="V93" s="591">
        <v>0.98120354804996468</v>
      </c>
      <c r="W93" s="591">
        <f t="shared" si="62"/>
        <v>-1.6063463278823686E-3</v>
      </c>
      <c r="X93" s="593">
        <f t="shared" si="65"/>
        <v>0.97959720172208231</v>
      </c>
      <c r="Y93" s="626">
        <f>SUM(Y94:Y96)</f>
        <v>5561836.4400000004</v>
      </c>
      <c r="Z93" s="591">
        <f t="shared" si="66"/>
        <v>0.97463289050303725</v>
      </c>
      <c r="AA93" s="591">
        <v>0.97623923683091951</v>
      </c>
      <c r="AB93" s="591">
        <f t="shared" si="46"/>
        <v>-1.6063463278822576E-3</v>
      </c>
      <c r="AC93" s="593">
        <f t="shared" si="67"/>
        <v>0.97463289050303725</v>
      </c>
      <c r="AD93" s="621">
        <f>SUM(AD94:AD96)</f>
        <v>3900180.79</v>
      </c>
      <c r="AE93" s="23">
        <f>SUM(AE94:AE96)</f>
        <v>0</v>
      </c>
      <c r="AF93" s="23">
        <f>SUM(AF94:AF96)</f>
        <v>1101830.94</v>
      </c>
      <c r="AG93" s="23">
        <f>SUM(AG94:AG96)</f>
        <v>714749.56</v>
      </c>
      <c r="AH93" s="622">
        <f>SUM(AH94:AH96)</f>
        <v>90917.09</v>
      </c>
      <c r="AI93" s="620">
        <f t="shared" si="49"/>
        <v>4911094.6400000006</v>
      </c>
      <c r="AJ93" s="332">
        <f t="shared" si="72"/>
        <v>4524013.26</v>
      </c>
      <c r="AK93" s="331">
        <f>SUM(AK94:AK96)</f>
        <v>5002011.7300000004</v>
      </c>
      <c r="AL93" s="591">
        <f t="shared" si="68"/>
        <v>0.87653155631811386</v>
      </c>
      <c r="AM93" s="598">
        <v>0.85400167626382328</v>
      </c>
      <c r="AN93" s="591">
        <f t="shared" si="48"/>
        <v>2.2529880054290574E-2</v>
      </c>
      <c r="AO93" s="599">
        <f t="shared" si="69"/>
        <v>0.87653155631811386</v>
      </c>
      <c r="AP93" s="600"/>
      <c r="AQ93" s="601"/>
      <c r="AR93" s="601"/>
      <c r="AS93" s="601"/>
      <c r="AT93" s="434"/>
      <c r="AU93" s="601"/>
      <c r="AV93" s="601"/>
      <c r="AW93" s="602"/>
    </row>
    <row r="94" spans="1:49" ht="82.5">
      <c r="A94" s="327" t="s">
        <v>145</v>
      </c>
      <c r="B94" s="328" t="s">
        <v>1092</v>
      </c>
      <c r="C94" s="329" t="s">
        <v>0</v>
      </c>
      <c r="D94" s="329" t="s">
        <v>1082</v>
      </c>
      <c r="E94" s="585"/>
      <c r="F94" s="586">
        <v>1901912.020308</v>
      </c>
      <c r="G94" s="331"/>
      <c r="H94" s="331">
        <v>1901912.020308</v>
      </c>
      <c r="I94" s="331"/>
      <c r="J94" s="331">
        <f>H94</f>
        <v>1901912.020308</v>
      </c>
      <c r="K94" s="588" t="s">
        <v>885</v>
      </c>
      <c r="L94" s="588"/>
      <c r="M94" s="588"/>
      <c r="N94" s="331">
        <v>0</v>
      </c>
      <c r="O94" s="331">
        <v>0</v>
      </c>
      <c r="P94" s="331"/>
      <c r="Q94" s="317">
        <f t="shared" si="60"/>
        <v>1901912.020308</v>
      </c>
      <c r="R94" s="589">
        <f t="shared" si="71"/>
        <v>1</v>
      </c>
      <c r="S94" s="590">
        <v>1759819.27</v>
      </c>
      <c r="T94" s="586">
        <v>1896092.8</v>
      </c>
      <c r="U94" s="591">
        <f t="shared" si="64"/>
        <v>0.99694033149490391</v>
      </c>
      <c r="V94" s="592">
        <v>0.99694033149490391</v>
      </c>
      <c r="W94" s="591">
        <f t="shared" si="62"/>
        <v>0</v>
      </c>
      <c r="X94" s="593">
        <f t="shared" si="65"/>
        <v>0.99694033149490391</v>
      </c>
      <c r="Y94" s="594">
        <v>1896092.8</v>
      </c>
      <c r="Z94" s="591">
        <f t="shared" si="66"/>
        <v>0.99694033149490391</v>
      </c>
      <c r="AA94" s="592">
        <v>0.99694033149490391</v>
      </c>
      <c r="AB94" s="591">
        <f t="shared" si="46"/>
        <v>0</v>
      </c>
      <c r="AC94" s="593">
        <f t="shared" si="67"/>
        <v>0.99694033149490391</v>
      </c>
      <c r="AD94" s="604">
        <v>1215684.04</v>
      </c>
      <c r="AE94" s="22">
        <v>0</v>
      </c>
      <c r="AF94" s="22">
        <v>279309.62</v>
      </c>
      <c r="AG94" s="22">
        <v>74153.960000000006</v>
      </c>
      <c r="AH94" s="606">
        <v>0</v>
      </c>
      <c r="AI94" s="594">
        <f t="shared" si="49"/>
        <v>1494993.6600000001</v>
      </c>
      <c r="AJ94" s="332">
        <f t="shared" si="72"/>
        <v>1289838</v>
      </c>
      <c r="AK94" s="332">
        <f>SUM(AD94:AF94)</f>
        <v>1494993.6600000001</v>
      </c>
      <c r="AL94" s="591">
        <f t="shared" si="68"/>
        <v>0.78604774775959274</v>
      </c>
      <c r="AM94" s="598">
        <v>0.77130231279701311</v>
      </c>
      <c r="AN94" s="591">
        <f t="shared" si="48"/>
        <v>1.4745434962579629E-2</v>
      </c>
      <c r="AO94" s="599">
        <f t="shared" si="69"/>
        <v>0.78604774775959274</v>
      </c>
      <c r="AP94" s="600"/>
      <c r="AQ94" s="601"/>
      <c r="AR94" s="601"/>
      <c r="AS94" s="601"/>
      <c r="AT94" s="434"/>
      <c r="AU94" s="601"/>
      <c r="AV94" s="601"/>
      <c r="AW94" s="602"/>
    </row>
    <row r="95" spans="1:49" ht="82.5">
      <c r="A95" s="327" t="s">
        <v>1093</v>
      </c>
      <c r="B95" s="328" t="s">
        <v>1094</v>
      </c>
      <c r="C95" s="329" t="s">
        <v>0</v>
      </c>
      <c r="D95" s="329" t="s">
        <v>1082</v>
      </c>
      <c r="E95" s="585"/>
      <c r="F95" s="586">
        <v>2386548.7914120001</v>
      </c>
      <c r="G95" s="331"/>
      <c r="H95" s="331">
        <f>F95</f>
        <v>2386548.7914120001</v>
      </c>
      <c r="I95" s="331"/>
      <c r="J95" s="331">
        <f>H95</f>
        <v>2386548.7914120001</v>
      </c>
      <c r="K95" s="588" t="s">
        <v>885</v>
      </c>
      <c r="L95" s="588"/>
      <c r="M95" s="588"/>
      <c r="N95" s="331">
        <v>0</v>
      </c>
      <c r="O95" s="331">
        <v>0</v>
      </c>
      <c r="P95" s="331"/>
      <c r="Q95" s="317">
        <f t="shared" si="60"/>
        <v>2386548.7914120001</v>
      </c>
      <c r="R95" s="589">
        <f t="shared" si="71"/>
        <v>1</v>
      </c>
      <c r="S95" s="590">
        <v>2126588.7400000002</v>
      </c>
      <c r="T95" s="627">
        <v>2347565.6</v>
      </c>
      <c r="U95" s="591">
        <f t="shared" si="64"/>
        <v>0.98366545383346815</v>
      </c>
      <c r="V95" s="592">
        <v>0.98750646895663963</v>
      </c>
      <c r="W95" s="591">
        <f t="shared" si="62"/>
        <v>-3.8410151231714762E-3</v>
      </c>
      <c r="X95" s="593">
        <f t="shared" si="65"/>
        <v>0.98366545383346815</v>
      </c>
      <c r="Y95" s="635">
        <v>2319236.2799999998</v>
      </c>
      <c r="Z95" s="591">
        <f t="shared" si="66"/>
        <v>0.97179504074912504</v>
      </c>
      <c r="AA95" s="592">
        <v>0.97563605587229651</v>
      </c>
      <c r="AB95" s="591">
        <f t="shared" si="46"/>
        <v>-3.8410151231714762E-3</v>
      </c>
      <c r="AC95" s="593">
        <f t="shared" si="67"/>
        <v>0.97179504074912504</v>
      </c>
      <c r="AD95" s="604">
        <v>1605423.9500000002</v>
      </c>
      <c r="AE95" s="22">
        <v>0</v>
      </c>
      <c r="AF95" s="605">
        <v>505560.65</v>
      </c>
      <c r="AG95" s="605">
        <v>372980.8</v>
      </c>
      <c r="AH95" s="606">
        <v>31885.32</v>
      </c>
      <c r="AI95" s="594">
        <f t="shared" si="49"/>
        <v>2079099.28</v>
      </c>
      <c r="AJ95" s="332">
        <f t="shared" si="72"/>
        <v>1946519.4300000002</v>
      </c>
      <c r="AK95" s="332">
        <f>SUM(AD95:AF95)</f>
        <v>2110984.6</v>
      </c>
      <c r="AL95" s="591">
        <f t="shared" si="68"/>
        <v>0.88453444052616137</v>
      </c>
      <c r="AM95" s="598">
        <v>0.84632988743757565</v>
      </c>
      <c r="AN95" s="591">
        <f t="shared" si="48"/>
        <v>3.8204553088585724E-2</v>
      </c>
      <c r="AO95" s="599">
        <f t="shared" si="69"/>
        <v>0.88453444052616137</v>
      </c>
      <c r="AP95" s="600"/>
      <c r="AQ95" s="601"/>
      <c r="AR95" s="601"/>
      <c r="AS95" s="601"/>
      <c r="AT95" s="434"/>
      <c r="AU95" s="601"/>
      <c r="AV95" s="601"/>
      <c r="AW95" s="602"/>
    </row>
    <row r="96" spans="1:49" ht="132">
      <c r="A96" s="327" t="s">
        <v>279</v>
      </c>
      <c r="B96" s="328" t="s">
        <v>1095</v>
      </c>
      <c r="C96" s="329" t="s">
        <v>0</v>
      </c>
      <c r="D96" s="329" t="s">
        <v>1082</v>
      </c>
      <c r="E96" s="585"/>
      <c r="F96" s="586">
        <v>1418135.4812999999</v>
      </c>
      <c r="G96" s="331"/>
      <c r="H96" s="331">
        <f>F96</f>
        <v>1418135.4812999999</v>
      </c>
      <c r="I96" s="331"/>
      <c r="J96" s="331">
        <f>H96</f>
        <v>1418135.4812999999</v>
      </c>
      <c r="K96" s="588" t="s">
        <v>885</v>
      </c>
      <c r="L96" s="588"/>
      <c r="M96" s="588"/>
      <c r="N96" s="331">
        <v>0</v>
      </c>
      <c r="O96" s="331">
        <v>0</v>
      </c>
      <c r="P96" s="331"/>
      <c r="Q96" s="317">
        <f t="shared" si="60"/>
        <v>1418135.4812999999</v>
      </c>
      <c r="R96" s="589">
        <f t="shared" si="71"/>
        <v>1</v>
      </c>
      <c r="S96" s="590">
        <v>1384741.0499999998</v>
      </c>
      <c r="T96" s="627">
        <v>1346507.36</v>
      </c>
      <c r="U96" s="591">
        <f>T96/J96</f>
        <v>0.94949134109927313</v>
      </c>
      <c r="V96" s="592">
        <v>0.94949134109927313</v>
      </c>
      <c r="W96" s="591">
        <f t="shared" si="62"/>
        <v>0</v>
      </c>
      <c r="X96" s="593">
        <f t="shared" si="65"/>
        <v>0.94949134109927313</v>
      </c>
      <c r="Y96" s="627">
        <v>1346507.36</v>
      </c>
      <c r="Z96" s="591">
        <f t="shared" si="66"/>
        <v>0.94949134109927313</v>
      </c>
      <c r="AA96" s="592">
        <v>0.94949134109927313</v>
      </c>
      <c r="AB96" s="591">
        <f>Z96-AA96</f>
        <v>0</v>
      </c>
      <c r="AC96" s="593">
        <f t="shared" si="67"/>
        <v>0.94949134109927313</v>
      </c>
      <c r="AD96" s="604">
        <v>1079072.8</v>
      </c>
      <c r="AE96" s="22">
        <v>0</v>
      </c>
      <c r="AF96" s="22">
        <v>316960.67</v>
      </c>
      <c r="AG96" s="605">
        <v>267614.8</v>
      </c>
      <c r="AH96" s="631">
        <v>59031.770000000004</v>
      </c>
      <c r="AI96" s="594">
        <f t="shared" si="49"/>
        <v>1337001.7</v>
      </c>
      <c r="AJ96" s="332">
        <f t="shared" si="72"/>
        <v>1287655.83</v>
      </c>
      <c r="AK96" s="332">
        <f>SUM(AD96:AF96)</f>
        <v>1396033.47</v>
      </c>
      <c r="AL96" s="591">
        <f t="shared" si="68"/>
        <v>0.98441473921818878</v>
      </c>
      <c r="AM96" s="598">
        <v>0.97782342257513333</v>
      </c>
      <c r="AN96" s="591">
        <f t="shared" si="48"/>
        <v>6.5913166430554559E-3</v>
      </c>
      <c r="AO96" s="599">
        <f t="shared" si="69"/>
        <v>0.98441473921818878</v>
      </c>
      <c r="AP96" s="600"/>
      <c r="AQ96" s="601"/>
      <c r="AR96" s="601"/>
      <c r="AS96" s="601"/>
      <c r="AT96" s="434"/>
      <c r="AU96" s="601"/>
      <c r="AV96" s="601"/>
      <c r="AW96" s="602"/>
    </row>
    <row r="97" spans="1:49" s="59" customFormat="1" ht="148.5">
      <c r="A97" s="14" t="s">
        <v>54</v>
      </c>
      <c r="B97" s="15" t="s">
        <v>1096</v>
      </c>
      <c r="C97" s="16" t="s">
        <v>0</v>
      </c>
      <c r="D97" s="16" t="s">
        <v>1097</v>
      </c>
      <c r="E97" s="607"/>
      <c r="F97" s="608">
        <f>SUM(F98:F99)</f>
        <v>5026716</v>
      </c>
      <c r="G97" s="588"/>
      <c r="H97" s="588">
        <f>SUM(H98:H99)</f>
        <v>5026716</v>
      </c>
      <c r="I97" s="588"/>
      <c r="J97" s="588">
        <f>SUM(J98:J99)</f>
        <v>5026716</v>
      </c>
      <c r="K97" s="588" t="s">
        <v>885</v>
      </c>
      <c r="L97" s="588"/>
      <c r="M97" s="588"/>
      <c r="N97" s="588">
        <f>SUM(N98:N99)</f>
        <v>0</v>
      </c>
      <c r="O97" s="588">
        <f>SUM(O98:O99)</f>
        <v>0</v>
      </c>
      <c r="P97" s="588"/>
      <c r="Q97" s="294">
        <f t="shared" si="60"/>
        <v>5026716</v>
      </c>
      <c r="R97" s="610">
        <f>Q97/J97</f>
        <v>1</v>
      </c>
      <c r="S97" s="611">
        <v>4435121.1400000006</v>
      </c>
      <c r="T97" s="573">
        <f>SUM(T98:T99)</f>
        <v>4619999.75</v>
      </c>
      <c r="U97" s="650">
        <f t="shared" si="64"/>
        <v>0.91908907326373723</v>
      </c>
      <c r="V97" s="575">
        <v>0.92032325677440308</v>
      </c>
      <c r="W97" s="575">
        <f t="shared" si="62"/>
        <v>-1.2341835106658428E-3</v>
      </c>
      <c r="X97" s="612">
        <f t="shared" si="65"/>
        <v>0.91908907326373723</v>
      </c>
      <c r="Y97" s="573">
        <f>SUM(Y98:Y99)</f>
        <v>4619999.75</v>
      </c>
      <c r="Z97" s="575">
        <f t="shared" si="66"/>
        <v>0.91908907326373723</v>
      </c>
      <c r="AA97" s="575">
        <v>0.92032325677440308</v>
      </c>
      <c r="AB97" s="575">
        <f t="shared" si="46"/>
        <v>-1.2341835106658428E-3</v>
      </c>
      <c r="AC97" s="612">
        <f t="shared" si="67"/>
        <v>0.91908907326373723</v>
      </c>
      <c r="AD97" s="613">
        <f>SUM(AD98:AD99)</f>
        <v>2168088.2999999998</v>
      </c>
      <c r="AE97" s="17">
        <f>SUM(AE98:AE99)</f>
        <v>0</v>
      </c>
      <c r="AF97" s="17">
        <f>SUM(AF98:AF99)</f>
        <v>2266167.27</v>
      </c>
      <c r="AG97" s="17">
        <f>SUM(AG98:AG99)</f>
        <v>2022709.9100000011</v>
      </c>
      <c r="AH97" s="614">
        <f>SUM(AH98:AH99)</f>
        <v>76884.679999999993</v>
      </c>
      <c r="AI97" s="573">
        <f t="shared" si="49"/>
        <v>4357370.8900000006</v>
      </c>
      <c r="AJ97" s="17">
        <f t="shared" si="70"/>
        <v>4190798.2100000009</v>
      </c>
      <c r="AK97" s="17">
        <f>SUM(AK98:AK99)</f>
        <v>4434255.57</v>
      </c>
      <c r="AL97" s="575">
        <f t="shared" si="68"/>
        <v>0.88213767596975845</v>
      </c>
      <c r="AM97" s="574">
        <v>0.87990857052596572</v>
      </c>
      <c r="AN97" s="575">
        <f t="shared" si="48"/>
        <v>2.2291054437927338E-3</v>
      </c>
      <c r="AO97" s="522">
        <f t="shared" si="69"/>
        <v>0.88213767596975845</v>
      </c>
      <c r="AP97" s="582"/>
      <c r="AQ97" s="583"/>
      <c r="AR97" s="583"/>
      <c r="AS97" s="583"/>
      <c r="AT97" s="571"/>
      <c r="AU97" s="583"/>
      <c r="AV97" s="583"/>
      <c r="AW97" s="584"/>
    </row>
    <row r="98" spans="1:49" ht="99">
      <c r="A98" s="327" t="s">
        <v>281</v>
      </c>
      <c r="B98" s="328" t="s">
        <v>1098</v>
      </c>
      <c r="C98" s="329" t="s">
        <v>0</v>
      </c>
      <c r="D98" s="329" t="s">
        <v>1097</v>
      </c>
      <c r="E98" s="585"/>
      <c r="F98" s="586">
        <v>2543142</v>
      </c>
      <c r="G98" s="331"/>
      <c r="H98" s="331">
        <v>2543142</v>
      </c>
      <c r="I98" s="331"/>
      <c r="J98" s="331">
        <f>H98</f>
        <v>2543142</v>
      </c>
      <c r="K98" s="588" t="s">
        <v>885</v>
      </c>
      <c r="L98" s="588"/>
      <c r="M98" s="588"/>
      <c r="N98" s="331">
        <v>0</v>
      </c>
      <c r="O98" s="331">
        <v>0</v>
      </c>
      <c r="P98" s="331"/>
      <c r="Q98" s="317">
        <f t="shared" si="60"/>
        <v>2543142</v>
      </c>
      <c r="R98" s="589">
        <f t="shared" ref="R98:R102" si="73">Q98/J98</f>
        <v>1</v>
      </c>
      <c r="S98" s="590">
        <v>2442836.79</v>
      </c>
      <c r="T98" s="627">
        <v>2444039.7000000002</v>
      </c>
      <c r="U98" s="651">
        <f t="shared" si="64"/>
        <v>0.96103155073527169</v>
      </c>
      <c r="V98" s="592">
        <v>0.96103155073527169</v>
      </c>
      <c r="W98" s="591">
        <f t="shared" si="62"/>
        <v>0</v>
      </c>
      <c r="X98" s="593">
        <f t="shared" si="65"/>
        <v>0.96103155073527169</v>
      </c>
      <c r="Y98" s="627">
        <v>2444039.7000000002</v>
      </c>
      <c r="Z98" s="591">
        <f t="shared" si="66"/>
        <v>0.96103155073527169</v>
      </c>
      <c r="AA98" s="592">
        <v>0.96103155073527169</v>
      </c>
      <c r="AB98" s="591">
        <f t="shared" si="46"/>
        <v>0</v>
      </c>
      <c r="AC98" s="593">
        <f t="shared" si="67"/>
        <v>0.96103155073527169</v>
      </c>
      <c r="AD98" s="604">
        <v>1295104.45</v>
      </c>
      <c r="AE98" s="22">
        <v>0</v>
      </c>
      <c r="AF98" s="22">
        <v>1142664.77</v>
      </c>
      <c r="AG98" s="605">
        <v>1099826.73</v>
      </c>
      <c r="AH98" s="606">
        <v>28253.13</v>
      </c>
      <c r="AI98" s="620">
        <f t="shared" si="49"/>
        <v>2409516.09</v>
      </c>
      <c r="AJ98" s="332">
        <f t="shared" ref="AJ98:AJ99" si="74">AD98+AE98+AG98-AH98</f>
        <v>2366678.0499999998</v>
      </c>
      <c r="AK98" s="624">
        <f>SUM(AD98:AF98)</f>
        <v>2437769.2199999997</v>
      </c>
      <c r="AL98" s="591">
        <f t="shared" si="68"/>
        <v>0.95856590784155971</v>
      </c>
      <c r="AM98" s="598">
        <v>0.95708513327214917</v>
      </c>
      <c r="AN98" s="591">
        <f t="shared" si="48"/>
        <v>1.4807745694105368E-3</v>
      </c>
      <c r="AO98" s="599">
        <f t="shared" si="69"/>
        <v>0.95856590784155971</v>
      </c>
      <c r="AP98" s="600"/>
      <c r="AQ98" s="601"/>
      <c r="AR98" s="601"/>
      <c r="AS98" s="601"/>
      <c r="AT98" s="434"/>
      <c r="AU98" s="601"/>
      <c r="AV98" s="601"/>
      <c r="AW98" s="602"/>
    </row>
    <row r="99" spans="1:49" ht="115.5">
      <c r="A99" s="327" t="s">
        <v>1099</v>
      </c>
      <c r="B99" s="328" t="s">
        <v>1100</v>
      </c>
      <c r="C99" s="329" t="s">
        <v>0</v>
      </c>
      <c r="D99" s="329" t="s">
        <v>1097</v>
      </c>
      <c r="E99" s="585"/>
      <c r="F99" s="586">
        <v>2483574</v>
      </c>
      <c r="G99" s="331"/>
      <c r="H99" s="331">
        <v>2483574</v>
      </c>
      <c r="I99" s="331"/>
      <c r="J99" s="331">
        <f>H99</f>
        <v>2483574</v>
      </c>
      <c r="K99" s="588" t="s">
        <v>885</v>
      </c>
      <c r="L99" s="588"/>
      <c r="M99" s="588"/>
      <c r="N99" s="331">
        <v>0</v>
      </c>
      <c r="O99" s="331">
        <v>0</v>
      </c>
      <c r="P99" s="331"/>
      <c r="Q99" s="317">
        <f t="shared" si="60"/>
        <v>2483574</v>
      </c>
      <c r="R99" s="589">
        <f t="shared" si="73"/>
        <v>1</v>
      </c>
      <c r="S99" s="590">
        <v>1992284.35</v>
      </c>
      <c r="T99" s="627">
        <v>2175960.0499999998</v>
      </c>
      <c r="U99" s="651">
        <f t="shared" si="64"/>
        <v>0.87614061429214507</v>
      </c>
      <c r="V99" s="592">
        <v>0.87863858294538433</v>
      </c>
      <c r="W99" s="591">
        <f t="shared" si="62"/>
        <v>-2.4979686532392575E-3</v>
      </c>
      <c r="X99" s="593">
        <f t="shared" si="65"/>
        <v>0.87614061429214507</v>
      </c>
      <c r="Y99" s="627">
        <v>2175960.0499999998</v>
      </c>
      <c r="Z99" s="591">
        <f t="shared" si="66"/>
        <v>0.87614061429214507</v>
      </c>
      <c r="AA99" s="592">
        <v>0.87863858294538433</v>
      </c>
      <c r="AB99" s="591">
        <f t="shared" si="46"/>
        <v>-2.4979686532392575E-3</v>
      </c>
      <c r="AC99" s="593">
        <f t="shared" si="67"/>
        <v>0.87614061429214507</v>
      </c>
      <c r="AD99" s="625">
        <v>872983.85</v>
      </c>
      <c r="AE99" s="22">
        <v>0</v>
      </c>
      <c r="AF99" s="22">
        <v>1123502.5</v>
      </c>
      <c r="AG99" s="605">
        <v>922883.18000000098</v>
      </c>
      <c r="AH99" s="606">
        <v>48631.549999999996</v>
      </c>
      <c r="AI99" s="620">
        <f t="shared" si="49"/>
        <v>1947854.8</v>
      </c>
      <c r="AJ99" s="332">
        <f t="shared" si="74"/>
        <v>1747235.4800000009</v>
      </c>
      <c r="AK99" s="624">
        <f>SUM(AD99:AF99)</f>
        <v>1996486.35</v>
      </c>
      <c r="AL99" s="591">
        <f t="shared" si="68"/>
        <v>0.80387632903227368</v>
      </c>
      <c r="AM99" s="598">
        <v>0.80088094415547906</v>
      </c>
      <c r="AN99" s="591">
        <f t="shared" si="48"/>
        <v>2.9953848767946267E-3</v>
      </c>
      <c r="AO99" s="599">
        <f t="shared" si="69"/>
        <v>0.80387632903227368</v>
      </c>
      <c r="AP99" s="600"/>
      <c r="AQ99" s="601"/>
      <c r="AR99" s="601"/>
      <c r="AS99" s="601"/>
      <c r="AT99" s="434"/>
      <c r="AU99" s="601"/>
      <c r="AV99" s="601"/>
      <c r="AW99" s="602"/>
    </row>
    <row r="100" spans="1:49" s="59" customFormat="1" ht="49.5">
      <c r="A100" s="566" t="s">
        <v>205</v>
      </c>
      <c r="B100" s="567" t="s">
        <v>1101</v>
      </c>
      <c r="C100" s="568" t="s">
        <v>0</v>
      </c>
      <c r="D100" s="568" t="s">
        <v>1080</v>
      </c>
      <c r="E100" s="569"/>
      <c r="F100" s="570">
        <f>F101</f>
        <v>12847761</v>
      </c>
      <c r="G100" s="571"/>
      <c r="H100" s="571">
        <f>H101</f>
        <v>12847761</v>
      </c>
      <c r="I100" s="571"/>
      <c r="J100" s="571">
        <f>J101</f>
        <v>12847761</v>
      </c>
      <c r="K100" s="571" t="s">
        <v>885</v>
      </c>
      <c r="L100" s="571"/>
      <c r="M100" s="571"/>
      <c r="N100" s="571">
        <f>N101</f>
        <v>0</v>
      </c>
      <c r="O100" s="588">
        <f>O101</f>
        <v>0</v>
      </c>
      <c r="P100" s="588"/>
      <c r="Q100" s="294">
        <f t="shared" si="60"/>
        <v>12847761</v>
      </c>
      <c r="R100" s="491">
        <f t="shared" si="73"/>
        <v>1</v>
      </c>
      <c r="S100" s="611">
        <v>8725247.8848000001</v>
      </c>
      <c r="T100" s="652">
        <f>T101</f>
        <v>12607981.789999999</v>
      </c>
      <c r="U100" s="574">
        <f t="shared" si="64"/>
        <v>0.98133688741563596</v>
      </c>
      <c r="V100" s="574">
        <v>0.97853107946201667</v>
      </c>
      <c r="W100" s="575">
        <f t="shared" si="62"/>
        <v>2.8058079536192881E-3</v>
      </c>
      <c r="X100" s="576">
        <f t="shared" si="65"/>
        <v>0.98133688741563596</v>
      </c>
      <c r="Y100" s="577">
        <f>Y101</f>
        <v>12607981.789999999</v>
      </c>
      <c r="Z100" s="574">
        <f t="shared" si="66"/>
        <v>0.98133688741563596</v>
      </c>
      <c r="AA100" s="574">
        <v>0.97853107946201667</v>
      </c>
      <c r="AB100" s="575">
        <f t="shared" si="46"/>
        <v>2.8058079536192881E-3</v>
      </c>
      <c r="AC100" s="576">
        <f t="shared" si="67"/>
        <v>0.98133688741563596</v>
      </c>
      <c r="AD100" s="578">
        <f t="shared" ref="AD100:AH101" si="75">AD101</f>
        <v>9527006.9299999997</v>
      </c>
      <c r="AE100" s="579">
        <f t="shared" si="75"/>
        <v>0</v>
      </c>
      <c r="AF100" s="579">
        <f t="shared" si="75"/>
        <v>0</v>
      </c>
      <c r="AG100" s="579">
        <f t="shared" si="75"/>
        <v>0</v>
      </c>
      <c r="AH100" s="580">
        <f t="shared" si="75"/>
        <v>174.25</v>
      </c>
      <c r="AI100" s="577">
        <f t="shared" si="49"/>
        <v>9526832.6799999997</v>
      </c>
      <c r="AJ100" s="17">
        <f t="shared" si="70"/>
        <v>9527006.9299999997</v>
      </c>
      <c r="AK100" s="17">
        <f>AK101</f>
        <v>9527006.9299999997</v>
      </c>
      <c r="AL100" s="575">
        <f t="shared" si="68"/>
        <v>0.74153052271131126</v>
      </c>
      <c r="AM100" s="574">
        <v>0.72497390089993119</v>
      </c>
      <c r="AN100" s="653">
        <f t="shared" si="48"/>
        <v>1.6556621811380068E-2</v>
      </c>
      <c r="AO100" s="522">
        <f t="shared" si="69"/>
        <v>0.74153052271131126</v>
      </c>
      <c r="AP100" s="582"/>
      <c r="AQ100" s="583"/>
      <c r="AR100" s="583"/>
      <c r="AS100" s="583"/>
      <c r="AT100" s="571"/>
      <c r="AU100" s="583"/>
      <c r="AV100" s="583"/>
      <c r="AW100" s="584"/>
    </row>
    <row r="101" spans="1:49" s="59" customFormat="1" ht="115.5">
      <c r="A101" s="566" t="s">
        <v>155</v>
      </c>
      <c r="B101" s="567" t="s">
        <v>1102</v>
      </c>
      <c r="C101" s="568" t="s">
        <v>0</v>
      </c>
      <c r="D101" s="568" t="s">
        <v>1080</v>
      </c>
      <c r="E101" s="569"/>
      <c r="F101" s="570">
        <f>F102</f>
        <v>12847761</v>
      </c>
      <c r="G101" s="571"/>
      <c r="H101" s="571">
        <f>H102</f>
        <v>12847761</v>
      </c>
      <c r="I101" s="571"/>
      <c r="J101" s="571">
        <f>J102</f>
        <v>12847761</v>
      </c>
      <c r="K101" s="571" t="s">
        <v>885</v>
      </c>
      <c r="L101" s="571"/>
      <c r="M101" s="571"/>
      <c r="N101" s="571">
        <f>N102</f>
        <v>0</v>
      </c>
      <c r="O101" s="588">
        <f>O102</f>
        <v>0</v>
      </c>
      <c r="P101" s="588"/>
      <c r="Q101" s="294">
        <f t="shared" si="60"/>
        <v>12847761</v>
      </c>
      <c r="R101" s="491">
        <f t="shared" si="73"/>
        <v>1</v>
      </c>
      <c r="S101" s="611">
        <v>8725247.8848000001</v>
      </c>
      <c r="T101" s="577">
        <f>T102</f>
        <v>12607981.789999999</v>
      </c>
      <c r="U101" s="574">
        <f t="shared" si="64"/>
        <v>0.98133688741563596</v>
      </c>
      <c r="V101" s="574">
        <v>0.97853107946201667</v>
      </c>
      <c r="W101" s="575">
        <f t="shared" si="62"/>
        <v>2.8058079536192881E-3</v>
      </c>
      <c r="X101" s="576">
        <f t="shared" si="65"/>
        <v>0.98133688741563596</v>
      </c>
      <c r="Y101" s="577">
        <f>Y102</f>
        <v>12607981.789999999</v>
      </c>
      <c r="Z101" s="574">
        <f t="shared" si="66"/>
        <v>0.98133688741563596</v>
      </c>
      <c r="AA101" s="574">
        <v>0.97853107946201667</v>
      </c>
      <c r="AB101" s="575">
        <f t="shared" si="46"/>
        <v>2.8058079536192881E-3</v>
      </c>
      <c r="AC101" s="576">
        <f t="shared" si="67"/>
        <v>0.98133688741563596</v>
      </c>
      <c r="AD101" s="578">
        <f t="shared" si="75"/>
        <v>9527006.9299999997</v>
      </c>
      <c r="AE101" s="579">
        <f t="shared" si="75"/>
        <v>0</v>
      </c>
      <c r="AF101" s="579">
        <f t="shared" si="75"/>
        <v>0</v>
      </c>
      <c r="AG101" s="579">
        <f t="shared" si="75"/>
        <v>0</v>
      </c>
      <c r="AH101" s="580">
        <f t="shared" si="75"/>
        <v>174.25</v>
      </c>
      <c r="AI101" s="577">
        <f t="shared" si="49"/>
        <v>9526832.6799999997</v>
      </c>
      <c r="AJ101" s="17">
        <f t="shared" si="70"/>
        <v>9527006.9299999997</v>
      </c>
      <c r="AK101" s="17">
        <f>AK102</f>
        <v>9527006.9299999997</v>
      </c>
      <c r="AL101" s="575">
        <f t="shared" si="68"/>
        <v>0.74153052271131126</v>
      </c>
      <c r="AM101" s="574">
        <v>0.72497390089993119</v>
      </c>
      <c r="AN101" s="653">
        <f t="shared" si="48"/>
        <v>1.6556621811380068E-2</v>
      </c>
      <c r="AO101" s="522">
        <f t="shared" si="69"/>
        <v>0.74153052271131126</v>
      </c>
      <c r="AP101" s="582"/>
      <c r="AQ101" s="583"/>
      <c r="AR101" s="583"/>
      <c r="AS101" s="583"/>
      <c r="AT101" s="571"/>
      <c r="AU101" s="583"/>
      <c r="AV101" s="583"/>
      <c r="AW101" s="584"/>
    </row>
    <row r="102" spans="1:49" ht="82.5">
      <c r="A102" s="654" t="s">
        <v>1103</v>
      </c>
      <c r="B102" s="655" t="s">
        <v>1104</v>
      </c>
      <c r="C102" s="656" t="s">
        <v>0</v>
      </c>
      <c r="D102" s="656" t="s">
        <v>1080</v>
      </c>
      <c r="E102" s="657"/>
      <c r="F102" s="658">
        <v>12847761</v>
      </c>
      <c r="G102" s="434"/>
      <c r="H102" s="434">
        <v>12847761</v>
      </c>
      <c r="I102" s="434"/>
      <c r="J102" s="434">
        <v>12847761</v>
      </c>
      <c r="K102" s="571" t="s">
        <v>885</v>
      </c>
      <c r="L102" s="571"/>
      <c r="M102" s="571"/>
      <c r="N102" s="434">
        <v>0</v>
      </c>
      <c r="O102" s="434">
        <v>0</v>
      </c>
      <c r="P102" s="434"/>
      <c r="Q102" s="659">
        <f t="shared" si="60"/>
        <v>12847761</v>
      </c>
      <c r="R102" s="660">
        <f t="shared" si="73"/>
        <v>1</v>
      </c>
      <c r="S102" s="590">
        <v>8725247.8848000001</v>
      </c>
      <c r="T102" s="658">
        <v>12607981.789999999</v>
      </c>
      <c r="U102" s="598">
        <f t="shared" si="64"/>
        <v>0.98133688741563596</v>
      </c>
      <c r="V102" s="661">
        <v>0.97853107946201667</v>
      </c>
      <c r="W102" s="591">
        <f t="shared" si="62"/>
        <v>2.8058079536192881E-3</v>
      </c>
      <c r="X102" s="662">
        <f t="shared" si="65"/>
        <v>0.98133688741563596</v>
      </c>
      <c r="Y102" s="658">
        <v>12607981.789999999</v>
      </c>
      <c r="Z102" s="598">
        <f t="shared" si="66"/>
        <v>0.98133688741563596</v>
      </c>
      <c r="AA102" s="661">
        <v>0.97853107946201667</v>
      </c>
      <c r="AB102" s="591">
        <f t="shared" si="46"/>
        <v>2.8058079536192881E-3</v>
      </c>
      <c r="AC102" s="662">
        <f t="shared" si="67"/>
        <v>0.98133688741563596</v>
      </c>
      <c r="AD102" s="600">
        <v>9527006.9299999997</v>
      </c>
      <c r="AE102" s="663">
        <v>0</v>
      </c>
      <c r="AF102" s="663">
        <v>0</v>
      </c>
      <c r="AG102" s="663">
        <v>0</v>
      </c>
      <c r="AH102" s="664">
        <v>174.25</v>
      </c>
      <c r="AI102" s="665">
        <f t="shared" si="49"/>
        <v>9526832.6799999997</v>
      </c>
      <c r="AJ102" s="429">
        <f>AD102+AE102+AG102-AH102</f>
        <v>9526832.6799999997</v>
      </c>
      <c r="AK102" s="434">
        <f>SUM(AD102:AF102)</f>
        <v>9527006.9299999997</v>
      </c>
      <c r="AL102" s="598">
        <f t="shared" si="68"/>
        <v>0.74153052271131126</v>
      </c>
      <c r="AM102" s="598">
        <v>0.72497390089993119</v>
      </c>
      <c r="AN102" s="666">
        <f t="shared" si="48"/>
        <v>1.6556621811380068E-2</v>
      </c>
      <c r="AO102" s="599">
        <f t="shared" si="69"/>
        <v>0.74153052271131126</v>
      </c>
      <c r="AP102" s="667"/>
      <c r="AQ102" s="668"/>
      <c r="AR102" s="601"/>
      <c r="AS102" s="601"/>
      <c r="AT102" s="434"/>
      <c r="AU102" s="601"/>
      <c r="AV102" s="601"/>
      <c r="AW102" s="602"/>
    </row>
    <row r="103" spans="1:49" s="59" customFormat="1" ht="92.25">
      <c r="A103" s="34">
        <v>2</v>
      </c>
      <c r="B103" s="35" t="s">
        <v>1105</v>
      </c>
      <c r="C103" s="36" t="s">
        <v>1106</v>
      </c>
      <c r="D103" s="36" t="s">
        <v>1</v>
      </c>
      <c r="E103" s="669">
        <f>E104+E124+E134+E146</f>
        <v>696281634</v>
      </c>
      <c r="F103" s="670">
        <f>F104+F124+F134+F146</f>
        <v>489349517.50173599</v>
      </c>
      <c r="G103" s="670">
        <f>H103/G2</f>
        <v>736730949.51661634</v>
      </c>
      <c r="H103" s="670">
        <f>H104+H124+H134+H146</f>
        <v>517777458.24407601</v>
      </c>
      <c r="I103" s="670"/>
      <c r="J103" s="670">
        <f>J104+J124+J134+J146</f>
        <v>517777459.14213598</v>
      </c>
      <c r="K103" s="671" t="s">
        <v>1107</v>
      </c>
      <c r="L103" s="671"/>
      <c r="M103" s="671"/>
      <c r="N103" s="672">
        <f>N104+N124+N134+N146</f>
        <v>46814550</v>
      </c>
      <c r="O103" s="672">
        <f>O104+O124+O134+O146</f>
        <v>22658695.581</v>
      </c>
      <c r="P103" s="672"/>
      <c r="Q103" s="672">
        <f t="shared" si="60"/>
        <v>540436154.72313595</v>
      </c>
      <c r="R103" s="71">
        <f>Q103/J103</f>
        <v>1.0437614561640851</v>
      </c>
      <c r="S103" s="673">
        <v>349831629.4788</v>
      </c>
      <c r="T103" s="673">
        <f>T104+T124+T134+T146</f>
        <v>436994325.77413595</v>
      </c>
      <c r="U103" s="674">
        <f t="shared" si="64"/>
        <v>0.84398097688176088</v>
      </c>
      <c r="V103" s="675">
        <v>0.84385055405471876</v>
      </c>
      <c r="W103" s="555">
        <f>U103-V103</f>
        <v>1.3042282704212038E-4</v>
      </c>
      <c r="X103" s="555">
        <f t="shared" si="65"/>
        <v>0.80859565363092156</v>
      </c>
      <c r="Y103" s="673">
        <f>Y104+Y124+Y134+Y146</f>
        <v>431603318.20413595</v>
      </c>
      <c r="Z103" s="674">
        <f t="shared" si="66"/>
        <v>0.83356915327914227</v>
      </c>
      <c r="AA103" s="675">
        <v>0.83343873045210015</v>
      </c>
      <c r="AB103" s="555">
        <f t="shared" si="46"/>
        <v>1.3042282704212038E-4</v>
      </c>
      <c r="AC103" s="555">
        <f t="shared" si="67"/>
        <v>0.79862036326056907</v>
      </c>
      <c r="AD103" s="676">
        <f>AD104+AD124+AD134+AD146</f>
        <v>268741012.29281598</v>
      </c>
      <c r="AE103" s="672">
        <f>AE104+AE124+AE134+AE146</f>
        <v>37621383.840000004</v>
      </c>
      <c r="AF103" s="672">
        <f>AF104+AF124+AF134+AF146</f>
        <v>32641673.180000003</v>
      </c>
      <c r="AG103" s="672">
        <f>AG104+AG124+AG134+AG146</f>
        <v>18108775.169999968</v>
      </c>
      <c r="AH103" s="677">
        <f>AH104+AH124+AH134+AH146</f>
        <v>39902789.719999991</v>
      </c>
      <c r="AI103" s="678">
        <f t="shared" si="49"/>
        <v>266597482.19413599</v>
      </c>
      <c r="AJ103" s="672">
        <f t="shared" si="70"/>
        <v>324471171.30281591</v>
      </c>
      <c r="AK103" s="672">
        <f>AK104+AK124+AK134+AK146</f>
        <v>306500271.91413599</v>
      </c>
      <c r="AL103" s="674">
        <f t="shared" si="68"/>
        <v>0.59195367913843089</v>
      </c>
      <c r="AM103" s="679">
        <v>0.59161292942659072</v>
      </c>
      <c r="AN103" s="555">
        <f t="shared" si="48"/>
        <v>3.4074971184017144E-4</v>
      </c>
      <c r="AO103" s="555">
        <f t="shared" si="69"/>
        <v>0.56713502461943033</v>
      </c>
      <c r="AP103" s="680">
        <v>165856216.49573633</v>
      </c>
      <c r="AQ103" s="563">
        <f>AP103/J103</f>
        <v>0.32032336202995437</v>
      </c>
      <c r="AR103" s="563">
        <v>0.32032336245690002</v>
      </c>
      <c r="AS103" s="563">
        <f>AQ103-AR103</f>
        <v>-4.2694564550416203E-10</v>
      </c>
      <c r="AT103" s="681">
        <v>212669306.5</v>
      </c>
      <c r="AU103" s="563">
        <f>AT103/J103</f>
        <v>0.41073496488695116</v>
      </c>
      <c r="AV103" s="563">
        <v>0.41073496543440263</v>
      </c>
      <c r="AW103" s="565">
        <f>AU103-AV103</f>
        <v>-5.4745147304302577E-10</v>
      </c>
    </row>
    <row r="104" spans="1:49" s="59" customFormat="1" ht="49.5">
      <c r="A104" s="566" t="s">
        <v>146</v>
      </c>
      <c r="B104" s="567" t="s">
        <v>1108</v>
      </c>
      <c r="C104" s="568"/>
      <c r="D104" s="568"/>
      <c r="E104" s="682">
        <f>E105+E111</f>
        <v>451884038</v>
      </c>
      <c r="F104" s="588">
        <f>F105+F111</f>
        <v>317585909.44255197</v>
      </c>
      <c r="G104" s="571">
        <f>H104/G2</f>
        <v>486842086.87920386</v>
      </c>
      <c r="H104" s="571">
        <f>H105+H111</f>
        <v>342154566.02705199</v>
      </c>
      <c r="I104" s="571"/>
      <c r="J104" s="571">
        <f>J105+J111</f>
        <v>342154565.54153198</v>
      </c>
      <c r="K104" s="683" t="s">
        <v>1109</v>
      </c>
      <c r="L104" s="683"/>
      <c r="M104" s="683"/>
      <c r="N104" s="579">
        <f>N105+N111</f>
        <v>40814550</v>
      </c>
      <c r="O104" s="579">
        <f>O105+O111</f>
        <v>19658695.581</v>
      </c>
      <c r="P104" s="579"/>
      <c r="Q104" s="518">
        <f t="shared" si="60"/>
        <v>361813261.12253201</v>
      </c>
      <c r="R104" s="491">
        <f t="shared" ref="R104:R110" si="76">Q104/J104</f>
        <v>1.05745559919648</v>
      </c>
      <c r="S104" s="572">
        <v>177872303.98000002</v>
      </c>
      <c r="T104" s="577">
        <f>T105+T111</f>
        <v>275496554.52999997</v>
      </c>
      <c r="U104" s="574">
        <f t="shared" si="64"/>
        <v>0.80518158246396154</v>
      </c>
      <c r="V104" s="574">
        <v>0.80518158246396154</v>
      </c>
      <c r="W104" s="575">
        <f t="shared" si="62"/>
        <v>0</v>
      </c>
      <c r="X104" s="576">
        <f t="shared" si="65"/>
        <v>0.76143299357040439</v>
      </c>
      <c r="Y104" s="577">
        <f>Y105+Y111</f>
        <v>270457745.52999997</v>
      </c>
      <c r="Z104" s="574">
        <f t="shared" si="66"/>
        <v>0.79045487849020335</v>
      </c>
      <c r="AA104" s="574">
        <v>0.79045487849020335</v>
      </c>
      <c r="AB104" s="575">
        <f t="shared" si="46"/>
        <v>0</v>
      </c>
      <c r="AC104" s="576">
        <f t="shared" si="67"/>
        <v>0.74750644763793361</v>
      </c>
      <c r="AD104" s="578">
        <f t="shared" ref="AD104:AH104" si="77">AD105+AD111</f>
        <v>107732829.57999998</v>
      </c>
      <c r="AE104" s="579">
        <f t="shared" si="77"/>
        <v>29019219.210000001</v>
      </c>
      <c r="AF104" s="579">
        <f t="shared" si="77"/>
        <v>32013503.150000002</v>
      </c>
      <c r="AG104" s="579">
        <f t="shared" si="77"/>
        <v>17736884.179999966</v>
      </c>
      <c r="AH104" s="580">
        <f t="shared" si="77"/>
        <v>6367636.080000001</v>
      </c>
      <c r="AI104" s="678">
        <f t="shared" si="49"/>
        <v>162397915.85999998</v>
      </c>
      <c r="AJ104" s="17">
        <f t="shared" si="70"/>
        <v>154488932.96999997</v>
      </c>
      <c r="AK104" s="579">
        <f>AK105+AK111</f>
        <v>168765551.94</v>
      </c>
      <c r="AL104" s="574">
        <f t="shared" si="68"/>
        <v>0.49324360665155181</v>
      </c>
      <c r="AM104" s="574">
        <v>0.49324360665155181</v>
      </c>
      <c r="AN104" s="575">
        <f t="shared" si="48"/>
        <v>0</v>
      </c>
      <c r="AO104" s="496">
        <f t="shared" si="69"/>
        <v>0.46644379870544794</v>
      </c>
      <c r="AP104" s="582"/>
      <c r="AQ104" s="583"/>
      <c r="AR104" s="583"/>
      <c r="AS104" s="583"/>
      <c r="AT104" s="571"/>
      <c r="AU104" s="583"/>
      <c r="AV104" s="583"/>
      <c r="AW104" s="584"/>
    </row>
    <row r="105" spans="1:49" s="59" customFormat="1" ht="110.25">
      <c r="A105" s="566" t="s">
        <v>56</v>
      </c>
      <c r="B105" s="567" t="s">
        <v>1110</v>
      </c>
      <c r="C105" s="568" t="s">
        <v>1106</v>
      </c>
      <c r="D105" s="568" t="s">
        <v>814</v>
      </c>
      <c r="E105" s="684">
        <f>E106+E107+E108</f>
        <v>210963075</v>
      </c>
      <c r="F105" s="608">
        <f>F106+F107+F108</f>
        <v>148265692.9623</v>
      </c>
      <c r="G105" s="571">
        <f>H105/G2</f>
        <v>219084169</v>
      </c>
      <c r="H105" s="571">
        <f>H106+H107+H108</f>
        <v>153973230.30987599</v>
      </c>
      <c r="I105" s="571"/>
      <c r="J105" s="588">
        <f>J106+J107+J108</f>
        <v>153973230</v>
      </c>
      <c r="K105" s="685" t="s">
        <v>1111</v>
      </c>
      <c r="L105" s="685"/>
      <c r="M105" s="685"/>
      <c r="N105" s="17">
        <f>N106+N107+N108</f>
        <v>5418</v>
      </c>
      <c r="O105" s="17">
        <f>O106+O107+O108</f>
        <v>5017.6098000000002</v>
      </c>
      <c r="P105" s="17"/>
      <c r="Q105" s="294">
        <f t="shared" si="60"/>
        <v>153978247.60980001</v>
      </c>
      <c r="R105" s="491">
        <f t="shared" si="76"/>
        <v>1.0000325875465497</v>
      </c>
      <c r="S105" s="611">
        <v>81374444.420000002</v>
      </c>
      <c r="T105" s="577">
        <f>SUM(T106,T107,T108)</f>
        <v>133873446.58</v>
      </c>
      <c r="U105" s="574">
        <f t="shared" si="64"/>
        <v>0.86945923379018542</v>
      </c>
      <c r="V105" s="574">
        <v>0.86945923379018542</v>
      </c>
      <c r="W105" s="575">
        <f t="shared" si="62"/>
        <v>0</v>
      </c>
      <c r="X105" s="576">
        <f t="shared" si="65"/>
        <v>0.86943090117022193</v>
      </c>
      <c r="Y105" s="577">
        <f>SUM(Y106,Y107,Y108)</f>
        <v>128834637.58</v>
      </c>
      <c r="Z105" s="574">
        <f t="shared" si="66"/>
        <v>0.83673400616457805</v>
      </c>
      <c r="AA105" s="574">
        <v>0.83673400616457805</v>
      </c>
      <c r="AB105" s="575">
        <f t="shared" si="46"/>
        <v>0</v>
      </c>
      <c r="AC105" s="576">
        <f t="shared" si="67"/>
        <v>0.83670673994474176</v>
      </c>
      <c r="AD105" s="578">
        <f t="shared" ref="AD105:AH105" si="78">SUM(AD106,AD107,AD108)</f>
        <v>45062426.599999994</v>
      </c>
      <c r="AE105" s="579">
        <f t="shared" si="78"/>
        <v>0</v>
      </c>
      <c r="AF105" s="579">
        <f t="shared" si="78"/>
        <v>31706975.210000001</v>
      </c>
      <c r="AG105" s="579">
        <f t="shared" si="78"/>
        <v>7567339.5799999665</v>
      </c>
      <c r="AH105" s="580">
        <f t="shared" si="78"/>
        <v>147648.57</v>
      </c>
      <c r="AI105" s="678">
        <f t="shared" si="49"/>
        <v>76621753.24000001</v>
      </c>
      <c r="AJ105" s="17">
        <f t="shared" si="70"/>
        <v>52629766.179999962</v>
      </c>
      <c r="AK105" s="17">
        <f>SUM(AK106,AK107,AK108)</f>
        <v>76769401.810000002</v>
      </c>
      <c r="AL105" s="575">
        <f t="shared" si="68"/>
        <v>0.49858927951306864</v>
      </c>
      <c r="AM105" s="574">
        <v>0.49858927951306864</v>
      </c>
      <c r="AN105" s="575">
        <f t="shared" si="48"/>
        <v>0</v>
      </c>
      <c r="AO105" s="496">
        <f t="shared" si="69"/>
        <v>0.49857303224117211</v>
      </c>
      <c r="AP105" s="582"/>
      <c r="AQ105" s="583"/>
      <c r="AR105" s="583"/>
      <c r="AS105" s="583"/>
      <c r="AT105" s="571"/>
      <c r="AU105" s="583"/>
      <c r="AV105" s="583"/>
      <c r="AW105" s="584"/>
    </row>
    <row r="106" spans="1:49" ht="49.5">
      <c r="A106" s="654" t="s">
        <v>1112</v>
      </c>
      <c r="B106" s="655" t="s">
        <v>1113</v>
      </c>
      <c r="C106" s="656" t="s">
        <v>1106</v>
      </c>
      <c r="D106" s="656" t="s">
        <v>814</v>
      </c>
      <c r="E106" s="686">
        <v>73881858</v>
      </c>
      <c r="F106" s="586">
        <f>E106*$E$2</f>
        <v>51924465.329832003</v>
      </c>
      <c r="G106" s="330">
        <v>74381852</v>
      </c>
      <c r="H106" s="687">
        <f>G106*G2</f>
        <v>52275863.113008</v>
      </c>
      <c r="I106" s="688"/>
      <c r="J106" s="332">
        <v>52275863</v>
      </c>
      <c r="K106" s="689" t="s">
        <v>1114</v>
      </c>
      <c r="L106" s="689"/>
      <c r="M106" s="689"/>
      <c r="N106" s="332">
        <v>5418</v>
      </c>
      <c r="O106" s="332">
        <f>N106*0.9261</f>
        <v>5017.6098000000002</v>
      </c>
      <c r="P106" s="332"/>
      <c r="Q106" s="317">
        <f t="shared" si="60"/>
        <v>52280880.609800003</v>
      </c>
      <c r="R106" s="660">
        <f t="shared" si="76"/>
        <v>1.000095983299214</v>
      </c>
      <c r="S106" s="690">
        <v>30672138.5</v>
      </c>
      <c r="T106" s="658">
        <v>37894000.890000001</v>
      </c>
      <c r="U106" s="598">
        <f t="shared" si="64"/>
        <v>0.72488522838924729</v>
      </c>
      <c r="V106" s="661">
        <v>0.72488522838924729</v>
      </c>
      <c r="W106" s="591">
        <f t="shared" si="62"/>
        <v>0</v>
      </c>
      <c r="X106" s="662">
        <f t="shared" si="65"/>
        <v>0.72481565819105209</v>
      </c>
      <c r="Y106" s="658">
        <v>32855191.890000001</v>
      </c>
      <c r="Z106" s="598">
        <f t="shared" si="66"/>
        <v>0.62849640358878434</v>
      </c>
      <c r="AA106" s="661">
        <v>0.62849640358878434</v>
      </c>
      <c r="AB106" s="591">
        <f t="shared" si="46"/>
        <v>0</v>
      </c>
      <c r="AC106" s="662">
        <f t="shared" si="67"/>
        <v>0.6284360842200758</v>
      </c>
      <c r="AD106" s="691">
        <v>18528824.349999998</v>
      </c>
      <c r="AE106" s="692">
        <v>0</v>
      </c>
      <c r="AF106" s="692">
        <v>10968186.779999999</v>
      </c>
      <c r="AG106" s="692">
        <v>6713740.1699999701</v>
      </c>
      <c r="AH106" s="693">
        <v>69062.8</v>
      </c>
      <c r="AI106" s="678">
        <f t="shared" si="49"/>
        <v>29427948.329999994</v>
      </c>
      <c r="AJ106" s="332">
        <f t="shared" ref="AJ106:AJ110" si="79">AD106+AE106+AG106-AH106</f>
        <v>25173501.719999965</v>
      </c>
      <c r="AK106" s="332">
        <f>SUM(AD106:AF106)</f>
        <v>29497011.129999995</v>
      </c>
      <c r="AL106" s="591">
        <f t="shared" si="68"/>
        <v>0.564256799165611</v>
      </c>
      <c r="AM106" s="598">
        <v>0.564256799165611</v>
      </c>
      <c r="AN106" s="591">
        <f t="shared" si="48"/>
        <v>0</v>
      </c>
      <c r="AO106" s="694">
        <f t="shared" si="69"/>
        <v>0.56420264513430574</v>
      </c>
      <c r="AP106" s="600"/>
      <c r="AQ106" s="601"/>
      <c r="AR106" s="601"/>
      <c r="AS106" s="601"/>
      <c r="AT106" s="434"/>
      <c r="AU106" s="601"/>
      <c r="AV106" s="601"/>
      <c r="AW106" s="602"/>
    </row>
    <row r="107" spans="1:49" ht="115.5">
      <c r="A107" s="654" t="s">
        <v>1115</v>
      </c>
      <c r="B107" s="655" t="s">
        <v>1116</v>
      </c>
      <c r="C107" s="656" t="s">
        <v>1106</v>
      </c>
      <c r="D107" s="656" t="s">
        <v>814</v>
      </c>
      <c r="E107" s="686">
        <v>6108127</v>
      </c>
      <c r="F107" s="586">
        <f>E107*$E$2</f>
        <v>4292816.0881080003</v>
      </c>
      <c r="G107" s="434">
        <v>6213055</v>
      </c>
      <c r="H107" s="692">
        <f>G107*G2</f>
        <v>4366559.9062200002</v>
      </c>
      <c r="I107" s="692"/>
      <c r="J107" s="22">
        <v>4366560</v>
      </c>
      <c r="K107" s="689" t="s">
        <v>1117</v>
      </c>
      <c r="L107" s="689"/>
      <c r="M107" s="689"/>
      <c r="N107" s="22">
        <v>0</v>
      </c>
      <c r="O107" s="22">
        <v>0</v>
      </c>
      <c r="P107" s="22"/>
      <c r="Q107" s="317">
        <f t="shared" si="60"/>
        <v>4366560</v>
      </c>
      <c r="R107" s="660">
        <f t="shared" si="76"/>
        <v>1</v>
      </c>
      <c r="S107" s="695">
        <v>3658582.34</v>
      </c>
      <c r="T107" s="658">
        <v>3914260.09</v>
      </c>
      <c r="U107" s="598">
        <f t="shared" si="64"/>
        <v>0.89641733767542409</v>
      </c>
      <c r="V107" s="661">
        <v>0.89641733767542409</v>
      </c>
      <c r="W107" s="591">
        <f t="shared" si="62"/>
        <v>0</v>
      </c>
      <c r="X107" s="662">
        <f t="shared" si="65"/>
        <v>0.89641733767542409</v>
      </c>
      <c r="Y107" s="658">
        <v>3914260.09</v>
      </c>
      <c r="Z107" s="598">
        <f t="shared" si="66"/>
        <v>0.89641733767542409</v>
      </c>
      <c r="AA107" s="661">
        <v>0.89641733767542409</v>
      </c>
      <c r="AB107" s="591">
        <f t="shared" si="46"/>
        <v>0</v>
      </c>
      <c r="AC107" s="662">
        <f t="shared" si="67"/>
        <v>0.89641733767542409</v>
      </c>
      <c r="AD107" s="691">
        <v>2384094.25</v>
      </c>
      <c r="AE107" s="692">
        <v>0</v>
      </c>
      <c r="AF107" s="692">
        <v>1046472.99</v>
      </c>
      <c r="AG107" s="692">
        <v>593024.52</v>
      </c>
      <c r="AH107" s="693">
        <v>78585.77</v>
      </c>
      <c r="AI107" s="678">
        <f t="shared" si="49"/>
        <v>3351981.47</v>
      </c>
      <c r="AJ107" s="332">
        <f t="shared" si="79"/>
        <v>2898533</v>
      </c>
      <c r="AK107" s="332">
        <f>SUM(AD107:AF107)</f>
        <v>3430567.24</v>
      </c>
      <c r="AL107" s="591">
        <f t="shared" si="68"/>
        <v>0.78564527683118979</v>
      </c>
      <c r="AM107" s="598">
        <v>0.78564527683118979</v>
      </c>
      <c r="AN107" s="591">
        <f t="shared" si="48"/>
        <v>0</v>
      </c>
      <c r="AO107" s="694">
        <f t="shared" si="69"/>
        <v>0.78564527683118979</v>
      </c>
      <c r="AP107" s="600"/>
      <c r="AQ107" s="601"/>
      <c r="AR107" s="601"/>
      <c r="AS107" s="601"/>
      <c r="AT107" s="434"/>
      <c r="AU107" s="601"/>
      <c r="AV107" s="601"/>
      <c r="AW107" s="602"/>
    </row>
    <row r="108" spans="1:49" s="59" customFormat="1" ht="66">
      <c r="A108" s="19" t="s">
        <v>1118</v>
      </c>
      <c r="B108" s="61" t="s">
        <v>1119</v>
      </c>
      <c r="C108" s="696" t="s">
        <v>1106</v>
      </c>
      <c r="D108" s="696" t="s">
        <v>814</v>
      </c>
      <c r="E108" s="697">
        <f>E109+E110</f>
        <v>130973090</v>
      </c>
      <c r="F108" s="586">
        <f>F109+F110</f>
        <v>92048411.544359997</v>
      </c>
      <c r="G108" s="330">
        <f>G109+G110</f>
        <v>138489262</v>
      </c>
      <c r="H108" s="330">
        <f>H109+H110</f>
        <v>97330807.290647998</v>
      </c>
      <c r="I108" s="434"/>
      <c r="J108" s="331">
        <v>97330807</v>
      </c>
      <c r="K108" s="689" t="s">
        <v>1120</v>
      </c>
      <c r="L108" s="689"/>
      <c r="M108" s="689"/>
      <c r="N108" s="331">
        <f>N109+N110</f>
        <v>0</v>
      </c>
      <c r="O108" s="331">
        <f>O109+O110</f>
        <v>0</v>
      </c>
      <c r="P108" s="331"/>
      <c r="Q108" s="317">
        <f t="shared" si="60"/>
        <v>97330807</v>
      </c>
      <c r="R108" s="660">
        <f t="shared" si="76"/>
        <v>1</v>
      </c>
      <c r="S108" s="698">
        <v>47043723.579999998</v>
      </c>
      <c r="T108" s="658">
        <f>SUM(T109,T110)</f>
        <v>92065185.599999994</v>
      </c>
      <c r="U108" s="598">
        <f t="shared" si="64"/>
        <v>0.94589974580196379</v>
      </c>
      <c r="V108" s="598">
        <v>0.94589974580196379</v>
      </c>
      <c r="W108" s="591">
        <f t="shared" si="62"/>
        <v>0</v>
      </c>
      <c r="X108" s="662">
        <f t="shared" si="65"/>
        <v>0.94589974580196379</v>
      </c>
      <c r="Y108" s="658">
        <f>Y109+Y110</f>
        <v>92065185.599999994</v>
      </c>
      <c r="Z108" s="598">
        <f t="shared" si="66"/>
        <v>0.94589974580196379</v>
      </c>
      <c r="AA108" s="598">
        <v>0.94589974580196379</v>
      </c>
      <c r="AB108" s="591">
        <f t="shared" si="46"/>
        <v>0</v>
      </c>
      <c r="AC108" s="662">
        <f t="shared" si="67"/>
        <v>0.94589974580196379</v>
      </c>
      <c r="AD108" s="699">
        <f>AD109+AD110</f>
        <v>24149508</v>
      </c>
      <c r="AE108" s="700">
        <f>AE109+AE110</f>
        <v>0</v>
      </c>
      <c r="AF108" s="700">
        <f>AF109+AF110</f>
        <v>19692315.440000001</v>
      </c>
      <c r="AG108" s="700">
        <f>SUM(AG109,AG110)</f>
        <v>260574.88999999699</v>
      </c>
      <c r="AH108" s="701">
        <f>SUM(AH109,AH110)</f>
        <v>0</v>
      </c>
      <c r="AI108" s="678">
        <f t="shared" si="49"/>
        <v>43841823.440000005</v>
      </c>
      <c r="AJ108" s="332">
        <f t="shared" si="79"/>
        <v>24410082.889999997</v>
      </c>
      <c r="AK108" s="23">
        <f>SUM(AK109,AK110)</f>
        <v>43841823.440000005</v>
      </c>
      <c r="AL108" s="591">
        <f t="shared" si="68"/>
        <v>0.45044138429880692</v>
      </c>
      <c r="AM108" s="598">
        <v>0.45044138429880692</v>
      </c>
      <c r="AN108" s="591">
        <f t="shared" si="48"/>
        <v>0</v>
      </c>
      <c r="AO108" s="694">
        <f t="shared" si="69"/>
        <v>0.45044138429880692</v>
      </c>
      <c r="AP108" s="600"/>
      <c r="AQ108" s="601"/>
      <c r="AR108" s="601"/>
      <c r="AS108" s="601"/>
      <c r="AT108" s="434"/>
      <c r="AU108" s="601"/>
      <c r="AV108" s="601"/>
      <c r="AW108" s="602"/>
    </row>
    <row r="109" spans="1:49" ht="66">
      <c r="A109" s="327" t="s">
        <v>1121</v>
      </c>
      <c r="B109" s="655" t="s">
        <v>1122</v>
      </c>
      <c r="C109" s="656" t="s">
        <v>55</v>
      </c>
      <c r="D109" s="656" t="s">
        <v>814</v>
      </c>
      <c r="E109" s="686">
        <v>116012499</v>
      </c>
      <c r="F109" s="586">
        <f t="shared" ref="F109:F110" si="80">E109*$E$2</f>
        <v>81534048.347195998</v>
      </c>
      <c r="G109" s="702">
        <v>123528671</v>
      </c>
      <c r="H109" s="687">
        <f>G109*G2</f>
        <v>86816444.093483999</v>
      </c>
      <c r="I109" s="692"/>
      <c r="J109" s="22">
        <v>86816444</v>
      </c>
      <c r="K109" s="703" t="s">
        <v>1123</v>
      </c>
      <c r="L109" s="703"/>
      <c r="M109" s="703"/>
      <c r="N109" s="22">
        <v>0</v>
      </c>
      <c r="O109" s="22">
        <f>N109*0.7812</f>
        <v>0</v>
      </c>
      <c r="P109" s="22"/>
      <c r="Q109" s="317">
        <f t="shared" si="60"/>
        <v>86816444</v>
      </c>
      <c r="R109" s="660">
        <f t="shared" si="76"/>
        <v>1</v>
      </c>
      <c r="S109" s="695">
        <v>44332823.43</v>
      </c>
      <c r="T109" s="658">
        <v>81550822.599999994</v>
      </c>
      <c r="U109" s="598">
        <f t="shared" si="64"/>
        <v>0.93934764939232007</v>
      </c>
      <c r="V109" s="661">
        <v>0.93934764939232007</v>
      </c>
      <c r="W109" s="591">
        <f t="shared" si="62"/>
        <v>0</v>
      </c>
      <c r="X109" s="662">
        <f t="shared" si="65"/>
        <v>0.93934764939232007</v>
      </c>
      <c r="Y109" s="658">
        <v>81550822.599999994</v>
      </c>
      <c r="Z109" s="598">
        <f t="shared" si="66"/>
        <v>0.93934764939232007</v>
      </c>
      <c r="AA109" s="661">
        <v>0.93934764939232007</v>
      </c>
      <c r="AB109" s="591">
        <f t="shared" si="46"/>
        <v>0</v>
      </c>
      <c r="AC109" s="662">
        <f t="shared" si="67"/>
        <v>0.93934764939232007</v>
      </c>
      <c r="AD109" s="704">
        <v>21901238.580000002</v>
      </c>
      <c r="AE109" s="692">
        <v>0</v>
      </c>
      <c r="AF109" s="692">
        <v>19692315.440000001</v>
      </c>
      <c r="AG109" s="692">
        <v>260574.88999999699</v>
      </c>
      <c r="AH109" s="693">
        <v>0</v>
      </c>
      <c r="AI109" s="678">
        <f t="shared" si="49"/>
        <v>41593554.020000003</v>
      </c>
      <c r="AJ109" s="332">
        <f t="shared" si="79"/>
        <v>22161813.469999999</v>
      </c>
      <c r="AK109" s="332">
        <f>SUM(AD109:AF109)</f>
        <v>41593554.020000003</v>
      </c>
      <c r="AL109" s="591">
        <f t="shared" si="68"/>
        <v>0.47909764675457112</v>
      </c>
      <c r="AM109" s="598">
        <v>0.47909764675457112</v>
      </c>
      <c r="AN109" s="591">
        <f t="shared" si="48"/>
        <v>0</v>
      </c>
      <c r="AO109" s="694">
        <f t="shared" si="69"/>
        <v>0.47909764675457112</v>
      </c>
      <c r="AP109" s="600"/>
      <c r="AQ109" s="601"/>
      <c r="AR109" s="601"/>
      <c r="AS109" s="601"/>
      <c r="AT109" s="434"/>
      <c r="AU109" s="601"/>
      <c r="AV109" s="601"/>
      <c r="AW109" s="602"/>
    </row>
    <row r="110" spans="1:49" ht="115.5">
      <c r="A110" s="654" t="s">
        <v>59</v>
      </c>
      <c r="B110" s="655" t="s">
        <v>1124</v>
      </c>
      <c r="C110" s="656" t="s">
        <v>1106</v>
      </c>
      <c r="D110" s="656" t="s">
        <v>814</v>
      </c>
      <c r="E110" s="686">
        <v>14960591</v>
      </c>
      <c r="F110" s="586">
        <f t="shared" si="80"/>
        <v>10514363.197163999</v>
      </c>
      <c r="G110" s="692">
        <v>14960591</v>
      </c>
      <c r="H110" s="692">
        <v>10514363.197163999</v>
      </c>
      <c r="I110" s="692"/>
      <c r="J110" s="22">
        <v>10514363.197163999</v>
      </c>
      <c r="K110" s="689" t="s">
        <v>1125</v>
      </c>
      <c r="L110" s="689"/>
      <c r="M110" s="689"/>
      <c r="N110" s="22">
        <v>0</v>
      </c>
      <c r="O110" s="22">
        <v>0</v>
      </c>
      <c r="P110" s="22"/>
      <c r="Q110" s="317">
        <f t="shared" si="60"/>
        <v>10514363.197163999</v>
      </c>
      <c r="R110" s="660">
        <f t="shared" si="76"/>
        <v>1</v>
      </c>
      <c r="S110" s="695">
        <v>2710900.1500000004</v>
      </c>
      <c r="T110" s="658">
        <v>10514363</v>
      </c>
      <c r="U110" s="598">
        <f t="shared" si="64"/>
        <v>0.99999998124812739</v>
      </c>
      <c r="V110" s="661">
        <v>0.99999998124812739</v>
      </c>
      <c r="W110" s="591">
        <f t="shared" si="62"/>
        <v>0</v>
      </c>
      <c r="X110" s="662">
        <f t="shared" si="65"/>
        <v>0.99999998124812739</v>
      </c>
      <c r="Y110" s="658">
        <v>10514363</v>
      </c>
      <c r="Z110" s="598">
        <f t="shared" si="66"/>
        <v>0.99999998124812739</v>
      </c>
      <c r="AA110" s="661">
        <v>0.99999998124812739</v>
      </c>
      <c r="AB110" s="591">
        <f t="shared" si="46"/>
        <v>0</v>
      </c>
      <c r="AC110" s="662">
        <f t="shared" si="67"/>
        <v>0.99999998124812739</v>
      </c>
      <c r="AD110" s="704">
        <v>2248269.42</v>
      </c>
      <c r="AE110" s="692">
        <v>0</v>
      </c>
      <c r="AF110" s="692">
        <v>0</v>
      </c>
      <c r="AG110" s="692">
        <v>0</v>
      </c>
      <c r="AH110" s="693">
        <v>0</v>
      </c>
      <c r="AI110" s="678">
        <f t="shared" si="49"/>
        <v>2248269.42</v>
      </c>
      <c r="AJ110" s="332">
        <f t="shared" si="79"/>
        <v>2248269.42</v>
      </c>
      <c r="AK110" s="332">
        <f>SUM(AD110:AF110)</f>
        <v>2248269.42</v>
      </c>
      <c r="AL110" s="591">
        <f t="shared" si="68"/>
        <v>0.21382839624623368</v>
      </c>
      <c r="AM110" s="598">
        <v>0.21382839624623368</v>
      </c>
      <c r="AN110" s="591">
        <f t="shared" si="48"/>
        <v>0</v>
      </c>
      <c r="AO110" s="694">
        <f t="shared" si="69"/>
        <v>0.21382839624623368</v>
      </c>
      <c r="AP110" s="600"/>
      <c r="AQ110" s="601"/>
      <c r="AR110" s="601"/>
      <c r="AS110" s="601"/>
      <c r="AT110" s="434"/>
      <c r="AU110" s="601"/>
      <c r="AV110" s="601"/>
      <c r="AW110" s="602"/>
    </row>
    <row r="111" spans="1:49" s="59" customFormat="1" ht="189">
      <c r="A111" s="566" t="s">
        <v>60</v>
      </c>
      <c r="B111" s="567" t="s">
        <v>1126</v>
      </c>
      <c r="C111" s="568" t="s">
        <v>1106</v>
      </c>
      <c r="D111" s="568" t="s">
        <v>1042</v>
      </c>
      <c r="E111" s="684">
        <f>E112+E116+E121+E123</f>
        <v>240920963</v>
      </c>
      <c r="F111" s="608">
        <f>F112+F116+F121+F123</f>
        <v>169320216.480252</v>
      </c>
      <c r="G111" s="571">
        <f>H111/G2</f>
        <v>267757917.87920386</v>
      </c>
      <c r="H111" s="588">
        <f>H112+H116+H121+H123</f>
        <v>188181335.71717599</v>
      </c>
      <c r="I111" s="571"/>
      <c r="J111" s="588">
        <f>J112+J116+J121+J123</f>
        <v>188181335.54153198</v>
      </c>
      <c r="K111" s="689" t="s">
        <v>1127</v>
      </c>
      <c r="L111" s="689"/>
      <c r="M111" s="689"/>
      <c r="N111" s="705">
        <f>N112+N116+N121+N123</f>
        <v>40809132</v>
      </c>
      <c r="O111" s="17">
        <f>O112+O116+O121+O123</f>
        <v>19653677.9712</v>
      </c>
      <c r="P111" s="17"/>
      <c r="Q111" s="294">
        <f t="shared" si="60"/>
        <v>207835013.51273197</v>
      </c>
      <c r="R111" s="491">
        <f>Q111/J111</f>
        <v>1.1044401024928552</v>
      </c>
      <c r="S111" s="611">
        <v>96497859.560000002</v>
      </c>
      <c r="T111" s="577">
        <f>T112+T116+T121+T123</f>
        <v>141623107.94999999</v>
      </c>
      <c r="U111" s="574">
        <f t="shared" si="64"/>
        <v>0.75258849419071905</v>
      </c>
      <c r="V111" s="574">
        <v>0.75258849419071905</v>
      </c>
      <c r="W111" s="575">
        <f t="shared" si="62"/>
        <v>0</v>
      </c>
      <c r="X111" s="576">
        <f t="shared" si="65"/>
        <v>0.68142083259385056</v>
      </c>
      <c r="Y111" s="577">
        <f>Y112+Y116+Y121+Y123</f>
        <v>141623107.94999999</v>
      </c>
      <c r="Z111" s="574">
        <f t="shared" si="66"/>
        <v>0.75258849419071905</v>
      </c>
      <c r="AA111" s="574">
        <v>0.75258849419071905</v>
      </c>
      <c r="AB111" s="575">
        <f t="shared" si="46"/>
        <v>0</v>
      </c>
      <c r="AC111" s="576">
        <f t="shared" si="67"/>
        <v>0.68142083259385056</v>
      </c>
      <c r="AD111" s="578">
        <f t="shared" ref="AD111:AH111" si="81">AD112+AD116+AD121+AD123</f>
        <v>62670402.979999997</v>
      </c>
      <c r="AE111" s="579">
        <f t="shared" si="81"/>
        <v>29019219.210000001</v>
      </c>
      <c r="AF111" s="579">
        <f t="shared" si="81"/>
        <v>306527.94</v>
      </c>
      <c r="AG111" s="579">
        <f t="shared" si="81"/>
        <v>10169544.6</v>
      </c>
      <c r="AH111" s="580">
        <f t="shared" si="81"/>
        <v>6219987.5100000007</v>
      </c>
      <c r="AI111" s="678">
        <f t="shared" si="49"/>
        <v>85776162.61999999</v>
      </c>
      <c r="AJ111" s="17">
        <f t="shared" si="70"/>
        <v>101859166.78999999</v>
      </c>
      <c r="AK111" s="17">
        <f>AK112+AK116+AK121+AK123</f>
        <v>91996150.129999995</v>
      </c>
      <c r="AL111" s="575">
        <f t="shared" si="68"/>
        <v>0.48886968447355006</v>
      </c>
      <c r="AM111" s="574">
        <v>0.48886968447355006</v>
      </c>
      <c r="AN111" s="575">
        <f t="shared" si="48"/>
        <v>0</v>
      </c>
      <c r="AO111" s="496">
        <f t="shared" si="69"/>
        <v>0.44264028748151385</v>
      </c>
      <c r="AP111" s="582"/>
      <c r="AQ111" s="583"/>
      <c r="AR111" s="583"/>
      <c r="AS111" s="583"/>
      <c r="AT111" s="571"/>
      <c r="AU111" s="583"/>
      <c r="AV111" s="583"/>
      <c r="AW111" s="584"/>
    </row>
    <row r="112" spans="1:49" s="59" customFormat="1" ht="82.5">
      <c r="A112" s="39" t="s">
        <v>61</v>
      </c>
      <c r="B112" s="61" t="s">
        <v>1128</v>
      </c>
      <c r="C112" s="696" t="s">
        <v>1106</v>
      </c>
      <c r="D112" s="696" t="s">
        <v>1042</v>
      </c>
      <c r="E112" s="697">
        <f>E113+E114+E115</f>
        <v>55890473</v>
      </c>
      <c r="F112" s="586">
        <f>F113+F114+F115</f>
        <v>39280047.986292005</v>
      </c>
      <c r="G112" s="434">
        <f>H112/G2</f>
        <v>55890644</v>
      </c>
      <c r="H112" s="434">
        <f>H113+H114+H115</f>
        <v>39280168.165775999</v>
      </c>
      <c r="I112" s="434"/>
      <c r="J112" s="331">
        <v>39280168</v>
      </c>
      <c r="K112" s="706" t="s">
        <v>1129</v>
      </c>
      <c r="L112" s="706"/>
      <c r="M112" s="706"/>
      <c r="N112" s="23">
        <f>N113+N114+N115</f>
        <v>0</v>
      </c>
      <c r="O112" s="23">
        <f>O113+O114+O115</f>
        <v>0</v>
      </c>
      <c r="P112" s="23"/>
      <c r="Q112" s="317">
        <f t="shared" si="60"/>
        <v>39280168</v>
      </c>
      <c r="R112" s="660">
        <f t="shared" ref="R112:R114" si="82">Q112/J112</f>
        <v>1</v>
      </c>
      <c r="S112" s="698">
        <v>15593404.4</v>
      </c>
      <c r="T112" s="707">
        <f>T113+T114+T115</f>
        <v>39259554.549999997</v>
      </c>
      <c r="U112" s="633">
        <f t="shared" si="64"/>
        <v>0.99947521991250132</v>
      </c>
      <c r="V112" s="598">
        <v>0.99947521991250132</v>
      </c>
      <c r="W112" s="591">
        <f t="shared" si="62"/>
        <v>0</v>
      </c>
      <c r="X112" s="662">
        <f t="shared" si="65"/>
        <v>0.99947521991250132</v>
      </c>
      <c r="Y112" s="707">
        <f>Y113+Y114+Y115</f>
        <v>39259554.549999997</v>
      </c>
      <c r="Z112" s="598">
        <f t="shared" si="66"/>
        <v>0.99947521991250132</v>
      </c>
      <c r="AA112" s="598">
        <v>0.99947521991250132</v>
      </c>
      <c r="AB112" s="591">
        <f t="shared" si="46"/>
        <v>0</v>
      </c>
      <c r="AC112" s="662">
        <f t="shared" si="67"/>
        <v>0.99947521991250132</v>
      </c>
      <c r="AD112" s="699">
        <f>AD113+AD114+AD115</f>
        <v>3007565.01</v>
      </c>
      <c r="AE112" s="700">
        <f>AE113+AE114+AE115</f>
        <v>10893268.09</v>
      </c>
      <c r="AF112" s="700">
        <f>AF113+AF114+AF115</f>
        <v>306527.94</v>
      </c>
      <c r="AG112" s="700">
        <f>AG113+AG114+AG115</f>
        <v>1753178.3499999987</v>
      </c>
      <c r="AH112" s="701">
        <f>AH113+AH114+AH115</f>
        <v>0</v>
      </c>
      <c r="AI112" s="678">
        <f t="shared" si="49"/>
        <v>14207361.039999999</v>
      </c>
      <c r="AJ112" s="332">
        <f t="shared" ref="AJ112:AJ123" si="83">AD112+AE112+AG112-AH112</f>
        <v>15654011.449999999</v>
      </c>
      <c r="AK112" s="23">
        <f>AK113+AK114+AK115</f>
        <v>14207361.039999999</v>
      </c>
      <c r="AL112" s="628">
        <f t="shared" si="68"/>
        <v>0.36169298053918708</v>
      </c>
      <c r="AM112" s="633">
        <v>0.36169298053918708</v>
      </c>
      <c r="AN112" s="628">
        <f t="shared" si="48"/>
        <v>0</v>
      </c>
      <c r="AO112" s="694">
        <f t="shared" si="69"/>
        <v>0.36169298053918708</v>
      </c>
      <c r="AP112" s="600"/>
      <c r="AQ112" s="601"/>
      <c r="AR112" s="601"/>
      <c r="AS112" s="601"/>
      <c r="AT112" s="434"/>
      <c r="AU112" s="601"/>
      <c r="AV112" s="601"/>
      <c r="AW112" s="602"/>
    </row>
    <row r="113" spans="1:49" ht="82.5">
      <c r="A113" s="654" t="s">
        <v>162</v>
      </c>
      <c r="B113" s="655" t="s">
        <v>1130</v>
      </c>
      <c r="C113" s="656" t="s">
        <v>1106</v>
      </c>
      <c r="D113" s="656" t="s">
        <v>1042</v>
      </c>
      <c r="E113" s="686">
        <v>53178020</v>
      </c>
      <c r="F113" s="586">
        <f t="shared" ref="F113:F123" si="84">E113*$E$2</f>
        <v>37373725.168080002</v>
      </c>
      <c r="G113" s="692">
        <v>53178191</v>
      </c>
      <c r="H113" s="692">
        <f>G113*G2</f>
        <v>37373845.347563997</v>
      </c>
      <c r="I113" s="692"/>
      <c r="J113" s="22">
        <v>37373845</v>
      </c>
      <c r="K113" s="706" t="s">
        <v>1131</v>
      </c>
      <c r="L113" s="706"/>
      <c r="M113" s="706"/>
      <c r="N113" s="22">
        <v>0</v>
      </c>
      <c r="O113" s="22">
        <v>0</v>
      </c>
      <c r="P113" s="22"/>
      <c r="Q113" s="317">
        <f t="shared" si="60"/>
        <v>37373845</v>
      </c>
      <c r="R113" s="660">
        <f t="shared" si="82"/>
        <v>1</v>
      </c>
      <c r="S113" s="695">
        <v>14100276.130000001</v>
      </c>
      <c r="T113" s="707">
        <v>37373530.799999997</v>
      </c>
      <c r="U113" s="598">
        <f t="shared" si="64"/>
        <v>0.99999159305123664</v>
      </c>
      <c r="V113" s="661">
        <v>0.99999159305123664</v>
      </c>
      <c r="W113" s="591">
        <f t="shared" si="62"/>
        <v>0</v>
      </c>
      <c r="X113" s="662">
        <f t="shared" si="65"/>
        <v>0.99999159305123664</v>
      </c>
      <c r="Y113" s="707">
        <v>37373530.799999997</v>
      </c>
      <c r="Z113" s="598">
        <f t="shared" si="66"/>
        <v>0.99999159305123664</v>
      </c>
      <c r="AA113" s="661">
        <v>0.99999159305123664</v>
      </c>
      <c r="AB113" s="591">
        <f t="shared" si="46"/>
        <v>0</v>
      </c>
      <c r="AC113" s="662">
        <f t="shared" si="67"/>
        <v>0.99999159305123664</v>
      </c>
      <c r="AD113" s="704">
        <v>2119386.25</v>
      </c>
      <c r="AE113" s="692">
        <v>10893268.09</v>
      </c>
      <c r="AF113" s="692">
        <v>0</v>
      </c>
      <c r="AG113" s="692">
        <v>1489758.5199999998</v>
      </c>
      <c r="AH113" s="693">
        <v>0</v>
      </c>
      <c r="AI113" s="678">
        <f t="shared" si="49"/>
        <v>13012654.34</v>
      </c>
      <c r="AJ113" s="332">
        <f t="shared" si="83"/>
        <v>14502412.859999999</v>
      </c>
      <c r="AK113" s="624">
        <f>SUM(AD113:AF113)</f>
        <v>13012654.34</v>
      </c>
      <c r="AL113" s="591">
        <f t="shared" si="68"/>
        <v>0.34817542428401466</v>
      </c>
      <c r="AM113" s="598">
        <v>0.34817542428401466</v>
      </c>
      <c r="AN113" s="591">
        <f t="shared" si="48"/>
        <v>0</v>
      </c>
      <c r="AO113" s="694">
        <f t="shared" si="69"/>
        <v>0.34817542428401466</v>
      </c>
      <c r="AP113" s="600"/>
      <c r="AQ113" s="601"/>
      <c r="AR113" s="601"/>
      <c r="AS113" s="601"/>
      <c r="AT113" s="434"/>
      <c r="AU113" s="601"/>
      <c r="AV113" s="601"/>
      <c r="AW113" s="602"/>
    </row>
    <row r="114" spans="1:49" ht="66">
      <c r="A114" s="654" t="s">
        <v>206</v>
      </c>
      <c r="B114" s="655" t="s">
        <v>1132</v>
      </c>
      <c r="C114" s="656" t="s">
        <v>1106</v>
      </c>
      <c r="D114" s="656" t="s">
        <v>1042</v>
      </c>
      <c r="E114" s="686">
        <v>2712453</v>
      </c>
      <c r="F114" s="586">
        <f t="shared" si="84"/>
        <v>1906322.818212</v>
      </c>
      <c r="G114" s="434">
        <v>2712453</v>
      </c>
      <c r="H114" s="692">
        <f>G114*G2</f>
        <v>1906322.818212</v>
      </c>
      <c r="I114" s="692"/>
      <c r="J114" s="22">
        <v>1906323</v>
      </c>
      <c r="K114" s="706" t="s">
        <v>1133</v>
      </c>
      <c r="L114" s="706"/>
      <c r="M114" s="706"/>
      <c r="N114" s="22">
        <v>0</v>
      </c>
      <c r="O114" s="22">
        <v>0</v>
      </c>
      <c r="P114" s="22"/>
      <c r="Q114" s="317">
        <f t="shared" si="60"/>
        <v>1906323</v>
      </c>
      <c r="R114" s="660">
        <f t="shared" si="82"/>
        <v>1</v>
      </c>
      <c r="S114" s="695">
        <v>1493128.27</v>
      </c>
      <c r="T114" s="707">
        <v>1886023.75</v>
      </c>
      <c r="U114" s="598">
        <f t="shared" si="64"/>
        <v>0.98935162089530471</v>
      </c>
      <c r="V114" s="661">
        <v>0.98935162089530471</v>
      </c>
      <c r="W114" s="591">
        <f t="shared" si="62"/>
        <v>0</v>
      </c>
      <c r="X114" s="662">
        <f t="shared" si="65"/>
        <v>0.98935162089530471</v>
      </c>
      <c r="Y114" s="707">
        <v>1886023.75</v>
      </c>
      <c r="Z114" s="598">
        <f t="shared" si="66"/>
        <v>0.98935162089530471</v>
      </c>
      <c r="AA114" s="661">
        <v>0.98935162089530471</v>
      </c>
      <c r="AB114" s="591">
        <f t="shared" si="46"/>
        <v>0</v>
      </c>
      <c r="AC114" s="662">
        <f t="shared" si="67"/>
        <v>0.98935162089530471</v>
      </c>
      <c r="AD114" s="704">
        <v>888178.76</v>
      </c>
      <c r="AE114" s="692">
        <v>0</v>
      </c>
      <c r="AF114" s="692">
        <v>306527.94</v>
      </c>
      <c r="AG114" s="692">
        <v>263419.82999999903</v>
      </c>
      <c r="AH114" s="693">
        <v>0</v>
      </c>
      <c r="AI114" s="678">
        <f t="shared" si="49"/>
        <v>1194706.7</v>
      </c>
      <c r="AJ114" s="332">
        <f t="shared" si="83"/>
        <v>1151598.5899999989</v>
      </c>
      <c r="AK114" s="624">
        <f>SUM(AD114:AF114)</f>
        <v>1194706.7</v>
      </c>
      <c r="AL114" s="591">
        <f t="shared" si="68"/>
        <v>0.62670738379592539</v>
      </c>
      <c r="AM114" s="598">
        <v>0.62670738379592539</v>
      </c>
      <c r="AN114" s="591">
        <f t="shared" si="48"/>
        <v>0</v>
      </c>
      <c r="AO114" s="694">
        <f t="shared" si="69"/>
        <v>0.62670738379592539</v>
      </c>
      <c r="AP114" s="600"/>
      <c r="AQ114" s="601"/>
      <c r="AR114" s="601"/>
      <c r="AS114" s="601"/>
      <c r="AT114" s="434"/>
      <c r="AU114" s="601"/>
      <c r="AV114" s="601"/>
      <c r="AW114" s="602"/>
    </row>
    <row r="115" spans="1:49" ht="66">
      <c r="A115" s="654" t="s">
        <v>62</v>
      </c>
      <c r="B115" s="655" t="s">
        <v>1134</v>
      </c>
      <c r="C115" s="656" t="s">
        <v>1106</v>
      </c>
      <c r="D115" s="656" t="s">
        <v>1042</v>
      </c>
      <c r="E115" s="686">
        <v>0</v>
      </c>
      <c r="F115" s="586">
        <f t="shared" si="84"/>
        <v>0</v>
      </c>
      <c r="G115" s="434">
        <v>0</v>
      </c>
      <c r="H115" s="692">
        <v>0</v>
      </c>
      <c r="I115" s="692"/>
      <c r="J115" s="22">
        <v>0</v>
      </c>
      <c r="K115" s="22" t="s">
        <v>885</v>
      </c>
      <c r="L115" s="22"/>
      <c r="M115" s="22"/>
      <c r="N115" s="22">
        <v>0</v>
      </c>
      <c r="O115" s="22">
        <v>0</v>
      </c>
      <c r="P115" s="22"/>
      <c r="Q115" s="317">
        <f t="shared" si="60"/>
        <v>0</v>
      </c>
      <c r="R115" s="660">
        <v>0</v>
      </c>
      <c r="S115" s="695">
        <v>0</v>
      </c>
      <c r="T115" s="707">
        <v>0</v>
      </c>
      <c r="U115" s="598">
        <v>0</v>
      </c>
      <c r="V115" s="661">
        <v>0</v>
      </c>
      <c r="W115" s="591">
        <f t="shared" si="62"/>
        <v>0</v>
      </c>
      <c r="X115" s="662">
        <v>0</v>
      </c>
      <c r="Y115" s="707">
        <v>0</v>
      </c>
      <c r="Z115" s="598"/>
      <c r="AA115" s="661"/>
      <c r="AB115" s="591">
        <f t="shared" si="46"/>
        <v>0</v>
      </c>
      <c r="AC115" s="662" t="e">
        <f t="shared" si="67"/>
        <v>#DIV/0!</v>
      </c>
      <c r="AD115" s="704">
        <v>0</v>
      </c>
      <c r="AE115" s="692">
        <v>0</v>
      </c>
      <c r="AF115" s="692">
        <v>0</v>
      </c>
      <c r="AG115" s="692">
        <v>0</v>
      </c>
      <c r="AH115" s="693">
        <v>0</v>
      </c>
      <c r="AI115" s="678">
        <f t="shared" si="49"/>
        <v>0</v>
      </c>
      <c r="AJ115" s="332">
        <f t="shared" si="83"/>
        <v>0</v>
      </c>
      <c r="AK115" s="624">
        <f>SUM(AD115:AF115)</f>
        <v>0</v>
      </c>
      <c r="AL115" s="591">
        <v>0</v>
      </c>
      <c r="AM115" s="598">
        <v>0</v>
      </c>
      <c r="AN115" s="591">
        <f t="shared" si="48"/>
        <v>0</v>
      </c>
      <c r="AO115" s="694">
        <v>0</v>
      </c>
      <c r="AP115" s="600"/>
      <c r="AQ115" s="601"/>
      <c r="AR115" s="601"/>
      <c r="AS115" s="601"/>
      <c r="AT115" s="434"/>
      <c r="AU115" s="601"/>
      <c r="AV115" s="601"/>
      <c r="AW115" s="602"/>
    </row>
    <row r="116" spans="1:49" s="59" customFormat="1" ht="66">
      <c r="A116" s="19" t="s">
        <v>1135</v>
      </c>
      <c r="B116" s="61" t="s">
        <v>1136</v>
      </c>
      <c r="C116" s="696" t="s">
        <v>1106</v>
      </c>
      <c r="D116" s="696" t="s">
        <v>1042</v>
      </c>
      <c r="E116" s="697">
        <f>E117+E118+E119+E120</f>
        <v>53485422</v>
      </c>
      <c r="F116" s="586">
        <f>F117+F118+F119+F120</f>
        <v>37589768.523287997</v>
      </c>
      <c r="G116" s="434">
        <v>69392850</v>
      </c>
      <c r="H116" s="434">
        <f>H117+H118+H119+H120</f>
        <v>48769572.551399991</v>
      </c>
      <c r="I116" s="434"/>
      <c r="J116" s="331">
        <f>J117+J118+J119+J120</f>
        <v>48769572.541531995</v>
      </c>
      <c r="K116" s="331" t="e">
        <f t="shared" ref="K116:Q116" si="85">K117+K118+K119+K120</f>
        <v>#VALUE!</v>
      </c>
      <c r="L116" s="331"/>
      <c r="M116" s="331"/>
      <c r="N116" s="331">
        <f t="shared" si="85"/>
        <v>0</v>
      </c>
      <c r="O116" s="331">
        <f t="shared" si="85"/>
        <v>0</v>
      </c>
      <c r="P116" s="331"/>
      <c r="Q116" s="331">
        <f t="shared" si="85"/>
        <v>48769572.541531995</v>
      </c>
      <c r="R116" s="660">
        <f t="shared" ref="R116:R120" si="86">Q116/J116</f>
        <v>1</v>
      </c>
      <c r="S116" s="590">
        <v>28482600.399999995</v>
      </c>
      <c r="T116" s="658">
        <f>T117+T118+T119+T120</f>
        <v>32523548.41</v>
      </c>
      <c r="U116" s="598">
        <f>T116/J116</f>
        <v>0.66688196584669801</v>
      </c>
      <c r="V116" s="598">
        <v>0.66688196584669801</v>
      </c>
      <c r="W116" s="591">
        <f t="shared" si="62"/>
        <v>0</v>
      </c>
      <c r="X116" s="662">
        <f>T116/Q116</f>
        <v>0.66688196584669801</v>
      </c>
      <c r="Y116" s="707">
        <f>Y117+Y118+Y119+Y120</f>
        <v>32523548.41</v>
      </c>
      <c r="Z116" s="598">
        <f>Y116/J116</f>
        <v>0.66688196584669801</v>
      </c>
      <c r="AA116" s="598">
        <v>0.66688196584669801</v>
      </c>
      <c r="AB116" s="591">
        <f t="shared" si="46"/>
        <v>0</v>
      </c>
      <c r="AC116" s="662">
        <f t="shared" si="67"/>
        <v>0.66688196584669801</v>
      </c>
      <c r="AD116" s="699">
        <f>AD117+AD118+AD119+AD120</f>
        <v>25592742.879999999</v>
      </c>
      <c r="AE116" s="700">
        <f>AE117+AE118+AE119+AE120</f>
        <v>1388006.4400000002</v>
      </c>
      <c r="AF116" s="700">
        <f>AF117+AF118+AF119+AF120</f>
        <v>0</v>
      </c>
      <c r="AG116" s="700">
        <f>AG117+AG118+AG119</f>
        <v>578239.23000000091</v>
      </c>
      <c r="AH116" s="701">
        <f>AH117+AH118+AH119</f>
        <v>118242.15</v>
      </c>
      <c r="AI116" s="678">
        <f t="shared" si="49"/>
        <v>26862507.170000002</v>
      </c>
      <c r="AJ116" s="332">
        <f t="shared" si="83"/>
        <v>27440746.400000002</v>
      </c>
      <c r="AK116" s="331">
        <f t="shared" ref="AK116" si="87">AK117+AK118+AK119+AK120</f>
        <v>26980749.32</v>
      </c>
      <c r="AL116" s="591">
        <f>AK116/J116</f>
        <v>0.55322915321891108</v>
      </c>
      <c r="AM116" s="598">
        <v>0.55322915321891108</v>
      </c>
      <c r="AN116" s="591">
        <f t="shared" si="48"/>
        <v>0</v>
      </c>
      <c r="AO116" s="694">
        <f>AK116/Q116</f>
        <v>0.55322915321891108</v>
      </c>
      <c r="AP116" s="600"/>
      <c r="AQ116" s="601"/>
      <c r="AR116" s="601"/>
      <c r="AS116" s="601"/>
      <c r="AT116" s="434"/>
      <c r="AU116" s="601"/>
      <c r="AV116" s="601"/>
      <c r="AW116" s="602"/>
    </row>
    <row r="117" spans="1:49" ht="110.25">
      <c r="A117" s="327" t="s">
        <v>1137</v>
      </c>
      <c r="B117" s="655" t="s">
        <v>1138</v>
      </c>
      <c r="C117" s="656" t="s">
        <v>1106</v>
      </c>
      <c r="D117" s="656" t="s">
        <v>1042</v>
      </c>
      <c r="E117" s="686">
        <v>9385856</v>
      </c>
      <c r="F117" s="586">
        <f t="shared" si="84"/>
        <v>6596417.1402239995</v>
      </c>
      <c r="G117" s="692">
        <v>10380567</v>
      </c>
      <c r="H117" s="692">
        <f>G117*G2</f>
        <v>7295504.0098679997</v>
      </c>
      <c r="I117" s="692"/>
      <c r="J117" s="22">
        <v>7295504</v>
      </c>
      <c r="K117" s="708" t="s">
        <v>1139</v>
      </c>
      <c r="L117" s="708"/>
      <c r="M117" s="708"/>
      <c r="N117" s="22">
        <v>0</v>
      </c>
      <c r="O117" s="22">
        <v>0</v>
      </c>
      <c r="P117" s="22"/>
      <c r="Q117" s="317">
        <f t="shared" si="60"/>
        <v>7295504</v>
      </c>
      <c r="R117" s="660">
        <f t="shared" si="86"/>
        <v>1</v>
      </c>
      <c r="S117" s="695">
        <v>5005218.51</v>
      </c>
      <c r="T117" s="707">
        <v>5133640.7300000004</v>
      </c>
      <c r="U117" s="598">
        <f>T117/J117</f>
        <v>0.70367184090365797</v>
      </c>
      <c r="V117" s="661">
        <v>0.70367184090365797</v>
      </c>
      <c r="W117" s="591">
        <f t="shared" si="62"/>
        <v>0</v>
      </c>
      <c r="X117" s="662">
        <f>T117/Q117</f>
        <v>0.70367184090365797</v>
      </c>
      <c r="Y117" s="707">
        <v>5133640.7300000004</v>
      </c>
      <c r="Z117" s="598">
        <f>Y117/J117</f>
        <v>0.70367184090365797</v>
      </c>
      <c r="AA117" s="661">
        <v>0.70367184090365797</v>
      </c>
      <c r="AB117" s="591">
        <f t="shared" si="46"/>
        <v>0</v>
      </c>
      <c r="AC117" s="662">
        <f t="shared" si="67"/>
        <v>0.70367184090365797</v>
      </c>
      <c r="AD117" s="704">
        <v>4840767.6100000003</v>
      </c>
      <c r="AE117" s="692">
        <v>152923.82999999999</v>
      </c>
      <c r="AF117" s="692">
        <v>0</v>
      </c>
      <c r="AG117" s="692">
        <v>138923.83000000092</v>
      </c>
      <c r="AH117" s="693">
        <v>14117.15</v>
      </c>
      <c r="AI117" s="678">
        <f t="shared" si="49"/>
        <v>4979574.29</v>
      </c>
      <c r="AJ117" s="332">
        <f t="shared" si="83"/>
        <v>5118498.120000001</v>
      </c>
      <c r="AK117" s="624">
        <f>SUM(AD117:AF117)</f>
        <v>4993691.4400000004</v>
      </c>
      <c r="AL117" s="591">
        <f>AK117/J117</f>
        <v>0.68448889069213048</v>
      </c>
      <c r="AM117" s="598">
        <v>0.68448889069213048</v>
      </c>
      <c r="AN117" s="591">
        <f t="shared" si="48"/>
        <v>0</v>
      </c>
      <c r="AO117" s="694">
        <f>AK117/Q117</f>
        <v>0.68448889069213048</v>
      </c>
      <c r="AP117" s="600"/>
      <c r="AQ117" s="601"/>
      <c r="AR117" s="601"/>
      <c r="AS117" s="601"/>
      <c r="AT117" s="434"/>
      <c r="AU117" s="601"/>
      <c r="AV117" s="601"/>
      <c r="AW117" s="602"/>
    </row>
    <row r="118" spans="1:49" ht="132">
      <c r="A118" s="327" t="s">
        <v>1140</v>
      </c>
      <c r="B118" s="655" t="s">
        <v>1141</v>
      </c>
      <c r="C118" s="656" t="s">
        <v>1106</v>
      </c>
      <c r="D118" s="656" t="s">
        <v>1042</v>
      </c>
      <c r="E118" s="686">
        <v>41021908</v>
      </c>
      <c r="F118" s="586">
        <f t="shared" si="84"/>
        <v>28830361.030031998</v>
      </c>
      <c r="G118" s="692">
        <v>55917872</v>
      </c>
      <c r="H118" s="692">
        <f>G118*G2</f>
        <v>39299304.113087997</v>
      </c>
      <c r="I118" s="692"/>
      <c r="J118" s="22">
        <v>39299304.113087997</v>
      </c>
      <c r="K118" s="708" t="s">
        <v>1139</v>
      </c>
      <c r="L118" s="708"/>
      <c r="M118" s="708"/>
      <c r="N118" s="22">
        <v>0</v>
      </c>
      <c r="O118" s="22">
        <v>0</v>
      </c>
      <c r="P118" s="22"/>
      <c r="Q118" s="317">
        <f t="shared" si="60"/>
        <v>39299304.113087997</v>
      </c>
      <c r="R118" s="660">
        <f t="shared" si="86"/>
        <v>1</v>
      </c>
      <c r="S118" s="695">
        <v>23430912.189999998</v>
      </c>
      <c r="T118" s="707">
        <v>27238498.719999999</v>
      </c>
      <c r="U118" s="598">
        <f>T118/J118</f>
        <v>0.69310384330517083</v>
      </c>
      <c r="V118" s="661">
        <v>0.69310384330517083</v>
      </c>
      <c r="W118" s="591">
        <f t="shared" si="62"/>
        <v>0</v>
      </c>
      <c r="X118" s="662">
        <f>T118/Q118</f>
        <v>0.69310384330517083</v>
      </c>
      <c r="Y118" s="707">
        <v>27238498.719999999</v>
      </c>
      <c r="Z118" s="598">
        <f>Y118/J118</f>
        <v>0.69310384330517083</v>
      </c>
      <c r="AA118" s="661">
        <v>0.69310384330517083</v>
      </c>
      <c r="AB118" s="591">
        <f t="shared" si="46"/>
        <v>0</v>
      </c>
      <c r="AC118" s="662">
        <f t="shared" si="67"/>
        <v>0.69310384330517083</v>
      </c>
      <c r="AD118" s="704">
        <v>20738497.609999999</v>
      </c>
      <c r="AE118" s="692">
        <v>1235082.6100000001</v>
      </c>
      <c r="AF118" s="692">
        <v>0</v>
      </c>
      <c r="AG118" s="692">
        <v>439315.4</v>
      </c>
      <c r="AH118" s="693">
        <v>104125</v>
      </c>
      <c r="AI118" s="678">
        <f t="shared" si="49"/>
        <v>21869455.219999999</v>
      </c>
      <c r="AJ118" s="332">
        <f t="shared" si="83"/>
        <v>22308770.619999997</v>
      </c>
      <c r="AK118" s="624">
        <f>SUM(AD118:AF118)</f>
        <v>21973580.219999999</v>
      </c>
      <c r="AL118" s="591">
        <f>AK118/J118</f>
        <v>0.55913407923887526</v>
      </c>
      <c r="AM118" s="598">
        <v>0.55913407923887526</v>
      </c>
      <c r="AN118" s="591">
        <f t="shared" si="48"/>
        <v>0</v>
      </c>
      <c r="AO118" s="694">
        <f>AK118/Q118</f>
        <v>0.55913407923887526</v>
      </c>
      <c r="AP118" s="600"/>
      <c r="AQ118" s="601"/>
      <c r="AR118" s="601"/>
      <c r="AS118" s="601"/>
      <c r="AT118" s="434"/>
      <c r="AU118" s="601"/>
      <c r="AV118" s="601"/>
      <c r="AW118" s="602"/>
    </row>
    <row r="119" spans="1:49" ht="115.5">
      <c r="A119" s="327" t="s">
        <v>207</v>
      </c>
      <c r="B119" s="655" t="s">
        <v>1142</v>
      </c>
      <c r="C119" s="656" t="s">
        <v>1106</v>
      </c>
      <c r="D119" s="656" t="s">
        <v>1042</v>
      </c>
      <c r="E119" s="686">
        <v>231914</v>
      </c>
      <c r="F119" s="586">
        <f t="shared" si="84"/>
        <v>162990.08685600001</v>
      </c>
      <c r="G119" s="434">
        <v>248667</v>
      </c>
      <c r="H119" s="692">
        <f>G119*G2</f>
        <v>174764.16226799999</v>
      </c>
      <c r="I119" s="692"/>
      <c r="J119" s="22">
        <v>174764.16226799999</v>
      </c>
      <c r="K119" s="708" t="s">
        <v>1139</v>
      </c>
      <c r="L119" s="708"/>
      <c r="M119" s="708"/>
      <c r="N119" s="22">
        <v>0</v>
      </c>
      <c r="O119" s="22">
        <v>0</v>
      </c>
      <c r="P119" s="22"/>
      <c r="Q119" s="317">
        <f t="shared" si="60"/>
        <v>174764.16226799999</v>
      </c>
      <c r="R119" s="660">
        <f t="shared" si="86"/>
        <v>1</v>
      </c>
      <c r="S119" s="695">
        <v>46469.7</v>
      </c>
      <c r="T119" s="707">
        <v>71837.5</v>
      </c>
      <c r="U119" s="598">
        <f>T119/J119</f>
        <v>0.41105395447058274</v>
      </c>
      <c r="V119" s="661">
        <v>0.41105395447058274</v>
      </c>
      <c r="W119" s="591">
        <f t="shared" si="62"/>
        <v>0</v>
      </c>
      <c r="X119" s="662">
        <f>T119/Q119</f>
        <v>0.41105395447058274</v>
      </c>
      <c r="Y119" s="707">
        <v>71837.5</v>
      </c>
      <c r="Z119" s="598">
        <f>Y119/J119</f>
        <v>0.41105395447058274</v>
      </c>
      <c r="AA119" s="661">
        <v>0.41105395447058274</v>
      </c>
      <c r="AB119" s="591">
        <f t="shared" si="46"/>
        <v>0</v>
      </c>
      <c r="AC119" s="662">
        <f t="shared" si="67"/>
        <v>0.41105395447058274</v>
      </c>
      <c r="AD119" s="704">
        <v>13477.66</v>
      </c>
      <c r="AE119" s="692">
        <v>0</v>
      </c>
      <c r="AF119" s="692">
        <v>0</v>
      </c>
      <c r="AG119" s="692">
        <v>0</v>
      </c>
      <c r="AH119" s="693">
        <v>0</v>
      </c>
      <c r="AI119" s="678">
        <f t="shared" si="49"/>
        <v>13477.66</v>
      </c>
      <c r="AJ119" s="332">
        <f t="shared" si="83"/>
        <v>13477.66</v>
      </c>
      <c r="AK119" s="624">
        <f>SUM(AD119:AF119)</f>
        <v>13477.66</v>
      </c>
      <c r="AL119" s="591">
        <f>AK119/J119</f>
        <v>7.7119129145780327E-2</v>
      </c>
      <c r="AM119" s="598">
        <v>7.7119129145780327E-2</v>
      </c>
      <c r="AN119" s="591">
        <f t="shared" si="48"/>
        <v>0</v>
      </c>
      <c r="AO119" s="694">
        <f>AK119/Q119</f>
        <v>7.7119129145780327E-2</v>
      </c>
      <c r="AP119" s="600"/>
      <c r="AQ119" s="601"/>
      <c r="AR119" s="601"/>
      <c r="AS119" s="601"/>
      <c r="AT119" s="434"/>
      <c r="AU119" s="601"/>
      <c r="AV119" s="601"/>
      <c r="AW119" s="602"/>
    </row>
    <row r="120" spans="1:49" ht="82.5">
      <c r="A120" s="327" t="s">
        <v>163</v>
      </c>
      <c r="B120" s="655" t="s">
        <v>1143</v>
      </c>
      <c r="C120" s="656" t="s">
        <v>1106</v>
      </c>
      <c r="D120" s="656" t="s">
        <v>1042</v>
      </c>
      <c r="E120" s="686">
        <v>2845744</v>
      </c>
      <c r="F120" s="586">
        <f t="shared" si="84"/>
        <v>2000000.266176</v>
      </c>
      <c r="G120" s="434">
        <v>2845744</v>
      </c>
      <c r="H120" s="692">
        <f>G120*G2</f>
        <v>2000000.266176</v>
      </c>
      <c r="I120" s="692"/>
      <c r="J120" s="22">
        <v>2000000.266176</v>
      </c>
      <c r="K120" s="689" t="s">
        <v>1144</v>
      </c>
      <c r="L120" s="689"/>
      <c r="M120" s="689"/>
      <c r="N120" s="22">
        <v>0</v>
      </c>
      <c r="O120" s="22">
        <v>0</v>
      </c>
      <c r="P120" s="22"/>
      <c r="Q120" s="317">
        <f t="shared" si="60"/>
        <v>2000000.266176</v>
      </c>
      <c r="R120" s="660">
        <f t="shared" si="86"/>
        <v>1</v>
      </c>
      <c r="S120" s="695">
        <v>0</v>
      </c>
      <c r="T120" s="707">
        <v>79571.460000000006</v>
      </c>
      <c r="U120" s="598">
        <f>T120/J120</f>
        <v>3.9785724704997472E-2</v>
      </c>
      <c r="V120" s="661">
        <v>3.9785724704997472E-2</v>
      </c>
      <c r="W120" s="591">
        <f t="shared" si="62"/>
        <v>0</v>
      </c>
      <c r="X120" s="662">
        <f>T120/Q120</f>
        <v>3.9785724704997472E-2</v>
      </c>
      <c r="Y120" s="707">
        <v>79571.460000000006</v>
      </c>
      <c r="Z120" s="598">
        <f>Y120/J120</f>
        <v>3.9785724704997472E-2</v>
      </c>
      <c r="AA120" s="661">
        <v>3.9785724704997472E-2</v>
      </c>
      <c r="AB120" s="591">
        <f t="shared" si="46"/>
        <v>0</v>
      </c>
      <c r="AC120" s="662">
        <f t="shared" si="67"/>
        <v>3.9785724704997472E-2</v>
      </c>
      <c r="AD120" s="704">
        <v>0</v>
      </c>
      <c r="AE120" s="692">
        <v>0</v>
      </c>
      <c r="AF120" s="692">
        <v>0</v>
      </c>
      <c r="AG120" s="692">
        <v>0</v>
      </c>
      <c r="AH120" s="693">
        <v>0</v>
      </c>
      <c r="AI120" s="678">
        <f t="shared" si="49"/>
        <v>0</v>
      </c>
      <c r="AJ120" s="332">
        <f t="shared" si="83"/>
        <v>0</v>
      </c>
      <c r="AK120" s="624">
        <v>0</v>
      </c>
      <c r="AL120" s="591">
        <f>AK120/J120</f>
        <v>0</v>
      </c>
      <c r="AM120" s="598">
        <v>0</v>
      </c>
      <c r="AN120" s="591">
        <f t="shared" si="48"/>
        <v>0</v>
      </c>
      <c r="AO120" s="694">
        <f>AK120/Q120</f>
        <v>0</v>
      </c>
      <c r="AP120" s="600"/>
      <c r="AQ120" s="601"/>
      <c r="AR120" s="601"/>
      <c r="AS120" s="601"/>
      <c r="AT120" s="434"/>
      <c r="AU120" s="601"/>
      <c r="AV120" s="601"/>
      <c r="AW120" s="602"/>
    </row>
    <row r="121" spans="1:49" s="59" customFormat="1" ht="78.75">
      <c r="A121" s="19" t="s">
        <v>64</v>
      </c>
      <c r="B121" s="61" t="s">
        <v>1145</v>
      </c>
      <c r="C121" s="696" t="s">
        <v>55</v>
      </c>
      <c r="D121" s="696" t="s">
        <v>1042</v>
      </c>
      <c r="E121" s="697">
        <f>E122</f>
        <v>0</v>
      </c>
      <c r="F121" s="586">
        <f>F122</f>
        <v>0</v>
      </c>
      <c r="G121" s="434">
        <v>0</v>
      </c>
      <c r="H121" s="434">
        <f>I122</f>
        <v>0</v>
      </c>
      <c r="I121" s="434"/>
      <c r="J121" s="331">
        <f>J122</f>
        <v>0</v>
      </c>
      <c r="K121" s="689" t="s">
        <v>1146</v>
      </c>
      <c r="L121" s="689"/>
      <c r="M121" s="689"/>
      <c r="N121" s="331">
        <f>N122</f>
        <v>0</v>
      </c>
      <c r="O121" s="331">
        <v>0</v>
      </c>
      <c r="P121" s="331"/>
      <c r="Q121" s="317">
        <f t="shared" si="60"/>
        <v>0</v>
      </c>
      <c r="R121" s="660">
        <v>0</v>
      </c>
      <c r="S121" s="590">
        <v>0</v>
      </c>
      <c r="T121" s="707">
        <f>T122</f>
        <v>0</v>
      </c>
      <c r="U121" s="598">
        <v>0</v>
      </c>
      <c r="V121" s="598">
        <v>0</v>
      </c>
      <c r="W121" s="591">
        <f t="shared" si="62"/>
        <v>0</v>
      </c>
      <c r="X121" s="662">
        <v>0</v>
      </c>
      <c r="Y121" s="707">
        <v>0</v>
      </c>
      <c r="Z121" s="598">
        <v>0</v>
      </c>
      <c r="AA121" s="598">
        <v>0</v>
      </c>
      <c r="AB121" s="591">
        <f t="shared" si="46"/>
        <v>0</v>
      </c>
      <c r="AC121" s="662">
        <v>0</v>
      </c>
      <c r="AD121" s="699">
        <v>0</v>
      </c>
      <c r="AE121" s="700">
        <v>0</v>
      </c>
      <c r="AF121" s="700">
        <v>0</v>
      </c>
      <c r="AG121" s="700">
        <f>AG122</f>
        <v>0</v>
      </c>
      <c r="AH121" s="701">
        <f>AH122</f>
        <v>0</v>
      </c>
      <c r="AI121" s="678">
        <f t="shared" si="49"/>
        <v>0</v>
      </c>
      <c r="AJ121" s="332">
        <f t="shared" si="83"/>
        <v>0</v>
      </c>
      <c r="AK121" s="23">
        <f>AK122</f>
        <v>0</v>
      </c>
      <c r="AL121" s="591">
        <v>0</v>
      </c>
      <c r="AM121" s="598">
        <v>0</v>
      </c>
      <c r="AN121" s="591">
        <f t="shared" si="48"/>
        <v>0</v>
      </c>
      <c r="AO121" s="694">
        <v>0</v>
      </c>
      <c r="AP121" s="600"/>
      <c r="AQ121" s="601"/>
      <c r="AR121" s="601"/>
      <c r="AS121" s="601"/>
      <c r="AT121" s="434"/>
      <c r="AU121" s="601"/>
      <c r="AV121" s="601"/>
      <c r="AW121" s="602"/>
    </row>
    <row r="122" spans="1:49" ht="82.5">
      <c r="A122" s="327" t="s">
        <v>135</v>
      </c>
      <c r="B122" s="655" t="s">
        <v>1147</v>
      </c>
      <c r="C122" s="656" t="s">
        <v>1106</v>
      </c>
      <c r="D122" s="656" t="s">
        <v>1042</v>
      </c>
      <c r="E122" s="686">
        <v>0</v>
      </c>
      <c r="F122" s="586">
        <f t="shared" si="84"/>
        <v>0</v>
      </c>
      <c r="G122" s="434"/>
      <c r="H122" s="692">
        <v>0</v>
      </c>
      <c r="I122" s="692"/>
      <c r="J122" s="22">
        <v>0</v>
      </c>
      <c r="K122" s="689" t="s">
        <v>1146</v>
      </c>
      <c r="L122" s="689"/>
      <c r="M122" s="689"/>
      <c r="N122" s="22">
        <v>0</v>
      </c>
      <c r="O122" s="22">
        <v>0</v>
      </c>
      <c r="P122" s="22"/>
      <c r="Q122" s="317">
        <f t="shared" si="60"/>
        <v>0</v>
      </c>
      <c r="R122" s="660">
        <v>0</v>
      </c>
      <c r="S122" s="590">
        <v>0</v>
      </c>
      <c r="T122" s="707">
        <v>0</v>
      </c>
      <c r="U122" s="598">
        <v>0</v>
      </c>
      <c r="V122" s="661">
        <v>0</v>
      </c>
      <c r="W122" s="591">
        <f t="shared" si="62"/>
        <v>0</v>
      </c>
      <c r="X122" s="662">
        <v>0</v>
      </c>
      <c r="Y122" s="707">
        <v>0</v>
      </c>
      <c r="Z122" s="598">
        <v>0</v>
      </c>
      <c r="AA122" s="661">
        <v>0</v>
      </c>
      <c r="AB122" s="591">
        <f t="shared" si="46"/>
        <v>0</v>
      </c>
      <c r="AC122" s="662">
        <v>0</v>
      </c>
      <c r="AD122" s="704">
        <v>0</v>
      </c>
      <c r="AE122" s="692">
        <v>0</v>
      </c>
      <c r="AF122" s="692">
        <v>0</v>
      </c>
      <c r="AG122" s="692">
        <v>0</v>
      </c>
      <c r="AH122" s="693">
        <v>0</v>
      </c>
      <c r="AI122" s="678">
        <f t="shared" si="49"/>
        <v>0</v>
      </c>
      <c r="AJ122" s="332">
        <f t="shared" si="83"/>
        <v>0</v>
      </c>
      <c r="AK122" s="624">
        <f>SUM(AD122:AF122)</f>
        <v>0</v>
      </c>
      <c r="AL122" s="591">
        <v>0</v>
      </c>
      <c r="AM122" s="598">
        <v>0</v>
      </c>
      <c r="AN122" s="591">
        <f t="shared" si="48"/>
        <v>0</v>
      </c>
      <c r="AO122" s="694">
        <v>0</v>
      </c>
      <c r="AP122" s="600"/>
      <c r="AQ122" s="601"/>
      <c r="AR122" s="601"/>
      <c r="AS122" s="601"/>
      <c r="AT122" s="434"/>
      <c r="AU122" s="601"/>
      <c r="AV122" s="601"/>
      <c r="AW122" s="602"/>
    </row>
    <row r="123" spans="1:49" ht="132">
      <c r="A123" s="327" t="s">
        <v>1148</v>
      </c>
      <c r="B123" s="655" t="s">
        <v>1149</v>
      </c>
      <c r="C123" s="656" t="s">
        <v>1106</v>
      </c>
      <c r="D123" s="656" t="s">
        <v>1042</v>
      </c>
      <c r="E123" s="686">
        <v>131545068</v>
      </c>
      <c r="F123" s="586">
        <f t="shared" si="84"/>
        <v>92450399.970671996</v>
      </c>
      <c r="G123" s="692">
        <f>H123/G2</f>
        <v>142474423.87920389</v>
      </c>
      <c r="H123" s="22">
        <v>100131595</v>
      </c>
      <c r="I123" s="692"/>
      <c r="J123" s="22">
        <v>100131595</v>
      </c>
      <c r="K123" s="703" t="s">
        <v>1150</v>
      </c>
      <c r="L123" s="703"/>
      <c r="M123" s="703"/>
      <c r="N123" s="709">
        <v>40809132</v>
      </c>
      <c r="O123" s="22">
        <f>N123*0.4816</f>
        <v>19653677.9712</v>
      </c>
      <c r="P123" s="22"/>
      <c r="Q123" s="317">
        <f t="shared" si="60"/>
        <v>119785272.9712</v>
      </c>
      <c r="R123" s="660">
        <f t="shared" ref="R123" si="88">Q123/J123</f>
        <v>1.1962784870369838</v>
      </c>
      <c r="S123" s="590">
        <v>52421854.759999998</v>
      </c>
      <c r="T123" s="707">
        <v>69840004.989999995</v>
      </c>
      <c r="U123" s="598">
        <f>T123/J123</f>
        <v>0.69748219820127699</v>
      </c>
      <c r="V123" s="661">
        <v>0.69748219820127699</v>
      </c>
      <c r="W123" s="591">
        <f t="shared" si="62"/>
        <v>0</v>
      </c>
      <c r="X123" s="662">
        <f>T123/Q123</f>
        <v>0.5830433346075159</v>
      </c>
      <c r="Y123" s="707">
        <v>69840004.989999995</v>
      </c>
      <c r="Z123" s="598">
        <f>Y123/J123</f>
        <v>0.69748219820127699</v>
      </c>
      <c r="AA123" s="661">
        <v>0.69748219820127699</v>
      </c>
      <c r="AB123" s="591">
        <f t="shared" ref="AB123:AC142" si="89">Z123-AA123</f>
        <v>0</v>
      </c>
      <c r="AC123" s="662">
        <f>Y123/Q123</f>
        <v>0.5830433346075159</v>
      </c>
      <c r="AD123" s="600">
        <v>34070095.089999996</v>
      </c>
      <c r="AE123" s="434">
        <v>16737944.68</v>
      </c>
      <c r="AF123" s="692">
        <v>0</v>
      </c>
      <c r="AG123" s="692">
        <v>7838127.0200000005</v>
      </c>
      <c r="AH123" s="693">
        <v>6101745.3600000003</v>
      </c>
      <c r="AI123" s="678">
        <f t="shared" si="49"/>
        <v>44706294.409999996</v>
      </c>
      <c r="AJ123" s="332">
        <f t="shared" si="83"/>
        <v>52544421.43</v>
      </c>
      <c r="AK123" s="624">
        <f>SUM(AD123:AF123)</f>
        <v>50808039.769999996</v>
      </c>
      <c r="AL123" s="591">
        <f>AK123/J123</f>
        <v>0.50741266799954599</v>
      </c>
      <c r="AM123" s="598">
        <v>0.50741266799954599</v>
      </c>
      <c r="AN123" s="591">
        <f t="shared" ref="AN123:AN125" si="90">AL123-AM123</f>
        <v>0</v>
      </c>
      <c r="AO123" s="694">
        <f>AK123/Q123</f>
        <v>0.42415931866862949</v>
      </c>
      <c r="AP123" s="600"/>
      <c r="AQ123" s="601"/>
      <c r="AR123" s="601"/>
      <c r="AS123" s="601"/>
      <c r="AT123" s="434"/>
      <c r="AU123" s="601"/>
      <c r="AV123" s="601"/>
      <c r="AW123" s="602"/>
    </row>
    <row r="124" spans="1:49" s="59" customFormat="1" ht="198">
      <c r="A124" s="566" t="s">
        <v>65</v>
      </c>
      <c r="B124" s="567" t="s">
        <v>1151</v>
      </c>
      <c r="C124" s="568" t="s">
        <v>1106</v>
      </c>
      <c r="D124" s="568" t="s">
        <v>1042</v>
      </c>
      <c r="E124" s="684">
        <f>E125</f>
        <v>147515386</v>
      </c>
      <c r="F124" s="608">
        <f>F125</f>
        <v>103674403.342344</v>
      </c>
      <c r="G124" s="571">
        <f>H124/G2</f>
        <v>149923806.63741243</v>
      </c>
      <c r="H124" s="588">
        <f>H125</f>
        <v>105367051</v>
      </c>
      <c r="I124" s="571"/>
      <c r="J124" s="588">
        <f>J125</f>
        <v>105367052</v>
      </c>
      <c r="K124" s="710" t="s">
        <v>1152</v>
      </c>
      <c r="L124" s="710"/>
      <c r="M124" s="710"/>
      <c r="N124" s="17">
        <f>N125</f>
        <v>0</v>
      </c>
      <c r="O124" s="17">
        <f>O125</f>
        <v>0</v>
      </c>
      <c r="P124" s="17"/>
      <c r="Q124" s="294">
        <f t="shared" si="60"/>
        <v>105367052</v>
      </c>
      <c r="R124" s="491">
        <f>Q124/J124</f>
        <v>1</v>
      </c>
      <c r="S124" s="611">
        <v>129755809</v>
      </c>
      <c r="T124" s="577">
        <f>T125</f>
        <v>105367050.794136</v>
      </c>
      <c r="U124" s="574">
        <f>T124/J124</f>
        <v>0.99999998855558758</v>
      </c>
      <c r="V124" s="574">
        <v>0.99999998855558758</v>
      </c>
      <c r="W124" s="575">
        <f t="shared" si="62"/>
        <v>0</v>
      </c>
      <c r="X124" s="576">
        <f>T124/Q124</f>
        <v>0.99999998855558758</v>
      </c>
      <c r="Y124" s="577">
        <f>Y125</f>
        <v>105367050.794136</v>
      </c>
      <c r="Z124" s="574">
        <f>Y124/J124</f>
        <v>0.99999998855558758</v>
      </c>
      <c r="AA124" s="574">
        <v>0.99999998855558758</v>
      </c>
      <c r="AB124" s="575">
        <f t="shared" si="89"/>
        <v>0</v>
      </c>
      <c r="AC124" s="576">
        <f>Y124/Q124</f>
        <v>0.99999998855558758</v>
      </c>
      <c r="AD124" s="578">
        <v>129516331.022816</v>
      </c>
      <c r="AE124" s="579">
        <v>0</v>
      </c>
      <c r="AF124" s="579">
        <v>0</v>
      </c>
      <c r="AG124" s="579">
        <f>AG125</f>
        <v>0</v>
      </c>
      <c r="AH124" s="580">
        <f>AH125</f>
        <v>33477881</v>
      </c>
      <c r="AI124" s="678">
        <f t="shared" ref="AI124:AI187" si="91">AK124-AH124</f>
        <v>71889169.794136003</v>
      </c>
      <c r="AJ124" s="500">
        <f t="shared" ref="AJ124:AJ125" si="92">AD124+AE124+AG124</f>
        <v>129516331.022816</v>
      </c>
      <c r="AK124" s="17">
        <f>AK125</f>
        <v>105367050.794136</v>
      </c>
      <c r="AL124" s="575">
        <f>AK124/J124</f>
        <v>0.99999998855558758</v>
      </c>
      <c r="AM124" s="574">
        <v>0.99999998855558758</v>
      </c>
      <c r="AN124" s="575">
        <f t="shared" si="90"/>
        <v>0</v>
      </c>
      <c r="AO124" s="496">
        <f>AK124/Q124</f>
        <v>0.99999998855558758</v>
      </c>
      <c r="AP124" s="582"/>
      <c r="AQ124" s="583"/>
      <c r="AR124" s="583"/>
      <c r="AS124" s="583"/>
      <c r="AT124" s="571"/>
      <c r="AU124" s="583"/>
      <c r="AV124" s="583"/>
      <c r="AW124" s="584"/>
    </row>
    <row r="125" spans="1:49" s="59" customFormat="1" ht="66">
      <c r="A125" s="566" t="s">
        <v>66</v>
      </c>
      <c r="B125" s="567" t="s">
        <v>1153</v>
      </c>
      <c r="C125" s="568" t="s">
        <v>1106</v>
      </c>
      <c r="D125" s="568" t="s">
        <v>1042</v>
      </c>
      <c r="E125" s="684">
        <f>E126+E127+E130+E131</f>
        <v>147515386</v>
      </c>
      <c r="F125" s="608">
        <f>F126+F127+F130+F131</f>
        <v>103674403.342344</v>
      </c>
      <c r="G125" s="571">
        <f>H125/G2</f>
        <v>149923806.63741243</v>
      </c>
      <c r="H125" s="588">
        <f>H126+H127+H130+H131</f>
        <v>105367051</v>
      </c>
      <c r="I125" s="571"/>
      <c r="J125" s="588">
        <f>J126+J127+J130+J131</f>
        <v>105367052</v>
      </c>
      <c r="K125" s="711" t="s">
        <v>1154</v>
      </c>
      <c r="L125" s="711"/>
      <c r="M125" s="711"/>
      <c r="N125" s="17">
        <f>N126+N127+N130+N131</f>
        <v>0</v>
      </c>
      <c r="O125" s="17">
        <f>O126+O127+O130+O131</f>
        <v>0</v>
      </c>
      <c r="P125" s="17"/>
      <c r="Q125" s="294">
        <f t="shared" si="60"/>
        <v>105367052</v>
      </c>
      <c r="R125" s="491">
        <f>Q125/J125</f>
        <v>1</v>
      </c>
      <c r="S125" s="611">
        <v>129755809</v>
      </c>
      <c r="T125" s="577">
        <f>T126+T127+T130+T131</f>
        <v>105367050.794136</v>
      </c>
      <c r="U125" s="574">
        <f>T125/J125</f>
        <v>0.99999998855558758</v>
      </c>
      <c r="V125" s="574">
        <v>0.99999998855558758</v>
      </c>
      <c r="W125" s="575">
        <f t="shared" si="62"/>
        <v>0</v>
      </c>
      <c r="X125" s="576">
        <f>T125/Q125</f>
        <v>0.99999998855558758</v>
      </c>
      <c r="Y125" s="577">
        <f>Y126+Y127+Y130+Y131</f>
        <v>105367050.794136</v>
      </c>
      <c r="Z125" s="574">
        <f>Y125/J125</f>
        <v>0.99999998855558758</v>
      </c>
      <c r="AA125" s="574">
        <v>0.99999998855558758</v>
      </c>
      <c r="AB125" s="575">
        <f t="shared" si="89"/>
        <v>0</v>
      </c>
      <c r="AC125" s="576">
        <f>Y125/Q125</f>
        <v>0.99999998855558758</v>
      </c>
      <c r="AD125" s="578">
        <v>129516331.022816</v>
      </c>
      <c r="AE125" s="579">
        <v>0</v>
      </c>
      <c r="AF125" s="579">
        <v>0</v>
      </c>
      <c r="AG125" s="579">
        <f>AG126+AG127+AG130+AG131</f>
        <v>0</v>
      </c>
      <c r="AH125" s="580">
        <f>AH126+AH127+AH130+AH131</f>
        <v>33477881</v>
      </c>
      <c r="AI125" s="678">
        <f t="shared" si="91"/>
        <v>71889169.794136003</v>
      </c>
      <c r="AJ125" s="500">
        <f t="shared" si="92"/>
        <v>129516331.022816</v>
      </c>
      <c r="AK125" s="17">
        <f>AK126+AK127+AK130+AK131</f>
        <v>105367050.794136</v>
      </c>
      <c r="AL125" s="575">
        <f>AK125/J125</f>
        <v>0.99999998855558758</v>
      </c>
      <c r="AM125" s="574">
        <v>0.99999998855558758</v>
      </c>
      <c r="AN125" s="575">
        <f t="shared" si="90"/>
        <v>0</v>
      </c>
      <c r="AO125" s="496">
        <f>AK125/Q125</f>
        <v>0.99999998855558758</v>
      </c>
      <c r="AP125" s="582"/>
      <c r="AQ125" s="583"/>
      <c r="AR125" s="583"/>
      <c r="AS125" s="583"/>
      <c r="AT125" s="571"/>
      <c r="AU125" s="583"/>
      <c r="AV125" s="583"/>
      <c r="AW125" s="584"/>
    </row>
    <row r="126" spans="1:49" ht="148.5">
      <c r="A126" s="654" t="s">
        <v>67</v>
      </c>
      <c r="B126" s="655" t="s">
        <v>1155</v>
      </c>
      <c r="C126" s="656" t="s">
        <v>1106</v>
      </c>
      <c r="D126" s="656" t="s">
        <v>1042</v>
      </c>
      <c r="E126" s="686">
        <v>67165266</v>
      </c>
      <c r="F126" s="586">
        <f t="shared" ref="F126" si="93">E126*$E$2</f>
        <v>47204017.605863996</v>
      </c>
      <c r="G126" s="692">
        <v>67165266</v>
      </c>
      <c r="H126" s="22">
        <v>47204018</v>
      </c>
      <c r="I126" s="692"/>
      <c r="J126" s="22">
        <v>47204018</v>
      </c>
      <c r="K126" s="703" t="s">
        <v>1156</v>
      </c>
      <c r="L126" s="703"/>
      <c r="M126" s="703"/>
      <c r="N126" s="22">
        <v>0</v>
      </c>
      <c r="O126" s="22">
        <v>0</v>
      </c>
      <c r="P126" s="22"/>
      <c r="Q126" s="317">
        <f t="shared" si="60"/>
        <v>47204018</v>
      </c>
      <c r="R126" s="660">
        <f t="shared" ref="R126" si="94">Q126/J126</f>
        <v>1</v>
      </c>
      <c r="S126" s="695">
        <v>64306566</v>
      </c>
      <c r="T126" s="692">
        <v>47204018</v>
      </c>
      <c r="U126" s="598">
        <f>T126/J126</f>
        <v>1</v>
      </c>
      <c r="V126" s="661">
        <v>1</v>
      </c>
      <c r="W126" s="591">
        <f t="shared" si="62"/>
        <v>0</v>
      </c>
      <c r="X126" s="662">
        <f>T126/Q126</f>
        <v>1</v>
      </c>
      <c r="Y126" s="692">
        <v>47204018</v>
      </c>
      <c r="Z126" s="598">
        <f>Y126/J126</f>
        <v>1</v>
      </c>
      <c r="AA126" s="661">
        <v>1</v>
      </c>
      <c r="AB126" s="591">
        <f t="shared" si="89"/>
        <v>0</v>
      </c>
      <c r="AC126" s="662">
        <f>Y126/Q126</f>
        <v>1</v>
      </c>
      <c r="AD126" s="692">
        <v>47204018</v>
      </c>
      <c r="AE126" s="692">
        <v>0</v>
      </c>
      <c r="AF126" s="692">
        <v>0</v>
      </c>
      <c r="AG126" s="692">
        <v>0</v>
      </c>
      <c r="AH126" s="693">
        <v>0</v>
      </c>
      <c r="AI126" s="678">
        <f t="shared" si="91"/>
        <v>47204018</v>
      </c>
      <c r="AJ126" s="22">
        <v>47204018</v>
      </c>
      <c r="AK126" s="22">
        <v>47204018</v>
      </c>
      <c r="AL126" s="591">
        <v>1</v>
      </c>
      <c r="AM126" s="598">
        <v>1</v>
      </c>
      <c r="AN126" s="591">
        <v>0</v>
      </c>
      <c r="AO126" s="694">
        <f>AK126/Q126</f>
        <v>1</v>
      </c>
      <c r="AP126" s="600"/>
      <c r="AQ126" s="601"/>
      <c r="AR126" s="601"/>
      <c r="AS126" s="601"/>
      <c r="AT126" s="434"/>
      <c r="AU126" s="601"/>
      <c r="AV126" s="601"/>
      <c r="AW126" s="602"/>
    </row>
    <row r="127" spans="1:49" s="59" customFormat="1" ht="49.5">
      <c r="A127" s="39" t="s">
        <v>68</v>
      </c>
      <c r="B127" s="61" t="s">
        <v>1157</v>
      </c>
      <c r="C127" s="696" t="s">
        <v>1106</v>
      </c>
      <c r="D127" s="696" t="s">
        <v>1042</v>
      </c>
      <c r="E127" s="697">
        <f>E128+E129</f>
        <v>0</v>
      </c>
      <c r="F127" s="586">
        <f>F128+F129</f>
        <v>0</v>
      </c>
      <c r="G127" s="434">
        <v>0</v>
      </c>
      <c r="H127" s="331">
        <f>SUM(H128,H129)</f>
        <v>0</v>
      </c>
      <c r="I127" s="434"/>
      <c r="J127" s="331">
        <f>SUM(J128,J129)</f>
        <v>0</v>
      </c>
      <c r="K127" s="588" t="s">
        <v>885</v>
      </c>
      <c r="L127" s="588"/>
      <c r="M127" s="588"/>
      <c r="N127" s="331">
        <f>SUM(N128,N129)</f>
        <v>0</v>
      </c>
      <c r="O127" s="331">
        <f>SUM(O128,O129)</f>
        <v>0</v>
      </c>
      <c r="P127" s="331"/>
      <c r="Q127" s="317">
        <f t="shared" si="60"/>
        <v>0</v>
      </c>
      <c r="R127" s="660">
        <v>0</v>
      </c>
      <c r="S127" s="698">
        <v>0</v>
      </c>
      <c r="T127" s="434">
        <f>SUM(T128,T129)</f>
        <v>0</v>
      </c>
      <c r="U127" s="598">
        <v>0</v>
      </c>
      <c r="V127" s="598">
        <v>0</v>
      </c>
      <c r="W127" s="591">
        <f t="shared" si="62"/>
        <v>0</v>
      </c>
      <c r="X127" s="662">
        <f t="shared" si="62"/>
        <v>0</v>
      </c>
      <c r="Y127" s="434">
        <f>SUM(Y128,Y129)</f>
        <v>0</v>
      </c>
      <c r="Z127" s="598">
        <v>0</v>
      </c>
      <c r="AA127" s="598">
        <v>0</v>
      </c>
      <c r="AB127" s="591">
        <f t="shared" si="89"/>
        <v>0</v>
      </c>
      <c r="AC127" s="662">
        <f t="shared" si="89"/>
        <v>0</v>
      </c>
      <c r="AD127" s="434">
        <f>SUM(AD128,AD129)</f>
        <v>0</v>
      </c>
      <c r="AE127" s="700">
        <v>0</v>
      </c>
      <c r="AF127" s="700">
        <v>0</v>
      </c>
      <c r="AG127" s="700">
        <f>SUM(AG128,AG129)</f>
        <v>0</v>
      </c>
      <c r="AH127" s="701">
        <f>SUM(AH128,AH129)</f>
        <v>0</v>
      </c>
      <c r="AI127" s="678">
        <f t="shared" si="91"/>
        <v>0</v>
      </c>
      <c r="AJ127" s="331">
        <f>SUM(AJ128,AJ129)</f>
        <v>0</v>
      </c>
      <c r="AK127" s="331">
        <f>SUM(AK128,AK129)</f>
        <v>0</v>
      </c>
      <c r="AL127" s="591">
        <v>0</v>
      </c>
      <c r="AM127" s="598">
        <v>0</v>
      </c>
      <c r="AN127" s="591">
        <f t="shared" ref="AN127:AO142" si="95">AL127-AM127</f>
        <v>0</v>
      </c>
      <c r="AO127" s="593">
        <f t="shared" si="95"/>
        <v>0</v>
      </c>
      <c r="AP127" s="600"/>
      <c r="AQ127" s="601"/>
      <c r="AR127" s="601"/>
      <c r="AS127" s="601"/>
      <c r="AT127" s="434"/>
      <c r="AU127" s="601"/>
      <c r="AV127" s="601"/>
      <c r="AW127" s="602"/>
    </row>
    <row r="128" spans="1:49" ht="49.5">
      <c r="A128" s="654" t="s">
        <v>69</v>
      </c>
      <c r="B128" s="655" t="s">
        <v>1158</v>
      </c>
      <c r="C128" s="656" t="s">
        <v>1106</v>
      </c>
      <c r="D128" s="656" t="s">
        <v>1042</v>
      </c>
      <c r="E128" s="686">
        <v>0</v>
      </c>
      <c r="F128" s="586">
        <f t="shared" ref="F128:F130" si="96">E128*$E$2</f>
        <v>0</v>
      </c>
      <c r="G128" s="692">
        <v>0</v>
      </c>
      <c r="H128" s="22">
        <v>0</v>
      </c>
      <c r="I128" s="692"/>
      <c r="J128" s="22">
        <v>0</v>
      </c>
      <c r="K128" s="588" t="s">
        <v>885</v>
      </c>
      <c r="L128" s="588"/>
      <c r="M128" s="588"/>
      <c r="N128" s="22">
        <v>0</v>
      </c>
      <c r="O128" s="22">
        <v>0</v>
      </c>
      <c r="P128" s="22"/>
      <c r="Q128" s="317">
        <f t="shared" si="60"/>
        <v>0</v>
      </c>
      <c r="R128" s="591">
        <f t="shared" ref="R128:R129" si="97">O128-Q128</f>
        <v>0</v>
      </c>
      <c r="S128" s="695">
        <v>0</v>
      </c>
      <c r="T128" s="692">
        <v>0</v>
      </c>
      <c r="U128" s="598">
        <v>0</v>
      </c>
      <c r="V128" s="661">
        <v>0</v>
      </c>
      <c r="W128" s="591">
        <f t="shared" ref="W128:X142" si="98">U128-V128</f>
        <v>0</v>
      </c>
      <c r="X128" s="662">
        <f t="shared" si="98"/>
        <v>0</v>
      </c>
      <c r="Y128" s="692">
        <v>0</v>
      </c>
      <c r="Z128" s="598">
        <v>0</v>
      </c>
      <c r="AA128" s="661">
        <v>0</v>
      </c>
      <c r="AB128" s="591">
        <f t="shared" si="89"/>
        <v>0</v>
      </c>
      <c r="AC128" s="662">
        <f t="shared" si="89"/>
        <v>0</v>
      </c>
      <c r="AD128" s="692">
        <v>0</v>
      </c>
      <c r="AE128" s="692">
        <v>0</v>
      </c>
      <c r="AF128" s="692">
        <v>0</v>
      </c>
      <c r="AG128" s="692">
        <v>0</v>
      </c>
      <c r="AH128" s="693">
        <v>0</v>
      </c>
      <c r="AI128" s="678">
        <f t="shared" si="91"/>
        <v>0</v>
      </c>
      <c r="AJ128" s="22">
        <v>0</v>
      </c>
      <c r="AK128" s="22">
        <v>0</v>
      </c>
      <c r="AL128" s="591">
        <v>0</v>
      </c>
      <c r="AM128" s="598">
        <v>0</v>
      </c>
      <c r="AN128" s="591">
        <f t="shared" si="95"/>
        <v>0</v>
      </c>
      <c r="AO128" s="593">
        <f t="shared" si="95"/>
        <v>0</v>
      </c>
      <c r="AP128" s="600"/>
      <c r="AQ128" s="601"/>
      <c r="AR128" s="601"/>
      <c r="AS128" s="601"/>
      <c r="AT128" s="434"/>
      <c r="AU128" s="601"/>
      <c r="AV128" s="601"/>
      <c r="AW128" s="602"/>
    </row>
    <row r="129" spans="1:49" ht="49.5">
      <c r="A129" s="654" t="s">
        <v>70</v>
      </c>
      <c r="B129" s="655" t="s">
        <v>1159</v>
      </c>
      <c r="C129" s="656" t="s">
        <v>1106</v>
      </c>
      <c r="D129" s="656" t="s">
        <v>1042</v>
      </c>
      <c r="E129" s="686">
        <v>0</v>
      </c>
      <c r="F129" s="586">
        <f t="shared" si="96"/>
        <v>0</v>
      </c>
      <c r="G129" s="692">
        <v>0</v>
      </c>
      <c r="H129" s="22">
        <v>0</v>
      </c>
      <c r="I129" s="692"/>
      <c r="J129" s="22">
        <v>0</v>
      </c>
      <c r="K129" s="588" t="s">
        <v>885</v>
      </c>
      <c r="L129" s="588"/>
      <c r="M129" s="588"/>
      <c r="N129" s="22">
        <v>0</v>
      </c>
      <c r="O129" s="22">
        <v>0</v>
      </c>
      <c r="P129" s="22"/>
      <c r="Q129" s="317">
        <f t="shared" si="60"/>
        <v>0</v>
      </c>
      <c r="R129" s="591">
        <f t="shared" si="97"/>
        <v>0</v>
      </c>
      <c r="S129" s="695">
        <v>0</v>
      </c>
      <c r="T129" s="692">
        <v>0</v>
      </c>
      <c r="U129" s="598">
        <v>0</v>
      </c>
      <c r="V129" s="661">
        <v>0</v>
      </c>
      <c r="W129" s="591">
        <f t="shared" si="98"/>
        <v>0</v>
      </c>
      <c r="X129" s="662">
        <f t="shared" si="98"/>
        <v>0</v>
      </c>
      <c r="Y129" s="692">
        <v>0</v>
      </c>
      <c r="Z129" s="598">
        <v>0</v>
      </c>
      <c r="AA129" s="661">
        <v>0</v>
      </c>
      <c r="AB129" s="591">
        <f t="shared" si="89"/>
        <v>0</v>
      </c>
      <c r="AC129" s="662">
        <f t="shared" si="89"/>
        <v>0</v>
      </c>
      <c r="AD129" s="692">
        <v>0</v>
      </c>
      <c r="AE129" s="692">
        <v>0</v>
      </c>
      <c r="AF129" s="692">
        <v>0</v>
      </c>
      <c r="AG129" s="692">
        <v>0</v>
      </c>
      <c r="AH129" s="693">
        <v>0</v>
      </c>
      <c r="AI129" s="678">
        <f t="shared" si="91"/>
        <v>0</v>
      </c>
      <c r="AJ129" s="22">
        <v>0</v>
      </c>
      <c r="AK129" s="22">
        <v>0</v>
      </c>
      <c r="AL129" s="591">
        <v>0</v>
      </c>
      <c r="AM129" s="598">
        <v>0</v>
      </c>
      <c r="AN129" s="591">
        <f t="shared" si="95"/>
        <v>0</v>
      </c>
      <c r="AO129" s="593">
        <f t="shared" si="95"/>
        <v>0</v>
      </c>
      <c r="AP129" s="600"/>
      <c r="AQ129" s="601"/>
      <c r="AR129" s="601"/>
      <c r="AS129" s="601"/>
      <c r="AT129" s="434"/>
      <c r="AU129" s="601"/>
      <c r="AV129" s="601"/>
      <c r="AW129" s="602"/>
    </row>
    <row r="130" spans="1:49" ht="82.5">
      <c r="A130" s="654" t="s">
        <v>1160</v>
      </c>
      <c r="B130" s="655" t="s">
        <v>1161</v>
      </c>
      <c r="C130" s="656" t="s">
        <v>1106</v>
      </c>
      <c r="D130" s="656" t="s">
        <v>1042</v>
      </c>
      <c r="E130" s="686">
        <v>15267022</v>
      </c>
      <c r="F130" s="586">
        <f t="shared" si="96"/>
        <v>10729724.129688</v>
      </c>
      <c r="G130" s="692">
        <f>H130/G2</f>
        <v>15947498.87593127</v>
      </c>
      <c r="H130" s="22">
        <v>11207966</v>
      </c>
      <c r="I130" s="692"/>
      <c r="J130" s="22">
        <v>11207966</v>
      </c>
      <c r="K130" s="588" t="s">
        <v>885</v>
      </c>
      <c r="L130" s="588"/>
      <c r="M130" s="588"/>
      <c r="N130" s="22">
        <v>0</v>
      </c>
      <c r="O130" s="22">
        <v>0</v>
      </c>
      <c r="P130" s="22"/>
      <c r="Q130" s="317">
        <f t="shared" si="60"/>
        <v>11207966</v>
      </c>
      <c r="R130" s="660">
        <f t="shared" ref="R130:R139" si="99">Q130/J130</f>
        <v>1</v>
      </c>
      <c r="S130" s="695">
        <v>20000000</v>
      </c>
      <c r="T130" s="692">
        <v>11207966</v>
      </c>
      <c r="U130" s="598">
        <f t="shared" ref="U130:U143" si="100">T130/J130</f>
        <v>1</v>
      </c>
      <c r="V130" s="661">
        <v>1</v>
      </c>
      <c r="W130" s="591">
        <f t="shared" si="98"/>
        <v>0</v>
      </c>
      <c r="X130" s="662">
        <f t="shared" ref="X130:X142" si="101">T130/Q130</f>
        <v>1</v>
      </c>
      <c r="Y130" s="692">
        <v>11207966</v>
      </c>
      <c r="Z130" s="598">
        <f t="shared" ref="Z130:Z157" si="102">Y130/J130</f>
        <v>1</v>
      </c>
      <c r="AA130" s="661">
        <v>1</v>
      </c>
      <c r="AB130" s="591">
        <f t="shared" si="89"/>
        <v>0</v>
      </c>
      <c r="AC130" s="662">
        <f t="shared" ref="AC130:AC142" si="103">Y130/Q130</f>
        <v>1</v>
      </c>
      <c r="AD130" s="692">
        <v>11207966</v>
      </c>
      <c r="AE130" s="692">
        <v>0</v>
      </c>
      <c r="AF130" s="692">
        <v>0</v>
      </c>
      <c r="AG130" s="692">
        <v>0</v>
      </c>
      <c r="AH130" s="693">
        <v>33477881</v>
      </c>
      <c r="AI130" s="678">
        <f>AK130</f>
        <v>11207966</v>
      </c>
      <c r="AJ130" s="22">
        <v>11207966</v>
      </c>
      <c r="AK130" s="22">
        <v>11207966</v>
      </c>
      <c r="AL130" s="591">
        <f t="shared" ref="AL130:AL143" si="104">AK130/J130</f>
        <v>1</v>
      </c>
      <c r="AM130" s="598">
        <v>1</v>
      </c>
      <c r="AN130" s="591">
        <f t="shared" si="95"/>
        <v>0</v>
      </c>
      <c r="AO130" s="694">
        <f t="shared" ref="AO130:AO142" si="105">AK130/Q130</f>
        <v>1</v>
      </c>
      <c r="AP130" s="600"/>
      <c r="AQ130" s="601"/>
      <c r="AR130" s="601"/>
      <c r="AS130" s="601"/>
      <c r="AT130" s="434"/>
      <c r="AU130" s="601"/>
      <c r="AV130" s="601"/>
      <c r="AW130" s="602"/>
    </row>
    <row r="131" spans="1:49" ht="99">
      <c r="A131" s="654" t="s">
        <v>1162</v>
      </c>
      <c r="B131" s="655" t="s">
        <v>1163</v>
      </c>
      <c r="C131" s="656" t="s">
        <v>1106</v>
      </c>
      <c r="D131" s="656" t="s">
        <v>1042</v>
      </c>
      <c r="E131" s="712">
        <f>E132+E133</f>
        <v>65083098</v>
      </c>
      <c r="F131" s="594">
        <f>F132+F133</f>
        <v>45740661.606792003</v>
      </c>
      <c r="G131" s="692">
        <v>66811042</v>
      </c>
      <c r="H131" s="22">
        <v>46955067</v>
      </c>
      <c r="I131" s="692"/>
      <c r="J131" s="22">
        <v>46955068</v>
      </c>
      <c r="K131" s="703" t="s">
        <v>1164</v>
      </c>
      <c r="L131" s="703"/>
      <c r="M131" s="703"/>
      <c r="N131" s="22">
        <v>0</v>
      </c>
      <c r="O131" s="22">
        <v>0</v>
      </c>
      <c r="P131" s="22"/>
      <c r="Q131" s="317">
        <f t="shared" si="60"/>
        <v>46955068</v>
      </c>
      <c r="R131" s="660">
        <f t="shared" si="99"/>
        <v>1</v>
      </c>
      <c r="S131" s="695">
        <v>45449243</v>
      </c>
      <c r="T131" s="692">
        <f>T132+T133</f>
        <v>46955066.794136003</v>
      </c>
      <c r="U131" s="598">
        <f t="shared" si="100"/>
        <v>0.99999997431876797</v>
      </c>
      <c r="V131" s="661">
        <v>0.99999997431876797</v>
      </c>
      <c r="W131" s="591">
        <f t="shared" si="98"/>
        <v>0</v>
      </c>
      <c r="X131" s="662">
        <f t="shared" si="101"/>
        <v>0.99999997431876797</v>
      </c>
      <c r="Y131" s="692">
        <f>Y132+Y133</f>
        <v>46955066.794136003</v>
      </c>
      <c r="Z131" s="598">
        <f t="shared" si="102"/>
        <v>0.99999997431876797</v>
      </c>
      <c r="AA131" s="661">
        <v>0.99999997431876797</v>
      </c>
      <c r="AB131" s="591">
        <f t="shared" si="89"/>
        <v>0</v>
      </c>
      <c r="AC131" s="662">
        <f t="shared" si="103"/>
        <v>0.99999997431876797</v>
      </c>
      <c r="AD131" s="692">
        <f>AD132+AD133</f>
        <v>46955066.794136003</v>
      </c>
      <c r="AE131" s="692">
        <f>AE132+AE133</f>
        <v>0</v>
      </c>
      <c r="AF131" s="692">
        <f>AF132+AF133</f>
        <v>0</v>
      </c>
      <c r="AG131" s="692">
        <f>AG132+AG133</f>
        <v>0</v>
      </c>
      <c r="AH131" s="693">
        <f>AH132+AH133</f>
        <v>0</v>
      </c>
      <c r="AI131" s="678">
        <f t="shared" si="91"/>
        <v>46955066.794136003</v>
      </c>
      <c r="AJ131" s="22">
        <f>AJ132+AJ133</f>
        <v>46955066.794136003</v>
      </c>
      <c r="AK131" s="22">
        <f>AK132+AK133</f>
        <v>46955066.794136003</v>
      </c>
      <c r="AL131" s="591">
        <f t="shared" si="104"/>
        <v>0.99999997431876797</v>
      </c>
      <c r="AM131" s="598">
        <v>0.99999997431876797</v>
      </c>
      <c r="AN131" s="591">
        <f t="shared" si="95"/>
        <v>0</v>
      </c>
      <c r="AO131" s="694">
        <f t="shared" si="105"/>
        <v>0.99999997431876797</v>
      </c>
      <c r="AP131" s="600"/>
      <c r="AQ131" s="601"/>
      <c r="AR131" s="601"/>
      <c r="AS131" s="601"/>
      <c r="AT131" s="434"/>
      <c r="AU131" s="601"/>
      <c r="AV131" s="601"/>
      <c r="AW131" s="602"/>
    </row>
    <row r="132" spans="1:49" ht="99">
      <c r="A132" s="327" t="s">
        <v>1165</v>
      </c>
      <c r="B132" s="655" t="s">
        <v>1166</v>
      </c>
      <c r="C132" s="656" t="s">
        <v>1106</v>
      </c>
      <c r="D132" s="656" t="s">
        <v>1042</v>
      </c>
      <c r="E132" s="686">
        <v>49898364</v>
      </c>
      <c r="F132" s="586">
        <f t="shared" ref="F132:F133" si="106">E132*$E$2</f>
        <v>35068769.812656</v>
      </c>
      <c r="G132" s="692">
        <v>51626308</v>
      </c>
      <c r="H132" s="22">
        <v>36283175</v>
      </c>
      <c r="I132" s="692"/>
      <c r="J132" s="22">
        <v>36283176</v>
      </c>
      <c r="K132" s="703" t="s">
        <v>1164</v>
      </c>
      <c r="L132" s="703"/>
      <c r="M132" s="703"/>
      <c r="N132" s="22">
        <v>0</v>
      </c>
      <c r="O132" s="22">
        <v>0</v>
      </c>
      <c r="P132" s="22"/>
      <c r="Q132" s="317">
        <f t="shared" si="60"/>
        <v>36283176</v>
      </c>
      <c r="R132" s="660">
        <f t="shared" si="99"/>
        <v>1</v>
      </c>
      <c r="S132" s="695">
        <v>45449243</v>
      </c>
      <c r="T132" s="692">
        <v>36283175</v>
      </c>
      <c r="U132" s="598">
        <f t="shared" si="100"/>
        <v>0.99999997243901695</v>
      </c>
      <c r="V132" s="661">
        <v>0.99999997243901695</v>
      </c>
      <c r="W132" s="591">
        <f t="shared" si="98"/>
        <v>0</v>
      </c>
      <c r="X132" s="662">
        <f t="shared" si="101"/>
        <v>0.99999997243901695</v>
      </c>
      <c r="Y132" s="692">
        <v>36283175</v>
      </c>
      <c r="Z132" s="598">
        <f t="shared" si="102"/>
        <v>0.99999997243901695</v>
      </c>
      <c r="AA132" s="661">
        <v>0.99999997243901695</v>
      </c>
      <c r="AB132" s="591">
        <f t="shared" si="89"/>
        <v>0</v>
      </c>
      <c r="AC132" s="662">
        <f t="shared" si="103"/>
        <v>0.99999997243901695</v>
      </c>
      <c r="AD132" s="692">
        <v>36283175</v>
      </c>
      <c r="AE132" s="692">
        <v>0</v>
      </c>
      <c r="AF132" s="692">
        <v>0</v>
      </c>
      <c r="AG132" s="692">
        <v>0</v>
      </c>
      <c r="AH132" s="693">
        <v>0</v>
      </c>
      <c r="AI132" s="678">
        <f t="shared" si="91"/>
        <v>36283175</v>
      </c>
      <c r="AJ132" s="22">
        <v>36283175</v>
      </c>
      <c r="AK132" s="22">
        <v>36283175</v>
      </c>
      <c r="AL132" s="591">
        <f t="shared" si="104"/>
        <v>0.99999997243901695</v>
      </c>
      <c r="AM132" s="598">
        <v>0.99999997243901695</v>
      </c>
      <c r="AN132" s="591">
        <f t="shared" si="95"/>
        <v>0</v>
      </c>
      <c r="AO132" s="694">
        <f t="shared" si="105"/>
        <v>0.99999997243901695</v>
      </c>
      <c r="AP132" s="600"/>
      <c r="AQ132" s="601"/>
      <c r="AR132" s="601"/>
      <c r="AS132" s="601"/>
      <c r="AT132" s="434"/>
      <c r="AU132" s="601"/>
      <c r="AV132" s="601"/>
      <c r="AW132" s="602"/>
    </row>
    <row r="133" spans="1:49" ht="126">
      <c r="A133" s="654" t="s">
        <v>151</v>
      </c>
      <c r="B133" s="655" t="s">
        <v>1167</v>
      </c>
      <c r="C133" s="656" t="s">
        <v>1106</v>
      </c>
      <c r="D133" s="656" t="s">
        <v>1042</v>
      </c>
      <c r="E133" s="686">
        <v>15184734</v>
      </c>
      <c r="F133" s="586">
        <f t="shared" si="106"/>
        <v>10671891.794135999</v>
      </c>
      <c r="G133" s="692">
        <v>15184734</v>
      </c>
      <c r="H133" s="22">
        <v>10671891.794136001</v>
      </c>
      <c r="I133" s="692"/>
      <c r="J133" s="22">
        <v>10671892</v>
      </c>
      <c r="K133" s="713" t="s">
        <v>1168</v>
      </c>
      <c r="L133" s="713"/>
      <c r="M133" s="713"/>
      <c r="N133" s="22">
        <v>0</v>
      </c>
      <c r="O133" s="22">
        <v>0</v>
      </c>
      <c r="P133" s="22"/>
      <c r="Q133" s="317">
        <f t="shared" si="60"/>
        <v>10671892</v>
      </c>
      <c r="R133" s="660">
        <f t="shared" si="99"/>
        <v>1</v>
      </c>
      <c r="S133" s="695">
        <v>0</v>
      </c>
      <c r="T133" s="692">
        <v>10671891.794136001</v>
      </c>
      <c r="U133" s="598">
        <f t="shared" si="100"/>
        <v>0.99999998070969986</v>
      </c>
      <c r="V133" s="661">
        <v>0.99999998070969986</v>
      </c>
      <c r="W133" s="591">
        <f t="shared" si="98"/>
        <v>0</v>
      </c>
      <c r="X133" s="662">
        <f t="shared" si="101"/>
        <v>0.99999998070969986</v>
      </c>
      <c r="Y133" s="692">
        <v>10671891.794136001</v>
      </c>
      <c r="Z133" s="598">
        <f t="shared" si="102"/>
        <v>0.99999998070969986</v>
      </c>
      <c r="AA133" s="661">
        <v>0.99999998070969986</v>
      </c>
      <c r="AB133" s="591">
        <f t="shared" si="89"/>
        <v>0</v>
      </c>
      <c r="AC133" s="662">
        <f t="shared" si="103"/>
        <v>0.99999998070969986</v>
      </c>
      <c r="AD133" s="692">
        <v>10671891.794136001</v>
      </c>
      <c r="AE133" s="692">
        <v>0</v>
      </c>
      <c r="AF133" s="692">
        <v>0</v>
      </c>
      <c r="AG133" s="692">
        <v>0</v>
      </c>
      <c r="AH133" s="693">
        <v>0</v>
      </c>
      <c r="AI133" s="678">
        <f t="shared" si="91"/>
        <v>10671891.794136001</v>
      </c>
      <c r="AJ133" s="22">
        <v>10671891.794136001</v>
      </c>
      <c r="AK133" s="22">
        <v>10671891.794136001</v>
      </c>
      <c r="AL133" s="591">
        <f t="shared" si="104"/>
        <v>0.99999998070969986</v>
      </c>
      <c r="AM133" s="598">
        <v>0.99999998070969986</v>
      </c>
      <c r="AN133" s="591">
        <f t="shared" si="95"/>
        <v>0</v>
      </c>
      <c r="AO133" s="694">
        <f t="shared" si="105"/>
        <v>0.99999998070969986</v>
      </c>
      <c r="AP133" s="600"/>
      <c r="AQ133" s="601"/>
      <c r="AR133" s="601"/>
      <c r="AS133" s="601"/>
      <c r="AT133" s="434"/>
      <c r="AU133" s="601"/>
      <c r="AV133" s="601"/>
      <c r="AW133" s="602"/>
    </row>
    <row r="134" spans="1:49" s="59" customFormat="1" ht="66">
      <c r="A134" s="566" t="s">
        <v>71</v>
      </c>
      <c r="B134" s="567" t="s">
        <v>1169</v>
      </c>
      <c r="C134" s="568" t="s">
        <v>1106</v>
      </c>
      <c r="D134" s="568" t="s">
        <v>1042</v>
      </c>
      <c r="E134" s="684">
        <f>E135+E140</f>
        <v>73897154</v>
      </c>
      <c r="F134" s="608">
        <f>F135+F140</f>
        <v>51935215.419816002</v>
      </c>
      <c r="G134" s="571">
        <v>76980000</v>
      </c>
      <c r="H134" s="571">
        <f>H135+H140</f>
        <v>54101851.919999994</v>
      </c>
      <c r="I134" s="571"/>
      <c r="J134" s="588">
        <f>J135+J140</f>
        <v>54101852.303579994</v>
      </c>
      <c r="K134" s="588" t="s">
        <v>885</v>
      </c>
      <c r="L134" s="588"/>
      <c r="M134" s="588"/>
      <c r="N134" s="17">
        <f>SUM(N135,N140)</f>
        <v>6000000</v>
      </c>
      <c r="O134" s="17">
        <f>SUM(O135,O140)</f>
        <v>3000000</v>
      </c>
      <c r="P134" s="17"/>
      <c r="Q134" s="294">
        <f t="shared" si="60"/>
        <v>57101852.303579994</v>
      </c>
      <c r="R134" s="491">
        <f t="shared" si="99"/>
        <v>1.0554509665060301</v>
      </c>
      <c r="S134" s="611">
        <v>30751628.649999999</v>
      </c>
      <c r="T134" s="577">
        <f>T135+T140</f>
        <v>40063185.770000003</v>
      </c>
      <c r="U134" s="574">
        <f t="shared" si="100"/>
        <v>0.74051412408571027</v>
      </c>
      <c r="V134" s="574">
        <v>0.74051412408571027</v>
      </c>
      <c r="W134" s="575">
        <f t="shared" si="98"/>
        <v>0</v>
      </c>
      <c r="X134" s="576">
        <f t="shared" si="101"/>
        <v>0.70160921500419082</v>
      </c>
      <c r="Y134" s="577">
        <f>Y135+Y140</f>
        <v>39710987.200000003</v>
      </c>
      <c r="Z134" s="574">
        <f t="shared" si="102"/>
        <v>0.73400420704952962</v>
      </c>
      <c r="AA134" s="714">
        <v>0.73400420704952962</v>
      </c>
      <c r="AB134" s="575">
        <f t="shared" si="89"/>
        <v>0</v>
      </c>
      <c r="AC134" s="576">
        <f t="shared" si="103"/>
        <v>0.69544131403790432</v>
      </c>
      <c r="AD134" s="578">
        <f>AD135+AD140</f>
        <v>21659690.520000003</v>
      </c>
      <c r="AE134" s="579">
        <f>AE135+AE140</f>
        <v>8602164.6300000008</v>
      </c>
      <c r="AF134" s="579">
        <f>AF135+AF140</f>
        <v>628170.03</v>
      </c>
      <c r="AG134" s="579">
        <f>AG135+AG140</f>
        <v>371890.99000000092</v>
      </c>
      <c r="AH134" s="580">
        <f>AH135+AH140</f>
        <v>53557.979999999996</v>
      </c>
      <c r="AI134" s="678">
        <f t="shared" si="91"/>
        <v>22481950.029999997</v>
      </c>
      <c r="AJ134" s="261">
        <f t="shared" ref="AJ134:AJ140" si="107">AD134+AE134+AG134</f>
        <v>30633746.140000008</v>
      </c>
      <c r="AK134" s="17">
        <f>AK135+AK140</f>
        <v>22535508.009999998</v>
      </c>
      <c r="AL134" s="575">
        <f t="shared" si="104"/>
        <v>0.4165385666196274</v>
      </c>
      <c r="AM134" s="574">
        <v>0.4165385666196274</v>
      </c>
      <c r="AN134" s="575">
        <f t="shared" si="95"/>
        <v>0</v>
      </c>
      <c r="AO134" s="496">
        <f t="shared" si="105"/>
        <v>0.39465458826433092</v>
      </c>
      <c r="AP134" s="582"/>
      <c r="AQ134" s="583"/>
      <c r="AR134" s="583"/>
      <c r="AS134" s="583"/>
      <c r="AT134" s="571"/>
      <c r="AU134" s="583"/>
      <c r="AV134" s="583"/>
      <c r="AW134" s="584"/>
    </row>
    <row r="135" spans="1:49" s="59" customFormat="1" ht="49.5">
      <c r="A135" s="566" t="s">
        <v>72</v>
      </c>
      <c r="B135" s="567" t="s">
        <v>1170</v>
      </c>
      <c r="C135" s="568" t="s">
        <v>1106</v>
      </c>
      <c r="D135" s="568" t="s">
        <v>1042</v>
      </c>
      <c r="E135" s="684">
        <f>E137+E138+E139</f>
        <v>27264896</v>
      </c>
      <c r="F135" s="608">
        <f>F137+F138+F139</f>
        <v>19161877.968384001</v>
      </c>
      <c r="G135" s="571">
        <v>27619658</v>
      </c>
      <c r="H135" s="692">
        <f>H136+H139</f>
        <v>19411206.121032</v>
      </c>
      <c r="I135" s="571"/>
      <c r="J135" s="588">
        <f>J136+J139</f>
        <v>19411206.316335998</v>
      </c>
      <c r="K135" s="711" t="s">
        <v>1171</v>
      </c>
      <c r="L135" s="711"/>
      <c r="M135" s="711"/>
      <c r="N135" s="17">
        <f>N136+N139</f>
        <v>0</v>
      </c>
      <c r="O135" s="17">
        <f>O136+O139</f>
        <v>0</v>
      </c>
      <c r="P135" s="17"/>
      <c r="Q135" s="294">
        <f t="shared" si="60"/>
        <v>19411206.316335998</v>
      </c>
      <c r="R135" s="491">
        <f t="shared" si="99"/>
        <v>1</v>
      </c>
      <c r="S135" s="611">
        <v>11921591.140000001</v>
      </c>
      <c r="T135" s="577">
        <f>T136+T139</f>
        <v>14150838.200000009</v>
      </c>
      <c r="U135" s="574">
        <f t="shared" si="100"/>
        <v>0.72900354410694235</v>
      </c>
      <c r="V135" s="574">
        <v>0.72900354410694235</v>
      </c>
      <c r="W135" s="575">
        <f t="shared" si="98"/>
        <v>0</v>
      </c>
      <c r="X135" s="576">
        <f t="shared" si="101"/>
        <v>0.72900354410694235</v>
      </c>
      <c r="Y135" s="577">
        <f>Y136+Y139</f>
        <v>13798639.63000001</v>
      </c>
      <c r="Z135" s="574">
        <f t="shared" si="102"/>
        <v>0.7108594594859059</v>
      </c>
      <c r="AA135" s="714">
        <v>0.7108594594859059</v>
      </c>
      <c r="AB135" s="575">
        <f t="shared" si="89"/>
        <v>0</v>
      </c>
      <c r="AC135" s="576">
        <f t="shared" si="103"/>
        <v>0.7108594594859059</v>
      </c>
      <c r="AD135" s="578">
        <f>AD136+AD139</f>
        <v>8354517.1699999999</v>
      </c>
      <c r="AE135" s="579">
        <f>AD136+AD139</f>
        <v>8354517.1699999999</v>
      </c>
      <c r="AF135" s="579">
        <f>AF136+AF139</f>
        <v>0</v>
      </c>
      <c r="AG135" s="579">
        <f>AG136+AG139</f>
        <v>0</v>
      </c>
      <c r="AH135" s="580">
        <f>AH136+AH139</f>
        <v>0</v>
      </c>
      <c r="AI135" s="678">
        <f t="shared" si="91"/>
        <v>8354517.1699999999</v>
      </c>
      <c r="AJ135" s="500">
        <f t="shared" si="107"/>
        <v>16709034.34</v>
      </c>
      <c r="AK135" s="17">
        <f>AK136+AK139</f>
        <v>8354517.1699999999</v>
      </c>
      <c r="AL135" s="575">
        <f t="shared" si="104"/>
        <v>0.43039659843134231</v>
      </c>
      <c r="AM135" s="574">
        <v>0.43039659843134231</v>
      </c>
      <c r="AN135" s="575">
        <f t="shared" si="95"/>
        <v>0</v>
      </c>
      <c r="AO135" s="496">
        <f t="shared" si="105"/>
        <v>0.43039659843134231</v>
      </c>
      <c r="AP135" s="582"/>
      <c r="AQ135" s="583"/>
      <c r="AR135" s="583"/>
      <c r="AS135" s="583"/>
      <c r="AT135" s="571"/>
      <c r="AU135" s="583"/>
      <c r="AV135" s="583"/>
      <c r="AW135" s="584"/>
    </row>
    <row r="136" spans="1:49" s="59" customFormat="1" ht="49.5">
      <c r="A136" s="39" t="s">
        <v>147</v>
      </c>
      <c r="B136" s="61" t="s">
        <v>1172</v>
      </c>
      <c r="C136" s="696" t="s">
        <v>1106</v>
      </c>
      <c r="D136" s="696" t="s">
        <v>1042</v>
      </c>
      <c r="E136" s="697">
        <f>E137+E138</f>
        <v>24825522</v>
      </c>
      <c r="F136" s="586">
        <f>F137+F138</f>
        <v>17447476.163688</v>
      </c>
      <c r="G136" s="434">
        <v>25180284</v>
      </c>
      <c r="H136" s="434">
        <f>H137+H138</f>
        <v>17696804.316335998</v>
      </c>
      <c r="I136" s="434"/>
      <c r="J136" s="331">
        <f>J137+J138</f>
        <v>17696804.316335998</v>
      </c>
      <c r="K136" s="711" t="s">
        <v>1171</v>
      </c>
      <c r="L136" s="711"/>
      <c r="M136" s="711"/>
      <c r="N136" s="23">
        <f>N137+N138</f>
        <v>0</v>
      </c>
      <c r="O136" s="23">
        <f>O137+O138</f>
        <v>0</v>
      </c>
      <c r="P136" s="23"/>
      <c r="Q136" s="317">
        <f t="shared" si="60"/>
        <v>17696804.316335998</v>
      </c>
      <c r="R136" s="660">
        <f t="shared" si="99"/>
        <v>1</v>
      </c>
      <c r="S136" s="698">
        <v>10285905.26</v>
      </c>
      <c r="T136" s="707">
        <f>T137+T138</f>
        <v>12436436.690000009</v>
      </c>
      <c r="U136" s="598">
        <f t="shared" si="100"/>
        <v>0.70275042135827193</v>
      </c>
      <c r="V136" s="598">
        <v>0.70275042135827193</v>
      </c>
      <c r="W136" s="591">
        <f t="shared" si="98"/>
        <v>0</v>
      </c>
      <c r="X136" s="662">
        <f t="shared" si="101"/>
        <v>0.70275042135827193</v>
      </c>
      <c r="Y136" s="707">
        <f>Y137+Y138</f>
        <v>12084238.12000001</v>
      </c>
      <c r="Z136" s="598">
        <f t="shared" si="102"/>
        <v>0.68284860384905743</v>
      </c>
      <c r="AA136" s="598">
        <v>0.68284860384905743</v>
      </c>
      <c r="AB136" s="591">
        <f t="shared" si="89"/>
        <v>0</v>
      </c>
      <c r="AC136" s="662">
        <f t="shared" si="103"/>
        <v>0.68284860384905743</v>
      </c>
      <c r="AD136" s="699">
        <f>AD137+AD138</f>
        <v>7474596.8599999994</v>
      </c>
      <c r="AE136" s="700">
        <f>AE137+AE138</f>
        <v>0</v>
      </c>
      <c r="AF136" s="700">
        <f>AF137+AF138</f>
        <v>0</v>
      </c>
      <c r="AG136" s="700">
        <f>AG137+AG138</f>
        <v>0</v>
      </c>
      <c r="AH136" s="701">
        <f>AH137+AH138</f>
        <v>0</v>
      </c>
      <c r="AI136" s="678">
        <f t="shared" si="91"/>
        <v>7474596.8599999994</v>
      </c>
      <c r="AJ136" s="332">
        <f t="shared" ref="AJ136:AJ139" si="108">AD136+AE136+AG136-AH136</f>
        <v>7474596.8599999994</v>
      </c>
      <c r="AK136" s="23">
        <f>AK137+AK138</f>
        <v>7474596.8599999994</v>
      </c>
      <c r="AL136" s="591">
        <f t="shared" si="104"/>
        <v>0.42236986556381628</v>
      </c>
      <c r="AM136" s="598">
        <v>0.42236986556381628</v>
      </c>
      <c r="AN136" s="591">
        <f t="shared" si="95"/>
        <v>0</v>
      </c>
      <c r="AO136" s="694">
        <f t="shared" si="105"/>
        <v>0.42236986556381628</v>
      </c>
      <c r="AP136" s="600"/>
      <c r="AQ136" s="601"/>
      <c r="AR136" s="601"/>
      <c r="AS136" s="601"/>
      <c r="AT136" s="434"/>
      <c r="AU136" s="601"/>
      <c r="AV136" s="601"/>
      <c r="AW136" s="602"/>
    </row>
    <row r="137" spans="1:49" ht="110.25">
      <c r="A137" s="654" t="s">
        <v>307</v>
      </c>
      <c r="B137" s="655" t="s">
        <v>1173</v>
      </c>
      <c r="C137" s="656" t="s">
        <v>1106</v>
      </c>
      <c r="D137" s="656" t="s">
        <v>1042</v>
      </c>
      <c r="E137" s="686">
        <v>17029733</v>
      </c>
      <c r="F137" s="586">
        <f t="shared" ref="F137:F139" si="109">E137*$E$2</f>
        <v>11968564.471332001</v>
      </c>
      <c r="G137" s="692">
        <v>17354489</v>
      </c>
      <c r="H137" s="22">
        <v>12196804.287156001</v>
      </c>
      <c r="I137" s="692"/>
      <c r="J137" s="22">
        <v>12196804.287156001</v>
      </c>
      <c r="K137" s="689" t="s">
        <v>1174</v>
      </c>
      <c r="L137" s="689"/>
      <c r="M137" s="689"/>
      <c r="N137" s="22">
        <v>0</v>
      </c>
      <c r="O137" s="22">
        <v>0</v>
      </c>
      <c r="P137" s="22"/>
      <c r="Q137" s="317">
        <f t="shared" si="60"/>
        <v>12196804.287156001</v>
      </c>
      <c r="R137" s="660">
        <f t="shared" si="99"/>
        <v>1</v>
      </c>
      <c r="S137" s="695">
        <v>5473238.1200000001</v>
      </c>
      <c r="T137" s="707">
        <v>6936436.6900000097</v>
      </c>
      <c r="U137" s="598">
        <f t="shared" si="100"/>
        <v>0.56870935424490765</v>
      </c>
      <c r="V137" s="661">
        <v>0.56870935424490765</v>
      </c>
      <c r="W137" s="591">
        <f t="shared" si="98"/>
        <v>0</v>
      </c>
      <c r="X137" s="662">
        <f t="shared" si="101"/>
        <v>0.56870935424490765</v>
      </c>
      <c r="Y137" s="715">
        <v>6584238.1200000104</v>
      </c>
      <c r="Z137" s="598">
        <f t="shared" si="102"/>
        <v>0.5398330550350493</v>
      </c>
      <c r="AA137" s="598">
        <v>0.5398330550350493</v>
      </c>
      <c r="AB137" s="591">
        <f t="shared" si="89"/>
        <v>0</v>
      </c>
      <c r="AC137" s="662">
        <f t="shared" si="103"/>
        <v>0.5398330550350493</v>
      </c>
      <c r="AD137" s="704">
        <v>5370413.2999999998</v>
      </c>
      <c r="AE137" s="692">
        <v>0</v>
      </c>
      <c r="AF137" s="692">
        <v>0</v>
      </c>
      <c r="AG137" s="692">
        <v>0</v>
      </c>
      <c r="AH137" s="693">
        <v>0</v>
      </c>
      <c r="AI137" s="678">
        <f t="shared" si="91"/>
        <v>5370413.2999999998</v>
      </c>
      <c r="AJ137" s="332">
        <f t="shared" si="108"/>
        <v>5370413.2999999998</v>
      </c>
      <c r="AK137" s="624">
        <f>SUM(AD137:AF137)</f>
        <v>5370413.2999999998</v>
      </c>
      <c r="AL137" s="591">
        <f t="shared" si="104"/>
        <v>0.44031314872006116</v>
      </c>
      <c r="AM137" s="598">
        <v>0.44031314872006116</v>
      </c>
      <c r="AN137" s="591">
        <f t="shared" si="95"/>
        <v>0</v>
      </c>
      <c r="AO137" s="694">
        <f t="shared" si="105"/>
        <v>0.44031314872006116</v>
      </c>
      <c r="AP137" s="600"/>
      <c r="AQ137" s="601"/>
      <c r="AR137" s="601"/>
      <c r="AS137" s="601"/>
      <c r="AT137" s="434"/>
      <c r="AU137" s="601"/>
      <c r="AV137" s="601"/>
      <c r="AW137" s="602"/>
    </row>
    <row r="138" spans="1:49" ht="115.5">
      <c r="A138" s="654" t="s">
        <v>1175</v>
      </c>
      <c r="B138" s="655" t="s">
        <v>1176</v>
      </c>
      <c r="C138" s="656" t="s">
        <v>1106</v>
      </c>
      <c r="D138" s="656" t="s">
        <v>1042</v>
      </c>
      <c r="E138" s="686">
        <v>7795789</v>
      </c>
      <c r="F138" s="586">
        <f t="shared" si="109"/>
        <v>5478911.6923559997</v>
      </c>
      <c r="G138" s="692">
        <v>7825795</v>
      </c>
      <c r="H138" s="22">
        <v>5500000.0291799996</v>
      </c>
      <c r="I138" s="692"/>
      <c r="J138" s="22">
        <v>5500000.0291799996</v>
      </c>
      <c r="K138" s="689" t="s">
        <v>1174</v>
      </c>
      <c r="L138" s="689"/>
      <c r="M138" s="689"/>
      <c r="N138" s="22">
        <v>0</v>
      </c>
      <c r="O138" s="22">
        <v>0</v>
      </c>
      <c r="P138" s="22"/>
      <c r="Q138" s="317">
        <f t="shared" ref="Q138:Q201" si="110">J138+O138</f>
        <v>5500000.0291799996</v>
      </c>
      <c r="R138" s="660">
        <f t="shared" si="99"/>
        <v>1</v>
      </c>
      <c r="S138" s="695">
        <v>4812667.1399999997</v>
      </c>
      <c r="T138" s="707">
        <v>5500000</v>
      </c>
      <c r="U138" s="598">
        <f t="shared" si="100"/>
        <v>0.99999999469454559</v>
      </c>
      <c r="V138" s="661">
        <v>0.99999999469454559</v>
      </c>
      <c r="W138" s="591">
        <f t="shared" si="98"/>
        <v>0</v>
      </c>
      <c r="X138" s="662">
        <f t="shared" si="101"/>
        <v>0.99999999469454559</v>
      </c>
      <c r="Y138" s="715">
        <v>5500000</v>
      </c>
      <c r="Z138" s="598">
        <f t="shared" si="102"/>
        <v>0.99999999469454559</v>
      </c>
      <c r="AA138" s="598">
        <v>0.99999999469454559</v>
      </c>
      <c r="AB138" s="591">
        <f t="shared" si="89"/>
        <v>0</v>
      </c>
      <c r="AC138" s="662">
        <f t="shared" si="103"/>
        <v>0.99999999469454559</v>
      </c>
      <c r="AD138" s="704">
        <v>2104183.56</v>
      </c>
      <c r="AE138" s="692">
        <v>0</v>
      </c>
      <c r="AF138" s="692">
        <v>0</v>
      </c>
      <c r="AG138" s="692">
        <v>0</v>
      </c>
      <c r="AH138" s="693">
        <v>0</v>
      </c>
      <c r="AI138" s="678">
        <f t="shared" si="91"/>
        <v>2104183.56</v>
      </c>
      <c r="AJ138" s="332">
        <f t="shared" si="108"/>
        <v>2104183.56</v>
      </c>
      <c r="AK138" s="624">
        <f>SUM(AD138:AF138)</f>
        <v>2104183.56</v>
      </c>
      <c r="AL138" s="591">
        <f t="shared" si="104"/>
        <v>0.38257882706115454</v>
      </c>
      <c r="AM138" s="598">
        <v>0.38257882706115454</v>
      </c>
      <c r="AN138" s="591">
        <f t="shared" si="95"/>
        <v>0</v>
      </c>
      <c r="AO138" s="694">
        <f t="shared" si="105"/>
        <v>0.38257882706115454</v>
      </c>
      <c r="AP138" s="600"/>
      <c r="AQ138" s="601"/>
      <c r="AR138" s="601"/>
      <c r="AS138" s="601"/>
      <c r="AT138" s="434"/>
      <c r="AU138" s="601"/>
      <c r="AV138" s="601"/>
      <c r="AW138" s="602"/>
    </row>
    <row r="139" spans="1:49" ht="99">
      <c r="A139" s="654" t="s">
        <v>73</v>
      </c>
      <c r="B139" s="655" t="s">
        <v>1177</v>
      </c>
      <c r="C139" s="656" t="s">
        <v>1106</v>
      </c>
      <c r="D139" s="656" t="s">
        <v>1042</v>
      </c>
      <c r="E139" s="686">
        <v>2439374</v>
      </c>
      <c r="F139" s="586">
        <f t="shared" si="109"/>
        <v>1714401.8046959999</v>
      </c>
      <c r="G139" s="692">
        <v>2439374</v>
      </c>
      <c r="H139" s="692">
        <f>G139*G2</f>
        <v>1714401.8046959999</v>
      </c>
      <c r="I139" s="692"/>
      <c r="J139" s="22">
        <v>1714402</v>
      </c>
      <c r="K139" s="588" t="s">
        <v>885</v>
      </c>
      <c r="L139" s="588"/>
      <c r="M139" s="588"/>
      <c r="N139" s="22">
        <v>0</v>
      </c>
      <c r="O139" s="22">
        <v>0</v>
      </c>
      <c r="P139" s="22"/>
      <c r="Q139" s="317">
        <f t="shared" si="110"/>
        <v>1714402</v>
      </c>
      <c r="R139" s="660">
        <f t="shared" si="99"/>
        <v>1</v>
      </c>
      <c r="S139" s="695">
        <v>1635685.88</v>
      </c>
      <c r="T139" s="707">
        <v>1714401.51</v>
      </c>
      <c r="U139" s="598">
        <f t="shared" si="100"/>
        <v>0.99999971418605438</v>
      </c>
      <c r="V139" s="661">
        <v>0.99999971418605438</v>
      </c>
      <c r="W139" s="591">
        <f t="shared" si="98"/>
        <v>0</v>
      </c>
      <c r="X139" s="662">
        <f t="shared" si="101"/>
        <v>0.99999971418605438</v>
      </c>
      <c r="Y139" s="715">
        <v>1714401.51</v>
      </c>
      <c r="Z139" s="598">
        <f t="shared" si="102"/>
        <v>0.99999971418605438</v>
      </c>
      <c r="AA139" s="598">
        <v>0.99999971418605438</v>
      </c>
      <c r="AB139" s="591">
        <f t="shared" si="89"/>
        <v>0</v>
      </c>
      <c r="AC139" s="662">
        <f t="shared" si="103"/>
        <v>0.99999971418605438</v>
      </c>
      <c r="AD139" s="704">
        <v>879920.31</v>
      </c>
      <c r="AE139" s="692">
        <v>0</v>
      </c>
      <c r="AF139" s="692">
        <v>0</v>
      </c>
      <c r="AG139" s="692">
        <v>0</v>
      </c>
      <c r="AH139" s="693">
        <v>0</v>
      </c>
      <c r="AI139" s="678">
        <f t="shared" si="91"/>
        <v>879920.31</v>
      </c>
      <c r="AJ139" s="332">
        <f t="shared" si="108"/>
        <v>879920.31</v>
      </c>
      <c r="AK139" s="624">
        <f>SUM(AD139:AF139)</f>
        <v>879920.31</v>
      </c>
      <c r="AL139" s="591">
        <f t="shared" si="104"/>
        <v>0.51325203190383584</v>
      </c>
      <c r="AM139" s="598">
        <v>0.51325203190383584</v>
      </c>
      <c r="AN139" s="591">
        <f t="shared" si="95"/>
        <v>0</v>
      </c>
      <c r="AO139" s="694">
        <f t="shared" si="105"/>
        <v>0.51325203190383584</v>
      </c>
      <c r="AP139" s="600"/>
      <c r="AQ139" s="601"/>
      <c r="AR139" s="601"/>
      <c r="AS139" s="601"/>
      <c r="AT139" s="434"/>
      <c r="AU139" s="601"/>
      <c r="AV139" s="601"/>
      <c r="AW139" s="602"/>
    </row>
    <row r="140" spans="1:49" s="59" customFormat="1" ht="82.5">
      <c r="A140" s="566" t="s">
        <v>74</v>
      </c>
      <c r="B140" s="567" t="s">
        <v>1178</v>
      </c>
      <c r="C140" s="568" t="s">
        <v>1106</v>
      </c>
      <c r="D140" s="568" t="s">
        <v>1042</v>
      </c>
      <c r="E140" s="684">
        <f>E141+E142+E145</f>
        <v>46632258</v>
      </c>
      <c r="F140" s="608">
        <f>F141+F142+F145</f>
        <v>32773337.451431997</v>
      </c>
      <c r="G140" s="571">
        <v>49360342</v>
      </c>
      <c r="H140" s="571">
        <f>H141+H142+H145</f>
        <v>34690645.798967995</v>
      </c>
      <c r="I140" s="571"/>
      <c r="J140" s="588">
        <f>J141+J142+J145</f>
        <v>34690645.987243995</v>
      </c>
      <c r="K140" s="711" t="s">
        <v>1171</v>
      </c>
      <c r="L140" s="711"/>
      <c r="M140" s="711"/>
      <c r="N140" s="588">
        <f>SUM(N141,N142)</f>
        <v>6000000</v>
      </c>
      <c r="O140" s="588">
        <f>SUM(O141,O142)</f>
        <v>3000000</v>
      </c>
      <c r="P140" s="588"/>
      <c r="Q140" s="294">
        <f t="shared" si="110"/>
        <v>37690645.987243995</v>
      </c>
      <c r="R140" s="491">
        <f>Q140/J140</f>
        <v>1.0864786432948847</v>
      </c>
      <c r="S140" s="611">
        <v>18830037.509999998</v>
      </c>
      <c r="T140" s="577">
        <f>T141+T142+T145</f>
        <v>25912347.569999997</v>
      </c>
      <c r="U140" s="574">
        <f t="shared" si="100"/>
        <v>0.74695488747970151</v>
      </c>
      <c r="V140" s="574">
        <v>0.74695488747970151</v>
      </c>
      <c r="W140" s="575">
        <f t="shared" si="98"/>
        <v>0</v>
      </c>
      <c r="X140" s="576">
        <f t="shared" si="101"/>
        <v>0.68750075492921403</v>
      </c>
      <c r="Y140" s="577">
        <f>Y141+Y142+Y145</f>
        <v>25912347.569999997</v>
      </c>
      <c r="Z140" s="574">
        <f t="shared" si="102"/>
        <v>0.74695488747970151</v>
      </c>
      <c r="AA140" s="714">
        <v>0.74695488747970151</v>
      </c>
      <c r="AB140" s="575">
        <f t="shared" si="89"/>
        <v>0</v>
      </c>
      <c r="AC140" s="576">
        <f t="shared" si="103"/>
        <v>0.68750075492921403</v>
      </c>
      <c r="AD140" s="578">
        <f>AD141+AD142+AD145</f>
        <v>13305173.350000001</v>
      </c>
      <c r="AE140" s="579">
        <f>AE141+AE142+AE145</f>
        <v>247647.46</v>
      </c>
      <c r="AF140" s="579">
        <f>AF141+AF142+AF145</f>
        <v>628170.03</v>
      </c>
      <c r="AG140" s="579">
        <f>AG141+AG142+AG145</f>
        <v>371890.99000000092</v>
      </c>
      <c r="AH140" s="580">
        <f>AH141+AH142+AH145</f>
        <v>53557.979999999996</v>
      </c>
      <c r="AI140" s="678">
        <f t="shared" si="91"/>
        <v>14127432.859999999</v>
      </c>
      <c r="AJ140" s="17">
        <f t="shared" si="107"/>
        <v>13924711.800000003</v>
      </c>
      <c r="AK140" s="17">
        <f>AK141+AK142+AK145</f>
        <v>14180990.84</v>
      </c>
      <c r="AL140" s="575">
        <f t="shared" si="104"/>
        <v>0.40878428280679624</v>
      </c>
      <c r="AM140" s="574">
        <v>0.40878428280679624</v>
      </c>
      <c r="AN140" s="575">
        <f t="shared" si="95"/>
        <v>0</v>
      </c>
      <c r="AO140" s="496">
        <f t="shared" si="105"/>
        <v>0.37624695646764472</v>
      </c>
      <c r="AP140" s="582"/>
      <c r="AQ140" s="583"/>
      <c r="AR140" s="583"/>
      <c r="AS140" s="583"/>
      <c r="AT140" s="571"/>
      <c r="AU140" s="583"/>
      <c r="AV140" s="583"/>
      <c r="AW140" s="584"/>
    </row>
    <row r="141" spans="1:49" ht="49.5">
      <c r="A141" s="654" t="s">
        <v>75</v>
      </c>
      <c r="B141" s="655" t="s">
        <v>1179</v>
      </c>
      <c r="C141" s="656" t="s">
        <v>1106</v>
      </c>
      <c r="D141" s="656" t="s">
        <v>1042</v>
      </c>
      <c r="E141" s="686">
        <v>24425307</v>
      </c>
      <c r="F141" s="586">
        <f t="shared" ref="F141" si="111">E141*$E$2</f>
        <v>17166203.460827999</v>
      </c>
      <c r="G141" s="692">
        <v>24444111</v>
      </c>
      <c r="H141" s="692">
        <v>17179418.987243999</v>
      </c>
      <c r="I141" s="692"/>
      <c r="J141" s="22">
        <v>17179418.987243999</v>
      </c>
      <c r="K141" s="588" t="s">
        <v>885</v>
      </c>
      <c r="L141" s="588"/>
      <c r="M141" s="588"/>
      <c r="N141" s="22">
        <v>0</v>
      </c>
      <c r="O141" s="22">
        <v>0</v>
      </c>
      <c r="P141" s="22"/>
      <c r="Q141" s="317">
        <f t="shared" si="110"/>
        <v>17179418.987243999</v>
      </c>
      <c r="R141" s="660">
        <f t="shared" ref="R141:R155" si="112">Q141/J141</f>
        <v>1</v>
      </c>
      <c r="S141" s="695">
        <v>12518092.199999999</v>
      </c>
      <c r="T141" s="707">
        <v>17179418</v>
      </c>
      <c r="U141" s="598">
        <f t="shared" si="100"/>
        <v>0.99999994253333013</v>
      </c>
      <c r="V141" s="661">
        <v>0.99999994253333013</v>
      </c>
      <c r="W141" s="591">
        <f t="shared" si="98"/>
        <v>0</v>
      </c>
      <c r="X141" s="662">
        <f t="shared" si="101"/>
        <v>0.99999994253333013</v>
      </c>
      <c r="Y141" s="715">
        <v>17179418</v>
      </c>
      <c r="Z141" s="598">
        <f t="shared" si="102"/>
        <v>0.99999994253333013</v>
      </c>
      <c r="AA141" s="661">
        <v>0.99999994253333013</v>
      </c>
      <c r="AB141" s="591">
        <f t="shared" si="89"/>
        <v>0</v>
      </c>
      <c r="AC141" s="662">
        <f t="shared" si="103"/>
        <v>0.99999994253333013</v>
      </c>
      <c r="AD141" s="704">
        <v>7900322.4199999999</v>
      </c>
      <c r="AE141" s="692">
        <v>0</v>
      </c>
      <c r="AF141" s="692">
        <v>0</v>
      </c>
      <c r="AG141" s="692">
        <v>0</v>
      </c>
      <c r="AH141" s="693">
        <v>0</v>
      </c>
      <c r="AI141" s="678">
        <f t="shared" si="91"/>
        <v>7900322.4199999999</v>
      </c>
      <c r="AJ141" s="332">
        <f t="shared" ref="AJ141:AJ144" si="113">AD141+AE141+AG141-AH141</f>
        <v>7900322.4199999999</v>
      </c>
      <c r="AK141" s="624">
        <f>SUM(AD141:AF141)</f>
        <v>7900322.4199999999</v>
      </c>
      <c r="AL141" s="591">
        <f t="shared" si="104"/>
        <v>0.45987133941294051</v>
      </c>
      <c r="AM141" s="598">
        <v>0.45987133941294051</v>
      </c>
      <c r="AN141" s="591">
        <f t="shared" si="95"/>
        <v>0</v>
      </c>
      <c r="AO141" s="694">
        <f t="shared" si="105"/>
        <v>0.45987133941294051</v>
      </c>
      <c r="AP141" s="600"/>
      <c r="AQ141" s="601"/>
      <c r="AR141" s="601"/>
      <c r="AS141" s="601"/>
      <c r="AT141" s="434"/>
      <c r="AU141" s="601"/>
      <c r="AV141" s="601"/>
      <c r="AW141" s="602"/>
    </row>
    <row r="142" spans="1:49" ht="126">
      <c r="A142" s="327" t="s">
        <v>313</v>
      </c>
      <c r="B142" s="655" t="s">
        <v>1180</v>
      </c>
      <c r="C142" s="656" t="s">
        <v>1106</v>
      </c>
      <c r="D142" s="656" t="s">
        <v>1042</v>
      </c>
      <c r="E142" s="712">
        <f>E143+E144</f>
        <v>17361518</v>
      </c>
      <c r="F142" s="594">
        <f>F143+F144</f>
        <v>12201744.296472</v>
      </c>
      <c r="G142" s="692">
        <v>20068096</v>
      </c>
      <c r="H142" s="692">
        <f>G142*G2</f>
        <v>14103938.141184</v>
      </c>
      <c r="I142" s="692"/>
      <c r="J142" s="22">
        <v>14103938</v>
      </c>
      <c r="K142" s="689" t="s">
        <v>1181</v>
      </c>
      <c r="L142" s="689"/>
      <c r="M142" s="689"/>
      <c r="N142" s="22">
        <f>N143+N144</f>
        <v>6000000</v>
      </c>
      <c r="O142" s="22">
        <f>O144</f>
        <v>3000000</v>
      </c>
      <c r="P142" s="22"/>
      <c r="Q142" s="317">
        <f t="shared" si="110"/>
        <v>17103938</v>
      </c>
      <c r="R142" s="660">
        <f t="shared" si="112"/>
        <v>1.2127065504683869</v>
      </c>
      <c r="S142" s="695">
        <v>5380218.5699999994</v>
      </c>
      <c r="T142" s="707">
        <f>T143+T144</f>
        <v>5495096.2599999998</v>
      </c>
      <c r="U142" s="598">
        <f t="shared" si="100"/>
        <v>0.38961432331877804</v>
      </c>
      <c r="V142" s="598">
        <v>0.38961432331877804</v>
      </c>
      <c r="W142" s="591">
        <f t="shared" si="98"/>
        <v>0</v>
      </c>
      <c r="X142" s="662">
        <f t="shared" si="101"/>
        <v>0.32127667090467704</v>
      </c>
      <c r="Y142" s="715">
        <f>Y143+Y144</f>
        <v>5495096.2599999998</v>
      </c>
      <c r="Z142" s="598">
        <f t="shared" si="102"/>
        <v>0.38961432331877804</v>
      </c>
      <c r="AA142" s="598">
        <v>0.38961432331877804</v>
      </c>
      <c r="AB142" s="591">
        <f t="shared" si="89"/>
        <v>0</v>
      </c>
      <c r="AC142" s="662">
        <f t="shared" si="103"/>
        <v>0.32127667090467704</v>
      </c>
      <c r="AD142" s="704">
        <f>AD143+AD144</f>
        <v>5132570.88</v>
      </c>
      <c r="AE142" s="692">
        <f>AE143+AE144</f>
        <v>247647.46</v>
      </c>
      <c r="AF142" s="692">
        <f>AF143+AF144</f>
        <v>0</v>
      </c>
      <c r="AG142" s="692">
        <f>AG143+AG144</f>
        <v>179879.50000000093</v>
      </c>
      <c r="AH142" s="693">
        <f>AH143+AH144</f>
        <v>53557.979999999996</v>
      </c>
      <c r="AI142" s="678">
        <f t="shared" si="91"/>
        <v>5326660.3599999994</v>
      </c>
      <c r="AJ142" s="332">
        <f t="shared" si="113"/>
        <v>5506539.8600000003</v>
      </c>
      <c r="AK142" s="624">
        <f>SUM(AD142:AF142)</f>
        <v>5380218.3399999999</v>
      </c>
      <c r="AL142" s="591">
        <f t="shared" si="104"/>
        <v>0.38146922795605026</v>
      </c>
      <c r="AM142" s="598">
        <v>0.38146922795605026</v>
      </c>
      <c r="AN142" s="591">
        <f t="shared" si="95"/>
        <v>0</v>
      </c>
      <c r="AO142" s="694">
        <f t="shared" si="105"/>
        <v>0.31456021063687206</v>
      </c>
      <c r="AP142" s="600"/>
      <c r="AQ142" s="601"/>
      <c r="AR142" s="601"/>
      <c r="AS142" s="601"/>
      <c r="AT142" s="434"/>
      <c r="AU142" s="601"/>
      <c r="AV142" s="601"/>
      <c r="AW142" s="602"/>
    </row>
    <row r="143" spans="1:49" ht="201" customHeight="1" outlineLevel="1">
      <c r="A143" s="654" t="s">
        <v>732</v>
      </c>
      <c r="B143" s="655" t="s">
        <v>1182</v>
      </c>
      <c r="C143" s="656"/>
      <c r="D143" s="656" t="s">
        <v>1042</v>
      </c>
      <c r="E143" s="686">
        <v>7948473</v>
      </c>
      <c r="F143" s="586">
        <f t="shared" ref="F143:F145" si="114">E143*$E$2</f>
        <v>5586218.6182920001</v>
      </c>
      <c r="G143" s="692">
        <v>10655051</v>
      </c>
      <c r="H143" s="692">
        <f>G143*G2</f>
        <v>7488412.4630039996</v>
      </c>
      <c r="I143" s="692"/>
      <c r="J143" s="22">
        <v>7488412</v>
      </c>
      <c r="K143" s="689" t="s">
        <v>1183</v>
      </c>
      <c r="L143" s="689"/>
      <c r="M143" s="689"/>
      <c r="N143" s="22">
        <v>0</v>
      </c>
      <c r="O143" s="22">
        <v>0</v>
      </c>
      <c r="P143" s="22"/>
      <c r="Q143" s="317">
        <v>0</v>
      </c>
      <c r="R143" s="660">
        <f t="shared" si="112"/>
        <v>0</v>
      </c>
      <c r="S143" s="695">
        <v>0</v>
      </c>
      <c r="T143" s="707">
        <v>5495096.2599999998</v>
      </c>
      <c r="U143" s="598">
        <f t="shared" si="100"/>
        <v>0.73381329179003507</v>
      </c>
      <c r="V143" s="598">
        <v>0.73381329179003507</v>
      </c>
      <c r="W143" s="591">
        <v>0</v>
      </c>
      <c r="X143" s="662">
        <v>0</v>
      </c>
      <c r="Y143" s="715">
        <v>5495096.2599999998</v>
      </c>
      <c r="Z143" s="598">
        <f t="shared" si="102"/>
        <v>0.73381329179003507</v>
      </c>
      <c r="AA143" s="598">
        <v>0.73381329179003507</v>
      </c>
      <c r="AB143" s="591">
        <v>0</v>
      </c>
      <c r="AC143" s="662">
        <v>0</v>
      </c>
      <c r="AD143" s="704">
        <v>5132570.88</v>
      </c>
      <c r="AE143" s="692">
        <v>247647.46</v>
      </c>
      <c r="AF143" s="692">
        <v>0</v>
      </c>
      <c r="AG143" s="692">
        <v>179879.50000000093</v>
      </c>
      <c r="AH143" s="693">
        <v>53557.979999999996</v>
      </c>
      <c r="AI143" s="678">
        <f t="shared" si="91"/>
        <v>-53557.979999999996</v>
      </c>
      <c r="AJ143" s="332">
        <v>0</v>
      </c>
      <c r="AK143" s="624">
        <v>0</v>
      </c>
      <c r="AL143" s="591">
        <f t="shared" si="104"/>
        <v>0</v>
      </c>
      <c r="AM143" s="598">
        <v>0</v>
      </c>
      <c r="AN143" s="591">
        <v>0</v>
      </c>
      <c r="AO143" s="694">
        <v>0</v>
      </c>
      <c r="AP143" s="600"/>
      <c r="AQ143" s="601"/>
      <c r="AR143" s="601"/>
      <c r="AS143" s="601"/>
      <c r="AT143" s="434"/>
      <c r="AU143" s="601"/>
      <c r="AV143" s="601"/>
      <c r="AW143" s="602"/>
    </row>
    <row r="144" spans="1:49" ht="115.5" outlineLevel="1">
      <c r="A144" s="327" t="s">
        <v>1184</v>
      </c>
      <c r="B144" s="655" t="s">
        <v>1185</v>
      </c>
      <c r="C144" s="656" t="s">
        <v>1106</v>
      </c>
      <c r="D144" s="656" t="s">
        <v>1042</v>
      </c>
      <c r="E144" s="686">
        <v>9413045</v>
      </c>
      <c r="F144" s="586">
        <f t="shared" si="114"/>
        <v>6615525.6781799998</v>
      </c>
      <c r="G144" s="692">
        <v>9413045</v>
      </c>
      <c r="H144" s="692">
        <f>G144*G2</f>
        <v>6615525.6781799998</v>
      </c>
      <c r="I144" s="692"/>
      <c r="J144" s="22">
        <v>6615526</v>
      </c>
      <c r="K144" s="689" t="s">
        <v>1186</v>
      </c>
      <c r="L144" s="689"/>
      <c r="M144" s="689"/>
      <c r="N144" s="22">
        <v>6000000</v>
      </c>
      <c r="O144" s="22">
        <f>N144*0.5</f>
        <v>3000000</v>
      </c>
      <c r="P144" s="22"/>
      <c r="Q144" s="317">
        <f t="shared" si="110"/>
        <v>9615526</v>
      </c>
      <c r="R144" s="660">
        <f t="shared" si="112"/>
        <v>1.4534786803044837</v>
      </c>
      <c r="S144" s="590">
        <v>0</v>
      </c>
      <c r="T144" s="707">
        <v>0</v>
      </c>
      <c r="U144" s="598">
        <v>0</v>
      </c>
      <c r="V144" s="661">
        <v>0</v>
      </c>
      <c r="W144" s="591">
        <v>0</v>
      </c>
      <c r="X144" s="662">
        <f t="shared" ref="X144:X157" si="115">T144/Q144</f>
        <v>0</v>
      </c>
      <c r="Y144" s="715">
        <v>0</v>
      </c>
      <c r="Z144" s="598">
        <f t="shared" si="102"/>
        <v>0</v>
      </c>
      <c r="AA144" s="661">
        <v>0</v>
      </c>
      <c r="AB144" s="591">
        <v>0</v>
      </c>
      <c r="AC144" s="662">
        <f t="shared" ref="AC144:AC157" si="116">Y144/Q144</f>
        <v>0</v>
      </c>
      <c r="AD144" s="704">
        <v>0</v>
      </c>
      <c r="AE144" s="692">
        <v>0</v>
      </c>
      <c r="AF144" s="692">
        <v>0</v>
      </c>
      <c r="AG144" s="692">
        <v>0</v>
      </c>
      <c r="AH144" s="693">
        <v>0</v>
      </c>
      <c r="AI144" s="678">
        <f t="shared" si="91"/>
        <v>0</v>
      </c>
      <c r="AJ144" s="332">
        <f t="shared" si="113"/>
        <v>0</v>
      </c>
      <c r="AK144" s="624">
        <f>SUM(AD144:AF144)</f>
        <v>0</v>
      </c>
      <c r="AL144" s="591">
        <v>0</v>
      </c>
      <c r="AM144" s="598">
        <v>0</v>
      </c>
      <c r="AN144" s="591">
        <v>0</v>
      </c>
      <c r="AO144" s="694">
        <f t="shared" ref="AO144:AO157" si="117">AK144/Q144</f>
        <v>0</v>
      </c>
      <c r="AP144" s="600"/>
      <c r="AQ144" s="601"/>
      <c r="AR144" s="601"/>
      <c r="AS144" s="601"/>
      <c r="AT144" s="434"/>
      <c r="AU144" s="601"/>
      <c r="AV144" s="601"/>
      <c r="AW144" s="602"/>
    </row>
    <row r="145" spans="1:55" ht="141.75" outlineLevel="1">
      <c r="A145" s="654" t="s">
        <v>76</v>
      </c>
      <c r="B145" s="655" t="s">
        <v>1187</v>
      </c>
      <c r="C145" s="656" t="s">
        <v>1106</v>
      </c>
      <c r="D145" s="656" t="s">
        <v>1042</v>
      </c>
      <c r="E145" s="686">
        <v>4845433</v>
      </c>
      <c r="F145" s="586">
        <f t="shared" si="114"/>
        <v>3405389.6941319997</v>
      </c>
      <c r="G145" s="692">
        <v>4848135</v>
      </c>
      <c r="H145" s="692">
        <f>G145*G2</f>
        <v>3407288.6705399998</v>
      </c>
      <c r="I145" s="692"/>
      <c r="J145" s="22">
        <v>3407289</v>
      </c>
      <c r="K145" s="689" t="s">
        <v>1188</v>
      </c>
      <c r="L145" s="689"/>
      <c r="M145" s="689"/>
      <c r="N145" s="22">
        <v>0</v>
      </c>
      <c r="O145" s="22">
        <v>0</v>
      </c>
      <c r="P145" s="22"/>
      <c r="Q145" s="317">
        <f t="shared" si="110"/>
        <v>3407289</v>
      </c>
      <c r="R145" s="660">
        <f t="shared" si="112"/>
        <v>1</v>
      </c>
      <c r="S145" s="695">
        <v>931726.74</v>
      </c>
      <c r="T145" s="707">
        <v>3237833.31</v>
      </c>
      <c r="U145" s="598">
        <f>T145/J145</f>
        <v>0.9502667105725402</v>
      </c>
      <c r="V145" s="661">
        <v>0.9502667105725402</v>
      </c>
      <c r="W145" s="591">
        <f t="shared" ref="W145:W208" si="118">U145-V145</f>
        <v>0</v>
      </c>
      <c r="X145" s="662">
        <f t="shared" si="115"/>
        <v>0.9502667105725402</v>
      </c>
      <c r="Y145" s="715">
        <v>3237833.31</v>
      </c>
      <c r="Z145" s="598">
        <f t="shared" si="102"/>
        <v>0.9502667105725402</v>
      </c>
      <c r="AA145" s="661">
        <v>0.9502667105725402</v>
      </c>
      <c r="AB145" s="591">
        <f t="shared" ref="AB145:AB169" si="119">Z145-AA145</f>
        <v>0</v>
      </c>
      <c r="AC145" s="662">
        <f t="shared" si="116"/>
        <v>0.9502667105725402</v>
      </c>
      <c r="AD145" s="704">
        <v>272280.05</v>
      </c>
      <c r="AE145" s="692">
        <v>0</v>
      </c>
      <c r="AF145" s="692">
        <v>628170.03</v>
      </c>
      <c r="AG145" s="692">
        <v>192011.49</v>
      </c>
      <c r="AH145" s="693">
        <v>0</v>
      </c>
      <c r="AI145" s="678">
        <f t="shared" si="91"/>
        <v>900450.08000000007</v>
      </c>
      <c r="AJ145" s="332">
        <f>AD145+AE145+AG145-AH145</f>
        <v>464291.54</v>
      </c>
      <c r="AK145" s="624">
        <f>SUM(AD145:AF145)</f>
        <v>900450.08000000007</v>
      </c>
      <c r="AL145" s="591">
        <f t="shared" ref="AL145:AL157" si="120">AK145/J145</f>
        <v>0.26427170692007634</v>
      </c>
      <c r="AM145" s="591">
        <v>0.26427170692007634</v>
      </c>
      <c r="AN145" s="591">
        <f>AL145-AM145</f>
        <v>0</v>
      </c>
      <c r="AO145" s="694">
        <f t="shared" si="117"/>
        <v>0.26427170692007634</v>
      </c>
      <c r="AP145" s="600"/>
      <c r="AQ145" s="601"/>
      <c r="AR145" s="601"/>
      <c r="AS145" s="601"/>
      <c r="AT145" s="434"/>
      <c r="AU145" s="601"/>
      <c r="AV145" s="601"/>
      <c r="AW145" s="602"/>
    </row>
    <row r="146" spans="1:55" s="59" customFormat="1" ht="94.5">
      <c r="A146" s="566" t="s">
        <v>1189</v>
      </c>
      <c r="B146" s="567" t="s">
        <v>1190</v>
      </c>
      <c r="C146" s="568" t="s">
        <v>1106</v>
      </c>
      <c r="D146" s="568" t="s">
        <v>813</v>
      </c>
      <c r="E146" s="684">
        <f>E147</f>
        <v>22985056</v>
      </c>
      <c r="F146" s="608">
        <f>F147</f>
        <v>16153989.297024</v>
      </c>
      <c r="G146" s="571">
        <v>22985056</v>
      </c>
      <c r="H146" s="571">
        <f>H147</f>
        <v>16153989.297024</v>
      </c>
      <c r="I146" s="571">
        <f>J146/I2</f>
        <v>22985056</v>
      </c>
      <c r="J146" s="588">
        <f>J147</f>
        <v>16153989.297024</v>
      </c>
      <c r="K146" s="689" t="s">
        <v>1191</v>
      </c>
      <c r="L146" s="689"/>
      <c r="M146" s="689"/>
      <c r="N146" s="17">
        <f>N147</f>
        <v>0</v>
      </c>
      <c r="O146" s="17">
        <f>O147</f>
        <v>0</v>
      </c>
      <c r="P146" s="17"/>
      <c r="Q146" s="294">
        <f t="shared" si="110"/>
        <v>16153989.297024</v>
      </c>
      <c r="R146" s="491">
        <f t="shared" si="112"/>
        <v>1</v>
      </c>
      <c r="S146" s="611">
        <v>11451887.8488</v>
      </c>
      <c r="T146" s="577">
        <f>T147</f>
        <v>16067534.68</v>
      </c>
      <c r="U146" s="574">
        <f t="shared" ref="U146:U209" si="121">T146/J146</f>
        <v>0.99464809494210027</v>
      </c>
      <c r="V146" s="574">
        <v>0.99046770341414248</v>
      </c>
      <c r="W146" s="575">
        <f t="shared" si="118"/>
        <v>4.1803915279577941E-3</v>
      </c>
      <c r="X146" s="576">
        <f t="shared" si="115"/>
        <v>0.99464809494210027</v>
      </c>
      <c r="Y146" s="577">
        <f>Y147</f>
        <v>16067534.68</v>
      </c>
      <c r="Z146" s="574">
        <f t="shared" si="102"/>
        <v>0.99464809494210027</v>
      </c>
      <c r="AA146" s="714">
        <v>0.99046770341414248</v>
      </c>
      <c r="AB146" s="575">
        <f t="shared" si="119"/>
        <v>4.1803915279577941E-3</v>
      </c>
      <c r="AC146" s="576">
        <f t="shared" si="116"/>
        <v>0.99464809494210027</v>
      </c>
      <c r="AD146" s="578">
        <f t="shared" ref="AD146:AH147" si="122">AD147</f>
        <v>9832161.1699999999</v>
      </c>
      <c r="AE146" s="579">
        <f t="shared" si="122"/>
        <v>0</v>
      </c>
      <c r="AF146" s="579">
        <f t="shared" si="122"/>
        <v>0</v>
      </c>
      <c r="AG146" s="579">
        <f t="shared" si="122"/>
        <v>0</v>
      </c>
      <c r="AH146" s="580">
        <f t="shared" si="122"/>
        <v>3714.66</v>
      </c>
      <c r="AI146" s="678">
        <f t="shared" si="91"/>
        <v>9828446.5099999998</v>
      </c>
      <c r="AJ146" s="17">
        <f t="shared" ref="AJ146:AJ175" si="123">AD146+AE146+AG146</f>
        <v>9832161.1699999999</v>
      </c>
      <c r="AK146" s="17">
        <f>AK147</f>
        <v>9832161.1699999999</v>
      </c>
      <c r="AL146" s="575">
        <f t="shared" si="120"/>
        <v>0.60865220282220622</v>
      </c>
      <c r="AM146" s="574">
        <v>0.5977302864611187</v>
      </c>
      <c r="AN146" s="575">
        <f t="shared" ref="AN146:AN197" si="124">AL146-AM146</f>
        <v>1.0921916361087525E-2</v>
      </c>
      <c r="AO146" s="522">
        <f t="shared" si="117"/>
        <v>0.60865220282220622</v>
      </c>
      <c r="AP146" s="582">
        <f>AP147</f>
        <v>3379215.38</v>
      </c>
      <c r="AQ146" s="583">
        <f t="shared" ref="AQ146:AQ151" si="125">AP146/J146</f>
        <v>0.20918766986075335</v>
      </c>
      <c r="AR146" s="583">
        <v>0.20918766986075335</v>
      </c>
      <c r="AS146" s="583">
        <f t="shared" ref="AS146:AS148" si="126">AQ146-AR146</f>
        <v>0</v>
      </c>
      <c r="AT146" s="571">
        <f>AT147</f>
        <v>0</v>
      </c>
      <c r="AU146" s="583">
        <f t="shared" ref="AU146:AU151" si="127">AT146/J146</f>
        <v>0</v>
      </c>
      <c r="AV146" s="583">
        <v>0</v>
      </c>
      <c r="AW146" s="584">
        <f t="shared" ref="AW146:AW151" si="128">AU146-AV146</f>
        <v>0</v>
      </c>
    </row>
    <row r="147" spans="1:55" s="59" customFormat="1" ht="132" outlineLevel="1">
      <c r="A147" s="566" t="s">
        <v>1192</v>
      </c>
      <c r="B147" s="567" t="s">
        <v>1193</v>
      </c>
      <c r="C147" s="568" t="s">
        <v>1106</v>
      </c>
      <c r="D147" s="568" t="s">
        <v>813</v>
      </c>
      <c r="E147" s="684">
        <f>E148</f>
        <v>22985056</v>
      </c>
      <c r="F147" s="608">
        <f>F148</f>
        <v>16153989.297024</v>
      </c>
      <c r="G147" s="571">
        <v>22985056</v>
      </c>
      <c r="H147" s="571">
        <f>H148</f>
        <v>16153989.297024</v>
      </c>
      <c r="I147" s="571"/>
      <c r="J147" s="588">
        <f>J148</f>
        <v>16153989.297024</v>
      </c>
      <c r="K147" s="689" t="s">
        <v>1191</v>
      </c>
      <c r="L147" s="689"/>
      <c r="M147" s="689"/>
      <c r="N147" s="588">
        <f>N148</f>
        <v>0</v>
      </c>
      <c r="O147" s="588">
        <f>O148</f>
        <v>0</v>
      </c>
      <c r="P147" s="588"/>
      <c r="Q147" s="294">
        <f t="shared" si="110"/>
        <v>16153989.297024</v>
      </c>
      <c r="R147" s="491">
        <f t="shared" si="112"/>
        <v>1</v>
      </c>
      <c r="S147" s="611">
        <v>11451887.8488</v>
      </c>
      <c r="T147" s="577">
        <f>T148</f>
        <v>16067534.68</v>
      </c>
      <c r="U147" s="574">
        <f t="shared" si="121"/>
        <v>0.99464809494210027</v>
      </c>
      <c r="V147" s="574">
        <v>0.99046770341414248</v>
      </c>
      <c r="W147" s="575">
        <f t="shared" si="118"/>
        <v>4.1803915279577941E-3</v>
      </c>
      <c r="X147" s="576">
        <f t="shared" si="115"/>
        <v>0.99464809494210027</v>
      </c>
      <c r="Y147" s="577">
        <f>Y148</f>
        <v>16067534.68</v>
      </c>
      <c r="Z147" s="574">
        <f t="shared" si="102"/>
        <v>0.99464809494210027</v>
      </c>
      <c r="AA147" s="661">
        <v>0.99046770341414248</v>
      </c>
      <c r="AB147" s="575">
        <f t="shared" si="119"/>
        <v>4.1803915279577941E-3</v>
      </c>
      <c r="AC147" s="576">
        <f t="shared" si="116"/>
        <v>0.99464809494210027</v>
      </c>
      <c r="AD147" s="578">
        <f t="shared" si="122"/>
        <v>9832161.1699999999</v>
      </c>
      <c r="AE147" s="579">
        <f t="shared" si="122"/>
        <v>0</v>
      </c>
      <c r="AF147" s="579">
        <f t="shared" si="122"/>
        <v>0</v>
      </c>
      <c r="AG147" s="579">
        <f t="shared" si="122"/>
        <v>0</v>
      </c>
      <c r="AH147" s="580">
        <f t="shared" si="122"/>
        <v>3714.66</v>
      </c>
      <c r="AI147" s="678">
        <f t="shared" si="91"/>
        <v>9828446.5099999998</v>
      </c>
      <c r="AJ147" s="500">
        <f t="shared" si="123"/>
        <v>9832161.1699999999</v>
      </c>
      <c r="AK147" s="17">
        <f>AK148</f>
        <v>9832161.1699999999</v>
      </c>
      <c r="AL147" s="575">
        <f t="shared" si="120"/>
        <v>0.60865220282220622</v>
      </c>
      <c r="AM147" s="574">
        <v>0.5977302864611187</v>
      </c>
      <c r="AN147" s="575">
        <f t="shared" si="124"/>
        <v>1.0921916361087525E-2</v>
      </c>
      <c r="AO147" s="522">
        <f t="shared" si="117"/>
        <v>0.60865220282220622</v>
      </c>
      <c r="AP147" s="582">
        <f>AP148</f>
        <v>3379215.38</v>
      </c>
      <c r="AQ147" s="583">
        <f t="shared" si="125"/>
        <v>0.20918766986075335</v>
      </c>
      <c r="AR147" s="583">
        <v>0.20918766986075335</v>
      </c>
      <c r="AS147" s="583">
        <f t="shared" si="126"/>
        <v>0</v>
      </c>
      <c r="AT147" s="571">
        <f>AT148</f>
        <v>0</v>
      </c>
      <c r="AU147" s="583">
        <f t="shared" si="127"/>
        <v>0</v>
      </c>
      <c r="AV147" s="583">
        <v>0</v>
      </c>
      <c r="AW147" s="584">
        <f t="shared" si="128"/>
        <v>0</v>
      </c>
    </row>
    <row r="148" spans="1:55" ht="141.75" outlineLevel="1">
      <c r="A148" s="654" t="s">
        <v>1194</v>
      </c>
      <c r="B148" s="655" t="s">
        <v>1195</v>
      </c>
      <c r="C148" s="656" t="s">
        <v>1106</v>
      </c>
      <c r="D148" s="656" t="s">
        <v>813</v>
      </c>
      <c r="E148" s="686">
        <v>22985056</v>
      </c>
      <c r="F148" s="586">
        <f t="shared" ref="F148" si="129">E148*$E$2</f>
        <v>16153989.297024</v>
      </c>
      <c r="G148" s="571">
        <v>22985056</v>
      </c>
      <c r="H148" s="692">
        <v>16153989.297024</v>
      </c>
      <c r="I148" s="692"/>
      <c r="J148" s="22">
        <v>16153989.297024</v>
      </c>
      <c r="K148" s="689" t="s">
        <v>1196</v>
      </c>
      <c r="L148" s="689"/>
      <c r="M148" s="689"/>
      <c r="N148" s="22">
        <v>0</v>
      </c>
      <c r="O148" s="22">
        <v>0</v>
      </c>
      <c r="P148" s="22"/>
      <c r="Q148" s="317">
        <f t="shared" si="110"/>
        <v>16153989.297024</v>
      </c>
      <c r="R148" s="660">
        <f t="shared" si="112"/>
        <v>1</v>
      </c>
      <c r="S148" s="590">
        <v>11451887.8488</v>
      </c>
      <c r="T148" s="658">
        <v>16067534.68</v>
      </c>
      <c r="U148" s="591">
        <f t="shared" si="121"/>
        <v>0.99464809494210027</v>
      </c>
      <c r="V148" s="592">
        <v>0.99046770341414248</v>
      </c>
      <c r="W148" s="591">
        <f t="shared" si="118"/>
        <v>4.1803915279577941E-3</v>
      </c>
      <c r="X148" s="593">
        <f t="shared" si="115"/>
        <v>0.99464809494210027</v>
      </c>
      <c r="Y148" s="594">
        <v>16067534.68</v>
      </c>
      <c r="Z148" s="591">
        <f t="shared" si="102"/>
        <v>0.99464809494210027</v>
      </c>
      <c r="AA148" s="591">
        <v>0.99046770341414248</v>
      </c>
      <c r="AB148" s="591">
        <f t="shared" si="119"/>
        <v>4.1803915279577941E-3</v>
      </c>
      <c r="AC148" s="593">
        <f t="shared" si="116"/>
        <v>0.99464809494210027</v>
      </c>
      <c r="AD148" s="625">
        <v>9832161.1699999999</v>
      </c>
      <c r="AE148" s="22">
        <v>0</v>
      </c>
      <c r="AF148" s="22">
        <v>0</v>
      </c>
      <c r="AG148" s="22">
        <v>0</v>
      </c>
      <c r="AH148" s="606">
        <v>3714.66</v>
      </c>
      <c r="AI148" s="678">
        <f t="shared" si="91"/>
        <v>9828446.5099999998</v>
      </c>
      <c r="AJ148" s="332">
        <f>AD148+AE148+AG148-AH148</f>
        <v>9828446.5099999998</v>
      </c>
      <c r="AK148" s="624">
        <f>SUM(AD148:AF148)</f>
        <v>9832161.1699999999</v>
      </c>
      <c r="AL148" s="591">
        <f t="shared" si="120"/>
        <v>0.60865220282220622</v>
      </c>
      <c r="AM148" s="598">
        <v>0.5977302864611187</v>
      </c>
      <c r="AN148" s="591">
        <f t="shared" si="124"/>
        <v>1.0921916361087525E-2</v>
      </c>
      <c r="AO148" s="599">
        <f t="shared" si="117"/>
        <v>0.60865220282220622</v>
      </c>
      <c r="AP148" s="667">
        <v>3379215.38</v>
      </c>
      <c r="AQ148" s="601">
        <f t="shared" si="125"/>
        <v>0.20918766986075335</v>
      </c>
      <c r="AR148" s="601">
        <v>0.20918766986075335</v>
      </c>
      <c r="AS148" s="601">
        <f t="shared" si="126"/>
        <v>0</v>
      </c>
      <c r="AT148" s="434">
        <v>0</v>
      </c>
      <c r="AU148" s="601">
        <f t="shared" si="127"/>
        <v>0</v>
      </c>
      <c r="AV148" s="601">
        <v>0</v>
      </c>
      <c r="AW148" s="602">
        <f t="shared" si="128"/>
        <v>0</v>
      </c>
    </row>
    <row r="149" spans="1:55" s="59" customFormat="1" ht="92.25">
      <c r="A149" s="34" t="s">
        <v>1197</v>
      </c>
      <c r="B149" s="35" t="s">
        <v>1198</v>
      </c>
      <c r="C149" s="36" t="s">
        <v>1199</v>
      </c>
      <c r="D149" s="36" t="s">
        <v>1</v>
      </c>
      <c r="E149" s="677"/>
      <c r="F149" s="716">
        <f>F152+F183+F201+F211+F232+F248+F255+F258</f>
        <v>2284859576.7415323</v>
      </c>
      <c r="G149" s="670"/>
      <c r="H149" s="670">
        <f>H152+H183+H201+H211+H232+H248+H255+H258</f>
        <v>2284859576.7415323</v>
      </c>
      <c r="I149" s="670"/>
      <c r="J149" s="670">
        <f>J152+J183+J201+J211+J232+J248+J255+J258</f>
        <v>2284859576.7415323</v>
      </c>
      <c r="K149" s="717" t="s">
        <v>885</v>
      </c>
      <c r="L149" s="717"/>
      <c r="M149" s="717"/>
      <c r="N149" s="670">
        <f>N152+N183+N201+N211+N232+N248+N255+N258</f>
        <v>184834626</v>
      </c>
      <c r="O149" s="670">
        <f>O152+O183+O201+O211+O232+O248+O255+O258</f>
        <v>173676262.44999999</v>
      </c>
      <c r="P149" s="670"/>
      <c r="Q149" s="672">
        <f t="shared" si="110"/>
        <v>2458535839.1915321</v>
      </c>
      <c r="R149" s="71">
        <f t="shared" si="112"/>
        <v>1.0760117883032803</v>
      </c>
      <c r="S149" s="718">
        <v>1728814616.8664</v>
      </c>
      <c r="T149" s="718">
        <f>T152+T183+T201+T211+T232+T248+T255+T258</f>
        <v>2310136044.71</v>
      </c>
      <c r="U149" s="674">
        <f t="shared" si="121"/>
        <v>1.0110625914282727</v>
      </c>
      <c r="V149" s="719">
        <v>0.98528143416170366</v>
      </c>
      <c r="W149" s="575">
        <f t="shared" si="118"/>
        <v>2.5781157266569044E-2</v>
      </c>
      <c r="X149" s="555">
        <f t="shared" si="115"/>
        <v>0.93963895416292487</v>
      </c>
      <c r="Y149" s="678">
        <f>Y152+Y183+Y201+Y211+Y232+Y248+Y255+Y258</f>
        <v>2185315261.9000001</v>
      </c>
      <c r="Z149" s="674">
        <f t="shared" si="102"/>
        <v>0.95643307104960307</v>
      </c>
      <c r="AA149" s="674">
        <v>0.94625592319040652</v>
      </c>
      <c r="AB149" s="575">
        <f t="shared" si="119"/>
        <v>1.0177147859196545E-2</v>
      </c>
      <c r="AC149" s="555">
        <f t="shared" si="116"/>
        <v>0.88886858066654084</v>
      </c>
      <c r="AD149" s="676">
        <f>AD152+AD183+AD201+AD211+AD232+AD248+AD255+AD258</f>
        <v>1039782264.7300001</v>
      </c>
      <c r="AE149" s="672">
        <f>AE152+AE183+AE201+AE211+AE232+AE248+AE255+AE258</f>
        <v>10124694.9</v>
      </c>
      <c r="AF149" s="672">
        <f>AF152+AF183+AF201+AF211+AF232+AF248+AF255+AF258</f>
        <v>508842892.54999995</v>
      </c>
      <c r="AG149" s="672">
        <f>AG152+AG183+AG201+AG211+AG232+AG248+AG255+AG258</f>
        <v>281136597.13</v>
      </c>
      <c r="AH149" s="677">
        <f>AH152+AH183+AH201+AH211+AH232+AH248+AH255+AH258</f>
        <v>38844255.700000003</v>
      </c>
      <c r="AI149" s="678">
        <f t="shared" si="91"/>
        <v>1497630760.4799998</v>
      </c>
      <c r="AJ149" s="672">
        <f t="shared" si="123"/>
        <v>1331043556.7600002</v>
      </c>
      <c r="AK149" s="672">
        <f>AK152+AK183+AK201+AK211+AK232+AK248+AK255+AK258</f>
        <v>1536475016.1799998</v>
      </c>
      <c r="AL149" s="674">
        <f t="shared" si="120"/>
        <v>0.67245927575609987</v>
      </c>
      <c r="AM149" s="679">
        <v>0.6419553141212252</v>
      </c>
      <c r="AN149" s="575">
        <f t="shared" si="124"/>
        <v>3.0503961634874677E-2</v>
      </c>
      <c r="AO149" s="555">
        <f t="shared" si="117"/>
        <v>0.6249553053842225</v>
      </c>
      <c r="AP149" s="562">
        <f>AP150+AP151</f>
        <v>524599829.89473534</v>
      </c>
      <c r="AQ149" s="563">
        <f t="shared" si="125"/>
        <v>0.22959828045226041</v>
      </c>
      <c r="AR149" s="563">
        <v>0.22959828045226041</v>
      </c>
      <c r="AS149" s="563">
        <f>AQ149-AR149</f>
        <v>0</v>
      </c>
      <c r="AT149" s="720">
        <f>AT150+AT151</f>
        <v>740346303.97342801</v>
      </c>
      <c r="AU149" s="563">
        <f t="shared" si="127"/>
        <v>0.32402267146292002</v>
      </c>
      <c r="AV149" s="563">
        <v>0.32402267146292002</v>
      </c>
      <c r="AW149" s="565">
        <f t="shared" si="128"/>
        <v>0</v>
      </c>
      <c r="AY149" s="721"/>
    </row>
    <row r="150" spans="1:55" s="59" customFormat="1" ht="34.5">
      <c r="A150" s="722" t="s">
        <v>1197</v>
      </c>
      <c r="B150" s="723" t="s">
        <v>1200</v>
      </c>
      <c r="C150" s="724" t="s">
        <v>1106</v>
      </c>
      <c r="D150" s="724" t="s">
        <v>1</v>
      </c>
      <c r="E150" s="725"/>
      <c r="F150" s="726">
        <f>F152+F183+F211+F248+F255</f>
        <v>1202698456.1869199</v>
      </c>
      <c r="G150" s="727"/>
      <c r="H150" s="727">
        <f>H152+H183+H211+H248+H255</f>
        <v>1202698456.1869199</v>
      </c>
      <c r="I150" s="727"/>
      <c r="J150" s="727">
        <f>J152+J183+J211+J248+J255</f>
        <v>1202698456.1869199</v>
      </c>
      <c r="K150" s="728" t="s">
        <v>885</v>
      </c>
      <c r="L150" s="728"/>
      <c r="M150" s="728"/>
      <c r="N150" s="727">
        <f>N152+N183+N211+N248+N255</f>
        <v>149867142</v>
      </c>
      <c r="O150" s="727">
        <f>O152+O183+O211+O248+O255</f>
        <v>143253208</v>
      </c>
      <c r="P150" s="727"/>
      <c r="Q150" s="729">
        <f t="shared" si="110"/>
        <v>1345951664.1869199</v>
      </c>
      <c r="R150" s="730">
        <f t="shared" si="112"/>
        <v>1.1191098294531576</v>
      </c>
      <c r="S150" s="731">
        <v>964913393.76559997</v>
      </c>
      <c r="T150" s="731">
        <f>T152+T183+T211+T248+T255</f>
        <v>1261465657.25</v>
      </c>
      <c r="U150" s="732">
        <f t="shared" si="121"/>
        <v>1.0488627891395137</v>
      </c>
      <c r="V150" s="733">
        <v>1.0219633978884686</v>
      </c>
      <c r="W150" s="575">
        <f t="shared" si="118"/>
        <v>2.6899391251045124E-2</v>
      </c>
      <c r="X150" s="734">
        <f t="shared" si="115"/>
        <v>0.93722953863431835</v>
      </c>
      <c r="Y150" s="735">
        <f>Y152+Y183+Y211+Y248+Y255</f>
        <v>1229442176.8700001</v>
      </c>
      <c r="Z150" s="732">
        <f t="shared" si="102"/>
        <v>1.0222364305412592</v>
      </c>
      <c r="AA150" s="736">
        <v>1.0046328245408622</v>
      </c>
      <c r="AB150" s="575">
        <f t="shared" si="119"/>
        <v>1.760360600039701E-2</v>
      </c>
      <c r="AC150" s="734">
        <f t="shared" si="116"/>
        <v>0.91343709405248041</v>
      </c>
      <c r="AD150" s="737">
        <f>AD152+AD183+AD211+AD248+AD255</f>
        <v>560714567.68000007</v>
      </c>
      <c r="AE150" s="729">
        <f>AE152+AE183+AE211+AE248+AE255</f>
        <v>37443.14</v>
      </c>
      <c r="AF150" s="729">
        <f>AF152+AF183+AF211+AF248+AF255</f>
        <v>291216052.24000001</v>
      </c>
      <c r="AG150" s="729">
        <f>AG152+AG183+AG211+AG248+AG255</f>
        <v>171236648.54999995</v>
      </c>
      <c r="AH150" s="725">
        <f>AH152+AH183+AH211+AH248+AH255</f>
        <v>13195057.569999998</v>
      </c>
      <c r="AI150" s="735">
        <f t="shared" si="91"/>
        <v>838773005.48999989</v>
      </c>
      <c r="AJ150" s="729">
        <f t="shared" si="123"/>
        <v>731988659.37</v>
      </c>
      <c r="AK150" s="729">
        <f>AK152+AK183+AK211+AK248+AK255</f>
        <v>851968063.05999994</v>
      </c>
      <c r="AL150" s="732">
        <f t="shared" si="120"/>
        <v>0.70838044122972543</v>
      </c>
      <c r="AM150" s="732">
        <v>0.68251086541049411</v>
      </c>
      <c r="AN150" s="575">
        <f t="shared" si="124"/>
        <v>2.5869575819231327E-2</v>
      </c>
      <c r="AO150" s="734">
        <f t="shared" si="117"/>
        <v>0.63298563070960501</v>
      </c>
      <c r="AP150" s="562">
        <v>290443367.82257068</v>
      </c>
      <c r="AQ150" s="563">
        <f t="shared" si="125"/>
        <v>0.2414930910807046</v>
      </c>
      <c r="AR150" s="563">
        <v>0.2414930910807046</v>
      </c>
      <c r="AS150" s="563">
        <f t="shared" ref="AS150:AS151" si="130">AQ150-AR150</f>
        <v>0</v>
      </c>
      <c r="AT150" s="720">
        <v>381212167.34819913</v>
      </c>
      <c r="AU150" s="563">
        <f t="shared" si="127"/>
        <v>0.31696404480039697</v>
      </c>
      <c r="AV150" s="563">
        <v>0.31696404480039697</v>
      </c>
      <c r="AW150" s="565">
        <f t="shared" si="128"/>
        <v>0</v>
      </c>
      <c r="AY150" s="721"/>
    </row>
    <row r="151" spans="1:55" s="59" customFormat="1">
      <c r="A151" s="722" t="s">
        <v>1197</v>
      </c>
      <c r="B151" s="723" t="s">
        <v>1201</v>
      </c>
      <c r="C151" s="724" t="s">
        <v>1202</v>
      </c>
      <c r="D151" s="724" t="s">
        <v>1</v>
      </c>
      <c r="E151" s="725"/>
      <c r="F151" s="726">
        <f>F201+F232+F258</f>
        <v>1082161120.5546122</v>
      </c>
      <c r="G151" s="727"/>
      <c r="H151" s="727">
        <f>H201+H232+H258</f>
        <v>1082161120.5546122</v>
      </c>
      <c r="I151" s="727"/>
      <c r="J151" s="727">
        <f>J201+J232+J258</f>
        <v>1082161120.5546122</v>
      </c>
      <c r="K151" s="728" t="s">
        <v>885</v>
      </c>
      <c r="L151" s="728"/>
      <c r="M151" s="728"/>
      <c r="N151" s="727">
        <f>N201+N232+N258</f>
        <v>34967484</v>
      </c>
      <c r="O151" s="727">
        <f>O201+O232+O258</f>
        <v>30423054.449999999</v>
      </c>
      <c r="P151" s="727"/>
      <c r="Q151" s="729">
        <f t="shared" si="110"/>
        <v>1112584175.0046122</v>
      </c>
      <c r="R151" s="730">
        <f t="shared" si="112"/>
        <v>1.0281132392137764</v>
      </c>
      <c r="S151" s="731">
        <v>763901223.10079992</v>
      </c>
      <c r="T151" s="731">
        <f>T201+T232+T258</f>
        <v>1048670387.4599999</v>
      </c>
      <c r="U151" s="732">
        <f t="shared" si="121"/>
        <v>0.96905199007939957</v>
      </c>
      <c r="V151" s="733">
        <v>0.94451362213619472</v>
      </c>
      <c r="W151" s="575">
        <f t="shared" si="118"/>
        <v>2.4538367943204853E-2</v>
      </c>
      <c r="X151" s="734">
        <f t="shared" si="115"/>
        <v>0.94255375100553862</v>
      </c>
      <c r="Y151" s="735">
        <f>Y201+Y232+Y258</f>
        <v>955873085.03000009</v>
      </c>
      <c r="Z151" s="732">
        <f t="shared" si="102"/>
        <v>0.88330015454640531</v>
      </c>
      <c r="AA151" s="738">
        <v>0.88137666649045554</v>
      </c>
      <c r="AB151" s="575">
        <f t="shared" si="119"/>
        <v>1.9234880559497736E-3</v>
      </c>
      <c r="AC151" s="734">
        <f t="shared" si="116"/>
        <v>0.8591467562677112</v>
      </c>
      <c r="AD151" s="737">
        <f>AD201+AD232+AD258</f>
        <v>479067697.04999995</v>
      </c>
      <c r="AE151" s="729">
        <f>AE201+AE232+AE258</f>
        <v>10087251.76</v>
      </c>
      <c r="AF151" s="729">
        <f>AF201+AF232+AF258</f>
        <v>217626840.31</v>
      </c>
      <c r="AG151" s="729">
        <f>AG201+AG232+AG258</f>
        <v>109899948.58</v>
      </c>
      <c r="AH151" s="725">
        <f>AH201+AH232+AH258</f>
        <v>25649198.129999999</v>
      </c>
      <c r="AI151" s="735">
        <f t="shared" si="91"/>
        <v>658857754.99000001</v>
      </c>
      <c r="AJ151" s="729">
        <f t="shared" si="123"/>
        <v>599054897.38999999</v>
      </c>
      <c r="AK151" s="729">
        <f>AK201+AK232+AK258</f>
        <v>684506953.12</v>
      </c>
      <c r="AL151" s="732">
        <f t="shared" si="120"/>
        <v>0.6325370040730971</v>
      </c>
      <c r="AM151" s="732">
        <v>0.59688245205017321</v>
      </c>
      <c r="AN151" s="575">
        <f t="shared" si="124"/>
        <v>3.5654552022923891E-2</v>
      </c>
      <c r="AO151" s="734">
        <f t="shared" si="117"/>
        <v>0.61524059796838504</v>
      </c>
      <c r="AP151" s="562">
        <v>234156462.07216462</v>
      </c>
      <c r="AQ151" s="563">
        <f t="shared" si="125"/>
        <v>0.21637855733733849</v>
      </c>
      <c r="AR151" s="563">
        <v>0.21637855733733849</v>
      </c>
      <c r="AS151" s="563">
        <f t="shared" si="130"/>
        <v>0</v>
      </c>
      <c r="AT151" s="720">
        <v>359134136.62522894</v>
      </c>
      <c r="AU151" s="563">
        <f t="shared" si="127"/>
        <v>0.33186752859978114</v>
      </c>
      <c r="AV151" s="563">
        <v>0.33186752859978114</v>
      </c>
      <c r="AW151" s="565">
        <f t="shared" si="128"/>
        <v>0</v>
      </c>
      <c r="AY151" s="721"/>
    </row>
    <row r="152" spans="1:55" s="741" customFormat="1" ht="82.5">
      <c r="A152" s="14" t="s">
        <v>77</v>
      </c>
      <c r="B152" s="15" t="s">
        <v>1203</v>
      </c>
      <c r="C152" s="16" t="s">
        <v>1106</v>
      </c>
      <c r="D152" s="16" t="s">
        <v>1</v>
      </c>
      <c r="E152" s="614">
        <f>F152/0.702804</f>
        <v>535112450.00000006</v>
      </c>
      <c r="F152" s="608">
        <f>F153+F156+F159+F165+F175</f>
        <v>376079170.30980003</v>
      </c>
      <c r="G152" s="588"/>
      <c r="H152" s="588">
        <f>H153+H156+H159+H165+H175</f>
        <v>376079170.30980003</v>
      </c>
      <c r="I152" s="588"/>
      <c r="J152" s="588">
        <f>J153+J156+J159+J165+J175</f>
        <v>376079170.30980003</v>
      </c>
      <c r="K152" s="588" t="s">
        <v>885</v>
      </c>
      <c r="L152" s="588"/>
      <c r="M152" s="588"/>
      <c r="N152" s="588">
        <f>N154+N171+N173+N179</f>
        <v>38871547</v>
      </c>
      <c r="O152" s="588">
        <f>O153+O156+O159+O165+O175</f>
        <v>35050973</v>
      </c>
      <c r="P152" s="588"/>
      <c r="Q152" s="294">
        <f t="shared" si="110"/>
        <v>411130143.30980003</v>
      </c>
      <c r="R152" s="610">
        <f t="shared" si="112"/>
        <v>1.0932010485215822</v>
      </c>
      <c r="S152" s="611">
        <v>302130509.44999999</v>
      </c>
      <c r="T152" s="611">
        <f>T153+T156+T159+T165+T175</f>
        <v>390753455.98000002</v>
      </c>
      <c r="U152" s="575">
        <f t="shared" si="121"/>
        <v>1.0390191396617683</v>
      </c>
      <c r="V152" s="575">
        <v>0.92921604797236934</v>
      </c>
      <c r="W152" s="575">
        <f t="shared" si="118"/>
        <v>0.10980309168939895</v>
      </c>
      <c r="X152" s="612">
        <f t="shared" si="115"/>
        <v>0.9504373793520523</v>
      </c>
      <c r="Y152" s="573">
        <f>Y153+Y156+Y159+Y165+Y175</f>
        <v>366091846.04000002</v>
      </c>
      <c r="Z152" s="575">
        <f t="shared" si="102"/>
        <v>0.9734435590740832</v>
      </c>
      <c r="AA152" s="739">
        <v>0.89697132960625892</v>
      </c>
      <c r="AB152" s="575">
        <f t="shared" si="119"/>
        <v>7.6472229467824282E-2</v>
      </c>
      <c r="AC152" s="612">
        <f t="shared" si="116"/>
        <v>0.89045245647225102</v>
      </c>
      <c r="AD152" s="613">
        <f>AD153+AD156+AD159+AD165+AD175</f>
        <v>172535537.37</v>
      </c>
      <c r="AE152" s="17">
        <f>AE153+AE156+AE159+AE165+AE175</f>
        <v>0</v>
      </c>
      <c r="AF152" s="17">
        <f>AF153+AF156+AF159+AF165+AF175</f>
        <v>91767069.530000001</v>
      </c>
      <c r="AG152" s="17">
        <f>AG153+AG156+AG159+AG165+AG175</f>
        <v>54076433.679999977</v>
      </c>
      <c r="AH152" s="614">
        <f>AH153+AH156+AH159+AH165+AH175</f>
        <v>2513454.37</v>
      </c>
      <c r="AI152" s="620">
        <f t="shared" si="91"/>
        <v>261789152.53</v>
      </c>
      <c r="AJ152" s="17">
        <f t="shared" si="123"/>
        <v>226611971.04999998</v>
      </c>
      <c r="AK152" s="17">
        <f>AK153+AK156+AK159+AK165+AK175</f>
        <v>264302606.90000001</v>
      </c>
      <c r="AL152" s="575">
        <f t="shared" si="120"/>
        <v>0.70278448732557386</v>
      </c>
      <c r="AM152" s="575">
        <v>0.67937739625283911</v>
      </c>
      <c r="AN152" s="575">
        <f t="shared" si="124"/>
        <v>2.3407091072734754E-2</v>
      </c>
      <c r="AO152" s="740">
        <f t="shared" si="117"/>
        <v>0.64286847170152472</v>
      </c>
      <c r="AP152" s="582"/>
      <c r="AQ152" s="583"/>
      <c r="AR152" s="583"/>
      <c r="AS152" s="583"/>
      <c r="AT152" s="571"/>
      <c r="AU152" s="583"/>
      <c r="AV152" s="583"/>
      <c r="AW152" s="584"/>
      <c r="AY152" s="721"/>
    </row>
    <row r="153" spans="1:55" s="741" customFormat="1" ht="82.5" outlineLevel="1">
      <c r="A153" s="14" t="s">
        <v>78</v>
      </c>
      <c r="B153" s="15" t="s">
        <v>1204</v>
      </c>
      <c r="C153" s="16" t="s">
        <v>1106</v>
      </c>
      <c r="D153" s="16" t="s">
        <v>814</v>
      </c>
      <c r="E153" s="614"/>
      <c r="F153" s="608">
        <f>F154+F155</f>
        <v>83384167.226723999</v>
      </c>
      <c r="G153" s="588">
        <f>G154-E154</f>
        <v>0</v>
      </c>
      <c r="H153" s="588">
        <f>H154+H155</f>
        <v>83384167.226723999</v>
      </c>
      <c r="I153" s="588"/>
      <c r="J153" s="588">
        <f>J154+J155</f>
        <v>83384167.226723999</v>
      </c>
      <c r="K153" s="588" t="s">
        <v>885</v>
      </c>
      <c r="L153" s="588"/>
      <c r="M153" s="588"/>
      <c r="N153" s="588">
        <f>N154+N155</f>
        <v>18661895</v>
      </c>
      <c r="O153" s="588">
        <f>O154+O155</f>
        <v>16050763</v>
      </c>
      <c r="P153" s="588"/>
      <c r="Q153" s="294">
        <f t="shared" si="110"/>
        <v>99434930.226723999</v>
      </c>
      <c r="R153" s="610">
        <f t="shared" si="112"/>
        <v>1.1924917347481268</v>
      </c>
      <c r="S153" s="611">
        <v>34556796.770000003</v>
      </c>
      <c r="T153" s="611">
        <f>T154+T155</f>
        <v>83480616.540000007</v>
      </c>
      <c r="U153" s="575">
        <f t="shared" si="121"/>
        <v>1.0011566861729728</v>
      </c>
      <c r="V153" s="575">
        <v>0.50586500930456335</v>
      </c>
      <c r="W153" s="575">
        <f t="shared" si="118"/>
        <v>0.49529167686840947</v>
      </c>
      <c r="X153" s="612">
        <f t="shared" si="115"/>
        <v>0.83955020986743623</v>
      </c>
      <c r="Y153" s="573">
        <f>Y154+Y155</f>
        <v>58841915.530000001</v>
      </c>
      <c r="Z153" s="575">
        <f t="shared" si="102"/>
        <v>0.70567252137935377</v>
      </c>
      <c r="AA153" s="739">
        <v>0.36070965904376623</v>
      </c>
      <c r="AB153" s="575">
        <f t="shared" si="119"/>
        <v>0.34496286233558754</v>
      </c>
      <c r="AC153" s="612">
        <f t="shared" si="116"/>
        <v>0.59176302930804214</v>
      </c>
      <c r="AD153" s="613">
        <f>AD154+AD155</f>
        <v>18806450.309999999</v>
      </c>
      <c r="AE153" s="17">
        <f>AE154+AE155</f>
        <v>0</v>
      </c>
      <c r="AF153" s="17">
        <f>AF154+AF155</f>
        <v>2141042.41</v>
      </c>
      <c r="AG153" s="17">
        <f>AG154+AG155</f>
        <v>1251405.8</v>
      </c>
      <c r="AH153" s="614">
        <f>AH154+AH155</f>
        <v>1410556.67</v>
      </c>
      <c r="AI153" s="620">
        <f t="shared" si="91"/>
        <v>19536936.049999997</v>
      </c>
      <c r="AJ153" s="17">
        <f t="shared" si="123"/>
        <v>20057856.109999999</v>
      </c>
      <c r="AK153" s="17">
        <f>AK154+AK155</f>
        <v>20947492.719999999</v>
      </c>
      <c r="AL153" s="575">
        <f t="shared" si="120"/>
        <v>0.25121666878369309</v>
      </c>
      <c r="AM153" s="575">
        <v>0.24019373900493979</v>
      </c>
      <c r="AN153" s="575">
        <f t="shared" si="124"/>
        <v>1.1022929778753299E-2</v>
      </c>
      <c r="AO153" s="740">
        <f t="shared" si="117"/>
        <v>0.21066533332137019</v>
      </c>
      <c r="AP153" s="582"/>
      <c r="AQ153" s="583"/>
      <c r="AR153" s="583"/>
      <c r="AS153" s="583"/>
      <c r="AT153" s="571"/>
      <c r="AU153" s="583"/>
      <c r="AV153" s="583"/>
      <c r="AW153" s="584"/>
      <c r="AY153" s="721"/>
    </row>
    <row r="154" spans="1:55" s="305" customFormat="1" ht="148.5" outlineLevel="1">
      <c r="A154" s="327" t="s">
        <v>315</v>
      </c>
      <c r="B154" s="328" t="s">
        <v>1205</v>
      </c>
      <c r="C154" s="329" t="s">
        <v>1106</v>
      </c>
      <c r="D154" s="329" t="s">
        <v>814</v>
      </c>
      <c r="E154" s="742">
        <v>115844726</v>
      </c>
      <c r="F154" s="594">
        <f>E154*$E$2</f>
        <v>81416136.811703995</v>
      </c>
      <c r="G154" s="743">
        <v>115844726</v>
      </c>
      <c r="H154" s="22">
        <f>G154*$G$2</f>
        <v>81416136.811703995</v>
      </c>
      <c r="I154" s="22">
        <v>115844726</v>
      </c>
      <c r="J154" s="331">
        <f>I154*$I$2</f>
        <v>81416136.811703995</v>
      </c>
      <c r="K154" s="588" t="s">
        <v>885</v>
      </c>
      <c r="L154" s="588"/>
      <c r="M154" s="588"/>
      <c r="N154" s="322">
        <v>18661895</v>
      </c>
      <c r="O154" s="322">
        <v>16050763</v>
      </c>
      <c r="P154" s="331"/>
      <c r="Q154" s="317">
        <f t="shared" si="110"/>
        <v>97466899.811703995</v>
      </c>
      <c r="R154" s="589">
        <f t="shared" si="112"/>
        <v>1.1971447384825145</v>
      </c>
      <c r="S154" s="417">
        <v>32299653.870000001</v>
      </c>
      <c r="T154" s="417">
        <v>81722340.430000007</v>
      </c>
      <c r="U154" s="575">
        <f t="shared" si="121"/>
        <v>1.0037609696343637</v>
      </c>
      <c r="V154" s="592">
        <v>0.49649686171536705</v>
      </c>
      <c r="W154" s="575">
        <f t="shared" si="118"/>
        <v>0.50726410791899657</v>
      </c>
      <c r="X154" s="612">
        <f t="shared" si="115"/>
        <v>0.83846249945242068</v>
      </c>
      <c r="Y154" s="586">
        <v>57083639.420000002</v>
      </c>
      <c r="Z154" s="591">
        <f t="shared" si="102"/>
        <v>0.70113421804845366</v>
      </c>
      <c r="AA154" s="591">
        <v>0.34783274580437928</v>
      </c>
      <c r="AB154" s="591">
        <f t="shared" si="119"/>
        <v>0.35330147224407438</v>
      </c>
      <c r="AC154" s="593">
        <f t="shared" si="116"/>
        <v>0.5856720541053394</v>
      </c>
      <c r="AD154" s="625">
        <v>17048174.199999999</v>
      </c>
      <c r="AE154" s="22">
        <v>0</v>
      </c>
      <c r="AF154" s="22">
        <v>2141042.41</v>
      </c>
      <c r="AG154" s="22">
        <v>1251405.8</v>
      </c>
      <c r="AH154" s="606">
        <v>1410556.67</v>
      </c>
      <c r="AI154" s="594">
        <f t="shared" si="91"/>
        <v>17778659.939999998</v>
      </c>
      <c r="AJ154" s="332">
        <f t="shared" ref="AJ154:AJ155" si="131">AD154+AE154+AG154-AH154</f>
        <v>16889023.329999998</v>
      </c>
      <c r="AK154" s="624">
        <f>SUM(AD154:AF154)</f>
        <v>19189216.609999999</v>
      </c>
      <c r="AL154" s="591">
        <f t="shared" si="120"/>
        <v>0.23569303778660067</v>
      </c>
      <c r="AM154" s="591">
        <v>0.22440365639374799</v>
      </c>
      <c r="AN154" s="591">
        <f t="shared" si="124"/>
        <v>1.1289381392852682E-2</v>
      </c>
      <c r="AO154" s="744">
        <f t="shared" si="117"/>
        <v>0.19687931643533946</v>
      </c>
      <c r="AP154" s="623"/>
      <c r="AQ154" s="745"/>
      <c r="AR154" s="745"/>
      <c r="AS154" s="745"/>
      <c r="AT154" s="331"/>
      <c r="AU154" s="745"/>
      <c r="AV154" s="745"/>
      <c r="AW154" s="746"/>
      <c r="AY154" s="747"/>
      <c r="AZ154" s="455"/>
      <c r="BA154" s="455"/>
      <c r="BB154" s="455"/>
      <c r="BC154" s="455"/>
    </row>
    <row r="155" spans="1:55" s="305" customFormat="1" ht="132" outlineLevel="1">
      <c r="A155" s="327" t="s">
        <v>79</v>
      </c>
      <c r="B155" s="328" t="s">
        <v>1206</v>
      </c>
      <c r="C155" s="329" t="s">
        <v>1106</v>
      </c>
      <c r="D155" s="329" t="s">
        <v>814</v>
      </c>
      <c r="E155" s="606">
        <v>2800255</v>
      </c>
      <c r="F155" s="594">
        <f>E155*$E$2</f>
        <v>1968030.41502</v>
      </c>
      <c r="G155" s="22">
        <v>2800255</v>
      </c>
      <c r="H155" s="22">
        <f>G155*$G$2</f>
        <v>1968030.41502</v>
      </c>
      <c r="I155" s="748">
        <v>2800255</v>
      </c>
      <c r="J155" s="331">
        <f>I155*$I$2</f>
        <v>1968030.41502</v>
      </c>
      <c r="K155" s="588" t="s">
        <v>885</v>
      </c>
      <c r="L155" s="588"/>
      <c r="M155" s="588"/>
      <c r="N155" s="331">
        <v>0</v>
      </c>
      <c r="O155" s="331">
        <v>0</v>
      </c>
      <c r="P155" s="331"/>
      <c r="Q155" s="317">
        <f t="shared" si="110"/>
        <v>1968030.41502</v>
      </c>
      <c r="R155" s="589">
        <f t="shared" si="112"/>
        <v>1</v>
      </c>
      <c r="S155" s="417">
        <v>2257142.9</v>
      </c>
      <c r="T155" s="417">
        <v>1758276.11</v>
      </c>
      <c r="U155" s="575">
        <f t="shared" si="121"/>
        <v>0.89341917512089453</v>
      </c>
      <c r="V155" s="592">
        <v>0.89341917512089453</v>
      </c>
      <c r="W155" s="575">
        <f t="shared" si="118"/>
        <v>0</v>
      </c>
      <c r="X155" s="612">
        <f t="shared" si="115"/>
        <v>0.89341917512089453</v>
      </c>
      <c r="Y155" s="586">
        <v>1758276.11</v>
      </c>
      <c r="Z155" s="591">
        <f t="shared" si="102"/>
        <v>0.89341917512089453</v>
      </c>
      <c r="AA155" s="591">
        <v>0.89341917512089453</v>
      </c>
      <c r="AB155" s="591">
        <f t="shared" si="119"/>
        <v>0</v>
      </c>
      <c r="AC155" s="593">
        <f t="shared" si="116"/>
        <v>0.89341917512089453</v>
      </c>
      <c r="AD155" s="625">
        <v>1758276.1099999999</v>
      </c>
      <c r="AE155" s="22">
        <v>0</v>
      </c>
      <c r="AF155" s="22">
        <v>0</v>
      </c>
      <c r="AG155" s="22">
        <v>0</v>
      </c>
      <c r="AH155" s="606">
        <v>0</v>
      </c>
      <c r="AI155" s="594">
        <f t="shared" si="91"/>
        <v>1758276.1099999999</v>
      </c>
      <c r="AJ155" s="332">
        <f t="shared" si="131"/>
        <v>1758276.1099999999</v>
      </c>
      <c r="AK155" s="624">
        <f>SUM(AD155:AF155)</f>
        <v>1758276.1099999999</v>
      </c>
      <c r="AL155" s="591">
        <f t="shared" si="120"/>
        <v>0.89341917512089442</v>
      </c>
      <c r="AM155" s="591">
        <v>0.89341917512089442</v>
      </c>
      <c r="AN155" s="591">
        <f>AL155-AM155</f>
        <v>0</v>
      </c>
      <c r="AO155" s="744">
        <f t="shared" si="117"/>
        <v>0.89341917512089442</v>
      </c>
      <c r="AP155" s="623"/>
      <c r="AQ155" s="745"/>
      <c r="AR155" s="745"/>
      <c r="AS155" s="745"/>
      <c r="AT155" s="331"/>
      <c r="AU155" s="745"/>
      <c r="AV155" s="745"/>
      <c r="AW155" s="746"/>
      <c r="AY155" s="747"/>
      <c r="AZ155" s="455"/>
      <c r="BA155" s="455"/>
      <c r="BB155" s="455"/>
      <c r="BC155" s="455"/>
    </row>
    <row r="156" spans="1:55" s="741" customFormat="1" ht="66" outlineLevel="1">
      <c r="A156" s="14" t="s">
        <v>80</v>
      </c>
      <c r="B156" s="15" t="s">
        <v>1207</v>
      </c>
      <c r="C156" s="16" t="s">
        <v>55</v>
      </c>
      <c r="D156" s="16" t="s">
        <v>814</v>
      </c>
      <c r="E156" s="614"/>
      <c r="F156" s="608">
        <f>F157+F158</f>
        <v>85374366.188316002</v>
      </c>
      <c r="G156" s="588"/>
      <c r="H156" s="588">
        <f>H157+H158</f>
        <v>85374366.188316002</v>
      </c>
      <c r="I156" s="588"/>
      <c r="J156" s="588">
        <f>J157+J158</f>
        <v>85374366.188316002</v>
      </c>
      <c r="K156" s="588" t="s">
        <v>885</v>
      </c>
      <c r="L156" s="588"/>
      <c r="M156" s="588"/>
      <c r="N156" s="588">
        <f>N157+N158</f>
        <v>0</v>
      </c>
      <c r="O156" s="588">
        <v>0</v>
      </c>
      <c r="P156" s="588"/>
      <c r="Q156" s="294">
        <f t="shared" si="110"/>
        <v>85374366.188316002</v>
      </c>
      <c r="R156" s="610">
        <f>Q156/J156</f>
        <v>1</v>
      </c>
      <c r="S156" s="614">
        <v>70711916.609999999</v>
      </c>
      <c r="T156" s="614">
        <f>T157+T158</f>
        <v>84971098.560000002</v>
      </c>
      <c r="U156" s="575">
        <f t="shared" si="121"/>
        <v>0.99527647880364367</v>
      </c>
      <c r="V156" s="575">
        <v>0.99527647880364367</v>
      </c>
      <c r="W156" s="575">
        <f t="shared" si="118"/>
        <v>0</v>
      </c>
      <c r="X156" s="612">
        <f t="shared" si="115"/>
        <v>0.99527647880364367</v>
      </c>
      <c r="Y156" s="417">
        <f>Y157+Y158</f>
        <v>84971098.560000002</v>
      </c>
      <c r="Z156" s="575">
        <f t="shared" si="102"/>
        <v>0.99527647880364367</v>
      </c>
      <c r="AA156" s="749">
        <v>0.99527647880364367</v>
      </c>
      <c r="AB156" s="575">
        <f t="shared" si="119"/>
        <v>0</v>
      </c>
      <c r="AC156" s="612">
        <f t="shared" si="116"/>
        <v>0.99527647880364367</v>
      </c>
      <c r="AD156" s="573">
        <f>AD157+AD158</f>
        <v>31120689.460000001</v>
      </c>
      <c r="AE156" s="573">
        <f t="shared" ref="AE156:AH156" si="132">AE157+AE158</f>
        <v>0</v>
      </c>
      <c r="AF156" s="573">
        <f t="shared" si="132"/>
        <v>33739237.710000001</v>
      </c>
      <c r="AG156" s="573">
        <f t="shared" si="132"/>
        <v>15397845.65</v>
      </c>
      <c r="AH156" s="573">
        <f t="shared" si="132"/>
        <v>347334.56</v>
      </c>
      <c r="AI156" s="620">
        <f t="shared" si="91"/>
        <v>64512592.609999999</v>
      </c>
      <c r="AJ156" s="17">
        <f t="shared" si="123"/>
        <v>46518535.109999999</v>
      </c>
      <c r="AK156" s="17">
        <f>AK157+AK158</f>
        <v>64859927.170000002</v>
      </c>
      <c r="AL156" s="575">
        <f t="shared" si="120"/>
        <v>0.75971196116330841</v>
      </c>
      <c r="AM156" s="575">
        <v>0.7105949951790399</v>
      </c>
      <c r="AN156" s="575">
        <f t="shared" si="124"/>
        <v>4.9116965984268512E-2</v>
      </c>
      <c r="AO156" s="740">
        <f t="shared" si="117"/>
        <v>0.75971196116330841</v>
      </c>
      <c r="AP156" s="750"/>
      <c r="AQ156" s="751"/>
      <c r="AR156" s="751"/>
      <c r="AS156" s="751"/>
      <c r="AT156" s="588"/>
      <c r="AU156" s="751"/>
      <c r="AV156" s="751"/>
      <c r="AW156" s="752"/>
      <c r="AY156" s="747"/>
      <c r="AZ156" s="753"/>
      <c r="BA156" s="753"/>
      <c r="BB156" s="753"/>
      <c r="BC156" s="753"/>
    </row>
    <row r="157" spans="1:55" s="305" customFormat="1" ht="247.5" outlineLevel="1">
      <c r="A157" s="327" t="s">
        <v>81</v>
      </c>
      <c r="B157" s="328" t="s">
        <v>1208</v>
      </c>
      <c r="C157" s="329" t="s">
        <v>1106</v>
      </c>
      <c r="D157" s="329" t="s">
        <v>814</v>
      </c>
      <c r="E157" s="606">
        <v>121476779</v>
      </c>
      <c r="F157" s="594">
        <f>E157*$E$2</f>
        <v>85374366.188316002</v>
      </c>
      <c r="G157" s="22">
        <v>121476779</v>
      </c>
      <c r="H157" s="22">
        <f>G157*$G$2</f>
        <v>85374366.188316002</v>
      </c>
      <c r="I157" s="22">
        <v>121476779</v>
      </c>
      <c r="J157" s="331">
        <f>I157*$I$2</f>
        <v>85374366.188316002</v>
      </c>
      <c r="K157" s="588" t="s">
        <v>885</v>
      </c>
      <c r="L157" s="588"/>
      <c r="M157" s="588"/>
      <c r="N157" s="331">
        <v>0</v>
      </c>
      <c r="O157" s="331">
        <v>0</v>
      </c>
      <c r="P157" s="331"/>
      <c r="Q157" s="317">
        <f t="shared" si="110"/>
        <v>85374366.188316002</v>
      </c>
      <c r="R157" s="589">
        <f t="shared" ref="R157" si="133">Q157/J157</f>
        <v>1</v>
      </c>
      <c r="S157" s="417">
        <v>70711916.609999999</v>
      </c>
      <c r="T157" s="417">
        <v>84971098.560000002</v>
      </c>
      <c r="U157" s="575">
        <f t="shared" si="121"/>
        <v>0.99527647880364367</v>
      </c>
      <c r="V157" s="592">
        <v>0.99527647880364367</v>
      </c>
      <c r="W157" s="575">
        <f t="shared" si="118"/>
        <v>0</v>
      </c>
      <c r="X157" s="612">
        <f t="shared" si="115"/>
        <v>0.99527647880364367</v>
      </c>
      <c r="Y157" s="586">
        <v>84971098.560000002</v>
      </c>
      <c r="Z157" s="591">
        <f t="shared" si="102"/>
        <v>0.99527647880364367</v>
      </c>
      <c r="AA157" s="592">
        <v>0.99527647880364367</v>
      </c>
      <c r="AB157" s="591">
        <f t="shared" si="119"/>
        <v>0</v>
      </c>
      <c r="AC157" s="593">
        <f t="shared" si="116"/>
        <v>0.99527647880364367</v>
      </c>
      <c r="AD157" s="625">
        <v>31120689.460000001</v>
      </c>
      <c r="AE157" s="22">
        <v>0</v>
      </c>
      <c r="AF157" s="22">
        <v>33739237.710000001</v>
      </c>
      <c r="AG157" s="22">
        <v>15397845.65</v>
      </c>
      <c r="AH157" s="606">
        <v>347334.56</v>
      </c>
      <c r="AI157" s="594">
        <f t="shared" si="91"/>
        <v>64512592.609999999</v>
      </c>
      <c r="AJ157" s="332">
        <f t="shared" ref="AJ157:AJ182" si="134">AD157+AE157+AG157-AH157</f>
        <v>46171200.549999997</v>
      </c>
      <c r="AK157" s="624">
        <f>SUM(AD157:AF157)</f>
        <v>64859927.170000002</v>
      </c>
      <c r="AL157" s="591">
        <f t="shared" si="120"/>
        <v>0.75971196116330841</v>
      </c>
      <c r="AM157" s="591">
        <v>0.7105949951790399</v>
      </c>
      <c r="AN157" s="591">
        <f t="shared" si="124"/>
        <v>4.9116965984268512E-2</v>
      </c>
      <c r="AO157" s="744">
        <f t="shared" si="117"/>
        <v>0.75971196116330841</v>
      </c>
      <c r="AP157" s="623"/>
      <c r="AQ157" s="745"/>
      <c r="AR157" s="745"/>
      <c r="AS157" s="745"/>
      <c r="AT157" s="331"/>
      <c r="AU157" s="745"/>
      <c r="AV157" s="745"/>
      <c r="AW157" s="746"/>
      <c r="AY157" s="747"/>
      <c r="AZ157" s="455"/>
      <c r="BA157" s="455"/>
      <c r="BB157" s="455"/>
      <c r="BC157" s="455"/>
    </row>
    <row r="158" spans="1:55" s="305" customFormat="1" ht="99" outlineLevel="1">
      <c r="A158" s="327" t="s">
        <v>82</v>
      </c>
      <c r="B158" s="328" t="s">
        <v>1209</v>
      </c>
      <c r="C158" s="329" t="s">
        <v>55</v>
      </c>
      <c r="D158" s="329" t="s">
        <v>814</v>
      </c>
      <c r="E158" s="754">
        <v>0</v>
      </c>
      <c r="F158" s="594">
        <f>E158*$E$2</f>
        <v>0</v>
      </c>
      <c r="G158" s="22">
        <v>0</v>
      </c>
      <c r="H158" s="22">
        <f>G158*$G$2</f>
        <v>0</v>
      </c>
      <c r="I158" s="22">
        <v>0</v>
      </c>
      <c r="J158" s="331">
        <f>I158*$I$2</f>
        <v>0</v>
      </c>
      <c r="K158" s="588" t="s">
        <v>885</v>
      </c>
      <c r="L158" s="588"/>
      <c r="M158" s="588"/>
      <c r="N158" s="331">
        <v>0</v>
      </c>
      <c r="O158" s="331">
        <v>0</v>
      </c>
      <c r="P158" s="331"/>
      <c r="Q158" s="317">
        <f t="shared" si="110"/>
        <v>0</v>
      </c>
      <c r="R158" s="589">
        <v>0</v>
      </c>
      <c r="S158" s="417">
        <v>0</v>
      </c>
      <c r="T158" s="417">
        <v>0</v>
      </c>
      <c r="U158" s="575">
        <v>0</v>
      </c>
      <c r="V158" s="592">
        <v>0</v>
      </c>
      <c r="W158" s="575">
        <f t="shared" si="118"/>
        <v>0</v>
      </c>
      <c r="X158" s="612">
        <v>0</v>
      </c>
      <c r="Y158" s="586">
        <v>0</v>
      </c>
      <c r="Z158" s="591">
        <v>0</v>
      </c>
      <c r="AA158" s="591">
        <v>0</v>
      </c>
      <c r="AB158" s="591">
        <f t="shared" si="119"/>
        <v>0</v>
      </c>
      <c r="AC158" s="755">
        <v>0</v>
      </c>
      <c r="AD158" s="625">
        <v>0</v>
      </c>
      <c r="AE158" s="625">
        <v>0</v>
      </c>
      <c r="AF158" s="625">
        <v>0</v>
      </c>
      <c r="AG158" s="625">
        <v>0</v>
      </c>
      <c r="AH158" s="625">
        <v>0</v>
      </c>
      <c r="AI158" s="594">
        <f t="shared" si="91"/>
        <v>0</v>
      </c>
      <c r="AJ158" s="332">
        <f t="shared" si="134"/>
        <v>0</v>
      </c>
      <c r="AK158" s="624">
        <f>SUM(AD158:AF158)</f>
        <v>0</v>
      </c>
      <c r="AL158" s="591">
        <v>0</v>
      </c>
      <c r="AM158" s="591">
        <v>0</v>
      </c>
      <c r="AN158" s="591">
        <f t="shared" si="124"/>
        <v>0</v>
      </c>
      <c r="AO158" s="755">
        <v>0</v>
      </c>
      <c r="AP158" s="623"/>
      <c r="AQ158" s="745"/>
      <c r="AR158" s="745"/>
      <c r="AS158" s="745"/>
      <c r="AT158" s="331"/>
      <c r="AU158" s="745"/>
      <c r="AV158" s="745"/>
      <c r="AW158" s="746"/>
      <c r="AY158" s="747"/>
      <c r="AZ158" s="455"/>
      <c r="BA158" s="455"/>
      <c r="BB158" s="455"/>
      <c r="BC158" s="455"/>
    </row>
    <row r="159" spans="1:55" s="741" customFormat="1" ht="115.5" outlineLevel="1">
      <c r="A159" s="14" t="s">
        <v>83</v>
      </c>
      <c r="B159" s="15" t="s">
        <v>1210</v>
      </c>
      <c r="C159" s="16" t="s">
        <v>55</v>
      </c>
      <c r="D159" s="16" t="s">
        <v>814</v>
      </c>
      <c r="E159" s="614"/>
      <c r="F159" s="608">
        <f>F160+F161+F162</f>
        <v>28687926.554568</v>
      </c>
      <c r="G159" s="588"/>
      <c r="H159" s="588">
        <f>H160+H161+H162</f>
        <v>28687926.554568</v>
      </c>
      <c r="I159" s="588"/>
      <c r="J159" s="588">
        <f>J160+J161+J162</f>
        <v>28687926.554568</v>
      </c>
      <c r="K159" s="588" t="s">
        <v>885</v>
      </c>
      <c r="L159" s="588"/>
      <c r="M159" s="588"/>
      <c r="N159" s="588">
        <f>N160+N161+N162</f>
        <v>0</v>
      </c>
      <c r="O159" s="588">
        <f>O160+O161+O162</f>
        <v>0</v>
      </c>
      <c r="P159" s="588"/>
      <c r="Q159" s="294">
        <f t="shared" si="110"/>
        <v>28687926.554568</v>
      </c>
      <c r="R159" s="610">
        <f>Q159/J159</f>
        <v>1</v>
      </c>
      <c r="S159" s="614">
        <v>29925111.420000002</v>
      </c>
      <c r="T159" s="614">
        <f>T160+T161+T162</f>
        <v>28020140.470000003</v>
      </c>
      <c r="U159" s="575">
        <f t="shared" si="121"/>
        <v>0.97672239981171916</v>
      </c>
      <c r="V159" s="575">
        <v>0.97672239981171916</v>
      </c>
      <c r="W159" s="575">
        <f t="shared" si="118"/>
        <v>0</v>
      </c>
      <c r="X159" s="612">
        <f t="shared" ref="X159:X169" si="135">T159/Q159</f>
        <v>0.97672239981171916</v>
      </c>
      <c r="Y159" s="417">
        <f>Y160+Y161+Y162</f>
        <v>28020140.470000003</v>
      </c>
      <c r="Z159" s="575">
        <f t="shared" ref="Z159:Z169" si="136">Y159/J159</f>
        <v>0.97672239981171916</v>
      </c>
      <c r="AA159" s="749">
        <v>0.97672239981171916</v>
      </c>
      <c r="AB159" s="575">
        <f t="shared" si="119"/>
        <v>0</v>
      </c>
      <c r="AC159" s="593">
        <f t="shared" ref="AC159:AC169" si="137">Y159/Q159</f>
        <v>0.97672239981171916</v>
      </c>
      <c r="AD159" s="573">
        <f>AD160+AD161+AD162</f>
        <v>19549558.48</v>
      </c>
      <c r="AE159" s="573">
        <f t="shared" ref="AE159:AH159" si="138">AE160+AE161+AE162</f>
        <v>0</v>
      </c>
      <c r="AF159" s="573">
        <f t="shared" si="138"/>
        <v>8230000.0800000001</v>
      </c>
      <c r="AG159" s="573">
        <f t="shared" si="138"/>
        <v>8158747.8099999996</v>
      </c>
      <c r="AH159" s="573">
        <f t="shared" si="138"/>
        <v>182915.54</v>
      </c>
      <c r="AI159" s="499">
        <f t="shared" si="91"/>
        <v>27596643.020000003</v>
      </c>
      <c r="AJ159" s="294">
        <f t="shared" si="123"/>
        <v>27708306.289999999</v>
      </c>
      <c r="AK159" s="709">
        <f>AK160+AK161+AK162</f>
        <v>27779558.560000002</v>
      </c>
      <c r="AL159" s="575">
        <f t="shared" ref="AL159:AL169" si="139">AK159/J159</f>
        <v>0.96833622698942112</v>
      </c>
      <c r="AM159" s="575">
        <v>0.96814017691974097</v>
      </c>
      <c r="AN159" s="575">
        <f t="shared" si="124"/>
        <v>1.960500696801537E-4</v>
      </c>
      <c r="AO159" s="740">
        <f t="shared" ref="AO159:AO169" si="140">AK159/Q159</f>
        <v>0.96833622698942112</v>
      </c>
      <c r="AP159" s="750"/>
      <c r="AQ159" s="751"/>
      <c r="AR159" s="751"/>
      <c r="AS159" s="751"/>
      <c r="AT159" s="588"/>
      <c r="AU159" s="751"/>
      <c r="AV159" s="751"/>
      <c r="AW159" s="752"/>
      <c r="AY159" s="747"/>
      <c r="AZ159" s="753"/>
      <c r="BA159" s="753"/>
      <c r="BB159" s="753"/>
      <c r="BC159" s="753"/>
    </row>
    <row r="160" spans="1:55" s="305" customFormat="1" ht="118.5" outlineLevel="1">
      <c r="A160" s="327" t="s">
        <v>181</v>
      </c>
      <c r="B160" s="328" t="s">
        <v>1211</v>
      </c>
      <c r="C160" s="329" t="s">
        <v>1106</v>
      </c>
      <c r="D160" s="329" t="s">
        <v>814</v>
      </c>
      <c r="E160" s="754">
        <v>25675942</v>
      </c>
      <c r="F160" s="756">
        <f>E160*$E$2</f>
        <v>18045154.741367999</v>
      </c>
      <c r="G160" s="22">
        <v>25675942</v>
      </c>
      <c r="H160" s="22">
        <f>G160*$G$2</f>
        <v>18045154.741367999</v>
      </c>
      <c r="I160" s="748">
        <v>25675942</v>
      </c>
      <c r="J160" s="331">
        <f>I160*$I$2</f>
        <v>18045154.741367999</v>
      </c>
      <c r="K160" s="588" t="s">
        <v>885</v>
      </c>
      <c r="L160" s="588"/>
      <c r="M160" s="588"/>
      <c r="N160" s="331">
        <v>0</v>
      </c>
      <c r="O160" s="331">
        <v>0</v>
      </c>
      <c r="P160" s="331"/>
      <c r="Q160" s="317">
        <f t="shared" si="110"/>
        <v>18045154.741367999</v>
      </c>
      <c r="R160" s="589">
        <f t="shared" ref="R160:R164" si="141">Q160/J160</f>
        <v>1</v>
      </c>
      <c r="S160" s="417">
        <v>19496611.34</v>
      </c>
      <c r="T160" s="417">
        <v>17721766.98</v>
      </c>
      <c r="U160" s="575">
        <f t="shared" si="121"/>
        <v>0.98207896989507981</v>
      </c>
      <c r="V160" s="592">
        <v>0.98207896989507981</v>
      </c>
      <c r="W160" s="575">
        <f t="shared" si="118"/>
        <v>0</v>
      </c>
      <c r="X160" s="612">
        <f t="shared" si="135"/>
        <v>0.98207896989507981</v>
      </c>
      <c r="Y160" s="586">
        <v>17721766.98</v>
      </c>
      <c r="Z160" s="591">
        <f t="shared" si="136"/>
        <v>0.98207896989507981</v>
      </c>
      <c r="AA160" s="592">
        <v>0.98207896989507981</v>
      </c>
      <c r="AB160" s="591">
        <f t="shared" si="119"/>
        <v>0</v>
      </c>
      <c r="AC160" s="593">
        <f t="shared" si="137"/>
        <v>0.98207896989507981</v>
      </c>
      <c r="AD160" s="625">
        <v>11252272.359999999</v>
      </c>
      <c r="AE160" s="22">
        <v>0</v>
      </c>
      <c r="AF160" s="22">
        <v>6213005.79</v>
      </c>
      <c r="AG160" s="22">
        <v>6185780.79</v>
      </c>
      <c r="AH160" s="606">
        <v>34658.69</v>
      </c>
      <c r="AI160" s="594">
        <f t="shared" si="91"/>
        <v>17430619.459999997</v>
      </c>
      <c r="AJ160" s="332">
        <f t="shared" si="134"/>
        <v>17403394.459999997</v>
      </c>
      <c r="AK160" s="624">
        <f>SUM(AD160:AF160)</f>
        <v>17465278.149999999</v>
      </c>
      <c r="AL160" s="591">
        <f t="shared" si="139"/>
        <v>0.96786524694971721</v>
      </c>
      <c r="AM160" s="591">
        <v>0.96755356937861237</v>
      </c>
      <c r="AN160" s="591">
        <f>AL160-AM160</f>
        <v>3.1167757110484029E-4</v>
      </c>
      <c r="AO160" s="744">
        <f t="shared" si="140"/>
        <v>0.96786524694971721</v>
      </c>
      <c r="AP160" s="623"/>
      <c r="AQ160" s="745"/>
      <c r="AR160" s="745"/>
      <c r="AS160" s="745"/>
      <c r="AT160" s="331"/>
      <c r="AU160" s="745"/>
      <c r="AV160" s="745"/>
      <c r="AW160" s="746"/>
      <c r="AY160" s="747"/>
      <c r="AZ160" s="455"/>
      <c r="BA160" s="455"/>
      <c r="BB160" s="455"/>
      <c r="BC160" s="455"/>
    </row>
    <row r="161" spans="1:55" s="305" customFormat="1" ht="82.5" outlineLevel="1">
      <c r="A161" s="327" t="s">
        <v>84</v>
      </c>
      <c r="B161" s="328" t="s">
        <v>1212</v>
      </c>
      <c r="C161" s="329" t="s">
        <v>1106</v>
      </c>
      <c r="D161" s="329" t="s">
        <v>814</v>
      </c>
      <c r="E161" s="754">
        <v>3168083</v>
      </c>
      <c r="F161" s="756">
        <f>E161*$E$2</f>
        <v>2226541.4047320001</v>
      </c>
      <c r="G161" s="748">
        <v>3168083</v>
      </c>
      <c r="H161" s="22">
        <f>G161*$G$2</f>
        <v>2226541.4047320001</v>
      </c>
      <c r="I161" s="748">
        <v>3168083</v>
      </c>
      <c r="J161" s="331">
        <f>I161*$I$2</f>
        <v>2226541.4047320001</v>
      </c>
      <c r="K161" s="588" t="s">
        <v>885</v>
      </c>
      <c r="L161" s="588"/>
      <c r="M161" s="588"/>
      <c r="N161" s="331">
        <v>0</v>
      </c>
      <c r="O161" s="331">
        <v>0</v>
      </c>
      <c r="P161" s="331"/>
      <c r="Q161" s="317">
        <f t="shared" si="110"/>
        <v>2226541.4047320001</v>
      </c>
      <c r="R161" s="589">
        <f t="shared" si="141"/>
        <v>1</v>
      </c>
      <c r="S161" s="417">
        <v>2203086.12</v>
      </c>
      <c r="T161" s="417">
        <v>2221041.0099999998</v>
      </c>
      <c r="U161" s="575">
        <f t="shared" si="121"/>
        <v>0.99752962387301203</v>
      </c>
      <c r="V161" s="592">
        <v>0.99752962387301203</v>
      </c>
      <c r="W161" s="575">
        <f t="shared" si="118"/>
        <v>0</v>
      </c>
      <c r="X161" s="612">
        <f t="shared" si="135"/>
        <v>0.99752962387301203</v>
      </c>
      <c r="Y161" s="586">
        <v>2221041.0099999998</v>
      </c>
      <c r="Z161" s="591">
        <f t="shared" si="136"/>
        <v>0.99752962387301203</v>
      </c>
      <c r="AA161" s="591">
        <v>0.99752962387301203</v>
      </c>
      <c r="AB161" s="591">
        <f t="shared" si="119"/>
        <v>0</v>
      </c>
      <c r="AC161" s="593">
        <f t="shared" si="137"/>
        <v>0.99752962387301203</v>
      </c>
      <c r="AD161" s="625">
        <v>1624535.56</v>
      </c>
      <c r="AE161" s="22">
        <v>0</v>
      </c>
      <c r="AF161" s="22">
        <v>578549.68000000005</v>
      </c>
      <c r="AG161" s="22">
        <v>578549.68000000005</v>
      </c>
      <c r="AH161" s="606">
        <v>5918.13</v>
      </c>
      <c r="AI161" s="594">
        <f t="shared" si="91"/>
        <v>2197167.1100000003</v>
      </c>
      <c r="AJ161" s="332">
        <f t="shared" si="134"/>
        <v>2197167.1100000003</v>
      </c>
      <c r="AK161" s="624">
        <f>SUM(AD161:AF161)</f>
        <v>2203085.2400000002</v>
      </c>
      <c r="AL161" s="591">
        <f t="shared" si="139"/>
        <v>0.98946520164316321</v>
      </c>
      <c r="AM161" s="591">
        <v>0.98946520164316321</v>
      </c>
      <c r="AN161" s="591">
        <f t="shared" si="124"/>
        <v>0</v>
      </c>
      <c r="AO161" s="744">
        <f t="shared" si="140"/>
        <v>0.98946520164316321</v>
      </c>
      <c r="AP161" s="623"/>
      <c r="AQ161" s="745"/>
      <c r="AR161" s="745"/>
      <c r="AS161" s="745"/>
      <c r="AT161" s="331"/>
      <c r="AU161" s="745"/>
      <c r="AV161" s="745"/>
      <c r="AW161" s="746"/>
      <c r="AY161" s="747"/>
      <c r="AZ161" s="455"/>
      <c r="BA161" s="455"/>
      <c r="BB161" s="455"/>
      <c r="BC161" s="455"/>
    </row>
    <row r="162" spans="1:55" s="741" customFormat="1" ht="148.5" outlineLevel="1">
      <c r="A162" s="19" t="s">
        <v>85</v>
      </c>
      <c r="B162" s="20" t="s">
        <v>1213</v>
      </c>
      <c r="C162" s="21" t="s">
        <v>1106</v>
      </c>
      <c r="D162" s="21" t="s">
        <v>814</v>
      </c>
      <c r="E162" s="622"/>
      <c r="F162" s="756">
        <f>F163+F164</f>
        <v>8416230.4084680006</v>
      </c>
      <c r="G162" s="331"/>
      <c r="H162" s="331">
        <f>H163+H164</f>
        <v>8416230.4084680006</v>
      </c>
      <c r="I162" s="331"/>
      <c r="J162" s="331">
        <f>J163+J164</f>
        <v>8416230.4084680006</v>
      </c>
      <c r="K162" s="588" t="s">
        <v>885</v>
      </c>
      <c r="L162" s="588"/>
      <c r="M162" s="588"/>
      <c r="N162" s="331">
        <f>N163+N164</f>
        <v>0</v>
      </c>
      <c r="O162" s="331">
        <v>0</v>
      </c>
      <c r="P162" s="331"/>
      <c r="Q162" s="317">
        <f t="shared" si="110"/>
        <v>8416230.4084680006</v>
      </c>
      <c r="R162" s="589">
        <f t="shared" si="141"/>
        <v>1</v>
      </c>
      <c r="S162" s="757">
        <v>8225413.9600000009</v>
      </c>
      <c r="T162" s="757">
        <f>T163+T164</f>
        <v>8077332.4799999995</v>
      </c>
      <c r="U162" s="575">
        <f t="shared" si="121"/>
        <v>0.95973281243262798</v>
      </c>
      <c r="V162" s="591">
        <v>0.95973281243262798</v>
      </c>
      <c r="W162" s="575">
        <f t="shared" si="118"/>
        <v>0</v>
      </c>
      <c r="X162" s="612">
        <f t="shared" si="135"/>
        <v>0.95973281243262798</v>
      </c>
      <c r="Y162" s="417">
        <f>Y163+Y164</f>
        <v>8077332.4799999995</v>
      </c>
      <c r="Z162" s="591">
        <f t="shared" si="136"/>
        <v>0.95973281243262798</v>
      </c>
      <c r="AA162" s="592">
        <v>0.95973281243262798</v>
      </c>
      <c r="AB162" s="591">
        <f t="shared" si="119"/>
        <v>0</v>
      </c>
      <c r="AC162" s="593">
        <f t="shared" si="137"/>
        <v>0.95973281243262798</v>
      </c>
      <c r="AD162" s="620">
        <f>SUM(AD163:AD164)</f>
        <v>6672750.5600000005</v>
      </c>
      <c r="AE162" s="620">
        <f t="shared" ref="AE162:AH162" si="142">SUM(AE163:AE164)</f>
        <v>0</v>
      </c>
      <c r="AF162" s="620">
        <f t="shared" si="142"/>
        <v>1438444.6099999999</v>
      </c>
      <c r="AG162" s="620">
        <f t="shared" si="142"/>
        <v>1394417.34</v>
      </c>
      <c r="AH162" s="620">
        <f t="shared" si="142"/>
        <v>142338.72</v>
      </c>
      <c r="AI162" s="620">
        <f t="shared" si="91"/>
        <v>7968856.4500000002</v>
      </c>
      <c r="AJ162" s="332">
        <f t="shared" si="134"/>
        <v>7924829.1800000006</v>
      </c>
      <c r="AK162" s="624">
        <f>SUM(AD162:AF162)</f>
        <v>8111195.1699999999</v>
      </c>
      <c r="AL162" s="591">
        <f t="shared" si="139"/>
        <v>0.96375631088223424</v>
      </c>
      <c r="AM162" s="591">
        <v>0.96375631088223424</v>
      </c>
      <c r="AN162" s="591">
        <f t="shared" si="124"/>
        <v>0</v>
      </c>
      <c r="AO162" s="744">
        <f t="shared" si="140"/>
        <v>0.96375631088223424</v>
      </c>
      <c r="AP162" s="623"/>
      <c r="AQ162" s="745"/>
      <c r="AR162" s="745"/>
      <c r="AS162" s="745"/>
      <c r="AT162" s="331"/>
      <c r="AU162" s="745"/>
      <c r="AV162" s="745"/>
      <c r="AW162" s="746"/>
      <c r="AY162" s="747"/>
      <c r="AZ162" s="753"/>
      <c r="BA162" s="753"/>
      <c r="BB162" s="753"/>
      <c r="BC162" s="753"/>
    </row>
    <row r="163" spans="1:55" s="305" customFormat="1" ht="99" outlineLevel="1">
      <c r="A163" s="327" t="s">
        <v>180</v>
      </c>
      <c r="B163" s="328" t="s">
        <v>1214</v>
      </c>
      <c r="C163" s="329" t="s">
        <v>1106</v>
      </c>
      <c r="D163" s="329" t="s">
        <v>814</v>
      </c>
      <c r="E163" s="754">
        <v>8133181</v>
      </c>
      <c r="F163" s="756">
        <f>E163*$E$2</f>
        <v>5716032.1395239998</v>
      </c>
      <c r="G163" s="22">
        <v>8133181</v>
      </c>
      <c r="H163" s="22">
        <f>G163*$G$2</f>
        <v>5716032.1395239998</v>
      </c>
      <c r="I163" s="748">
        <v>8133181</v>
      </c>
      <c r="J163" s="331">
        <f>I163*$I$2</f>
        <v>5716032.1395239998</v>
      </c>
      <c r="K163" s="588" t="s">
        <v>885</v>
      </c>
      <c r="L163" s="588"/>
      <c r="M163" s="588"/>
      <c r="N163" s="331">
        <v>0</v>
      </c>
      <c r="O163" s="331">
        <v>0</v>
      </c>
      <c r="P163" s="331"/>
      <c r="Q163" s="317">
        <f t="shared" si="110"/>
        <v>5716032.1395239998</v>
      </c>
      <c r="R163" s="589">
        <f t="shared" si="141"/>
        <v>1</v>
      </c>
      <c r="S163" s="417">
        <v>5448203.4400000004</v>
      </c>
      <c r="T163" s="417">
        <v>5479001.4299999997</v>
      </c>
      <c r="U163" s="575">
        <f t="shared" si="121"/>
        <v>0.9585322993751153</v>
      </c>
      <c r="V163" s="592">
        <v>0.9585322993751153</v>
      </c>
      <c r="W163" s="575">
        <f t="shared" si="118"/>
        <v>0</v>
      </c>
      <c r="X163" s="612">
        <f t="shared" si="135"/>
        <v>0.9585322993751153</v>
      </c>
      <c r="Y163" s="586">
        <v>5479001.4299999997</v>
      </c>
      <c r="Z163" s="591">
        <f t="shared" si="136"/>
        <v>0.9585322993751153</v>
      </c>
      <c r="AA163" s="592">
        <v>0.9585322993751153</v>
      </c>
      <c r="AB163" s="591">
        <f t="shared" si="119"/>
        <v>0</v>
      </c>
      <c r="AC163" s="593">
        <f t="shared" si="137"/>
        <v>0.9585322993751153</v>
      </c>
      <c r="AD163" s="625">
        <v>4465787.57</v>
      </c>
      <c r="AE163" s="22">
        <v>0</v>
      </c>
      <c r="AF163" s="22">
        <v>1013764.6</v>
      </c>
      <c r="AG163" s="22">
        <v>1003049.28</v>
      </c>
      <c r="AH163" s="606">
        <v>27854.51</v>
      </c>
      <c r="AI163" s="594">
        <f t="shared" si="91"/>
        <v>5451697.6600000001</v>
      </c>
      <c r="AJ163" s="332">
        <f t="shared" si="134"/>
        <v>5440982.3400000008</v>
      </c>
      <c r="AK163" s="624">
        <f>SUM(AD163:AF163)</f>
        <v>5479552.1699999999</v>
      </c>
      <c r="AL163" s="591">
        <f t="shared" si="139"/>
        <v>0.9586286494281866</v>
      </c>
      <c r="AM163" s="591">
        <v>0.9586286494281866</v>
      </c>
      <c r="AN163" s="591">
        <f t="shared" si="124"/>
        <v>0</v>
      </c>
      <c r="AO163" s="744">
        <f t="shared" si="140"/>
        <v>0.9586286494281866</v>
      </c>
      <c r="AP163" s="623"/>
      <c r="AQ163" s="745"/>
      <c r="AR163" s="745"/>
      <c r="AS163" s="745"/>
      <c r="AT163" s="331"/>
      <c r="AU163" s="745"/>
      <c r="AV163" s="745"/>
      <c r="AW163" s="746"/>
      <c r="AY163" s="747"/>
      <c r="AZ163" s="455"/>
      <c r="BA163" s="455"/>
      <c r="BB163" s="455"/>
      <c r="BC163" s="455"/>
    </row>
    <row r="164" spans="1:55" s="305" customFormat="1" ht="148.5" outlineLevel="1">
      <c r="A164" s="327" t="s">
        <v>173</v>
      </c>
      <c r="B164" s="328" t="s">
        <v>1215</v>
      </c>
      <c r="C164" s="329" t="s">
        <v>1106</v>
      </c>
      <c r="D164" s="329" t="s">
        <v>814</v>
      </c>
      <c r="E164" s="754">
        <v>3842036</v>
      </c>
      <c r="F164" s="756">
        <f>E164*$E$2</f>
        <v>2700198.2689439999</v>
      </c>
      <c r="G164" s="748">
        <v>3842036</v>
      </c>
      <c r="H164" s="22">
        <f>G164*$G$2</f>
        <v>2700198.2689439999</v>
      </c>
      <c r="I164" s="748">
        <v>3842036</v>
      </c>
      <c r="J164" s="331">
        <f>I164*$I$2</f>
        <v>2700198.2689439999</v>
      </c>
      <c r="K164" s="588" t="s">
        <v>885</v>
      </c>
      <c r="L164" s="588"/>
      <c r="M164" s="588"/>
      <c r="N164" s="331">
        <v>0</v>
      </c>
      <c r="O164" s="331">
        <v>0</v>
      </c>
      <c r="P164" s="331"/>
      <c r="Q164" s="317">
        <f t="shared" si="110"/>
        <v>2700198.2689439999</v>
      </c>
      <c r="R164" s="589">
        <f t="shared" si="141"/>
        <v>1</v>
      </c>
      <c r="S164" s="417">
        <v>2777210.52</v>
      </c>
      <c r="T164" s="417">
        <v>2598331.0499999998</v>
      </c>
      <c r="U164" s="575">
        <f t="shared" si="121"/>
        <v>0.96227417070975363</v>
      </c>
      <c r="V164" s="592">
        <v>0.96227417070975363</v>
      </c>
      <c r="W164" s="575">
        <f t="shared" si="118"/>
        <v>0</v>
      </c>
      <c r="X164" s="612">
        <f t="shared" si="135"/>
        <v>0.96227417070975363</v>
      </c>
      <c r="Y164" s="586">
        <v>2598331.0499999998</v>
      </c>
      <c r="Z164" s="591">
        <f t="shared" si="136"/>
        <v>0.96227417070975363</v>
      </c>
      <c r="AA164" s="591">
        <v>0.96227417070975363</v>
      </c>
      <c r="AB164" s="591">
        <f t="shared" si="119"/>
        <v>0</v>
      </c>
      <c r="AC164" s="593">
        <f t="shared" si="137"/>
        <v>0.96227417070975363</v>
      </c>
      <c r="AD164" s="625">
        <v>2206962.9900000002</v>
      </c>
      <c r="AE164" s="22">
        <v>0</v>
      </c>
      <c r="AF164" s="22">
        <v>424680.01</v>
      </c>
      <c r="AG164" s="22">
        <v>391368.06</v>
      </c>
      <c r="AH164" s="606">
        <v>114484.21</v>
      </c>
      <c r="AI164" s="594">
        <f t="shared" si="91"/>
        <v>2517158.79</v>
      </c>
      <c r="AJ164" s="332">
        <f t="shared" si="134"/>
        <v>2483846.8400000003</v>
      </c>
      <c r="AK164" s="624">
        <f>SUM(AD164:AF164)</f>
        <v>2631643</v>
      </c>
      <c r="AL164" s="591">
        <f t="shared" si="139"/>
        <v>0.97461102403757538</v>
      </c>
      <c r="AM164" s="591">
        <v>0.97461102403757538</v>
      </c>
      <c r="AN164" s="591">
        <f t="shared" si="124"/>
        <v>0</v>
      </c>
      <c r="AO164" s="744">
        <f t="shared" si="140"/>
        <v>0.97461102403757538</v>
      </c>
      <c r="AP164" s="623"/>
      <c r="AQ164" s="745"/>
      <c r="AR164" s="745"/>
      <c r="AS164" s="745"/>
      <c r="AT164" s="331"/>
      <c r="AU164" s="745"/>
      <c r="AV164" s="745"/>
      <c r="AW164" s="746"/>
      <c r="AY164" s="747"/>
      <c r="AZ164" s="455"/>
      <c r="BA164" s="455"/>
      <c r="BB164" s="455"/>
      <c r="BC164" s="455"/>
    </row>
    <row r="165" spans="1:55" s="741" customFormat="1" ht="82.5" outlineLevel="1">
      <c r="A165" s="14" t="s">
        <v>86</v>
      </c>
      <c r="B165" s="15" t="s">
        <v>1216</v>
      </c>
      <c r="C165" s="16" t="s">
        <v>55</v>
      </c>
      <c r="D165" s="16" t="s">
        <v>1</v>
      </c>
      <c r="E165" s="614"/>
      <c r="F165" s="608">
        <f>F166+F172+F173+F174</f>
        <v>33116083.014563996</v>
      </c>
      <c r="G165" s="588"/>
      <c r="H165" s="588">
        <f>H166+H172+H173+H174</f>
        <v>33116083.014563996</v>
      </c>
      <c r="I165" s="588"/>
      <c r="J165" s="588">
        <f>J166+J172+J173+J174</f>
        <v>33116083.014563996</v>
      </c>
      <c r="K165" s="588" t="s">
        <v>885</v>
      </c>
      <c r="L165" s="588"/>
      <c r="M165" s="588"/>
      <c r="N165" s="588">
        <f>N166+N172+N173+N174</f>
        <v>9609652</v>
      </c>
      <c r="O165" s="588">
        <f>O166+O172+O173+O174</f>
        <v>9543950</v>
      </c>
      <c r="P165" s="588"/>
      <c r="Q165" s="294">
        <f t="shared" si="110"/>
        <v>42660033.014563993</v>
      </c>
      <c r="R165" s="610">
        <f>Q165/J165</f>
        <v>1.28819682556668</v>
      </c>
      <c r="S165" s="614">
        <v>40194109.160000004</v>
      </c>
      <c r="T165" s="614">
        <f>T166+T172+T173+T174</f>
        <v>40642560.440000005</v>
      </c>
      <c r="U165" s="575">
        <f t="shared" si="121"/>
        <v>1.2272755936179398</v>
      </c>
      <c r="V165" s="575">
        <v>1.2272755936179398</v>
      </c>
      <c r="W165" s="575">
        <f t="shared" si="118"/>
        <v>0</v>
      </c>
      <c r="X165" s="612">
        <f t="shared" si="135"/>
        <v>0.95270813377300412</v>
      </c>
      <c r="Y165" s="758">
        <f>Y166+Y172+Y173+Y174</f>
        <v>40642560.440000005</v>
      </c>
      <c r="Z165" s="575">
        <f t="shared" si="136"/>
        <v>1.2272755936179398</v>
      </c>
      <c r="AA165" s="749">
        <v>1.2272755936179398</v>
      </c>
      <c r="AB165" s="575">
        <f t="shared" si="119"/>
        <v>0</v>
      </c>
      <c r="AC165" s="612">
        <f t="shared" si="137"/>
        <v>0.95270813377300412</v>
      </c>
      <c r="AD165" s="573">
        <f>AD166+AD172+AD173+AD174</f>
        <v>27585907.629999999</v>
      </c>
      <c r="AE165" s="573">
        <f t="shared" ref="AE165:AH165" si="143">AE166+AE172+AE173+AE174</f>
        <v>0</v>
      </c>
      <c r="AF165" s="573">
        <f t="shared" si="143"/>
        <v>8703089.8500000015</v>
      </c>
      <c r="AG165" s="573">
        <f t="shared" si="143"/>
        <v>4386444.0299999798</v>
      </c>
      <c r="AH165" s="573">
        <f t="shared" si="143"/>
        <v>531102.80999999994</v>
      </c>
      <c r="AI165" s="620">
        <f t="shared" si="91"/>
        <v>35757894.670000002</v>
      </c>
      <c r="AJ165" s="17">
        <f t="shared" si="123"/>
        <v>31972351.659999978</v>
      </c>
      <c r="AK165" s="17">
        <f>AK166+AK172+AK173+AK174</f>
        <v>36288997.480000004</v>
      </c>
      <c r="AL165" s="575">
        <f t="shared" si="139"/>
        <v>1.0958118888650148</v>
      </c>
      <c r="AM165" s="575">
        <v>1.0885782577047518</v>
      </c>
      <c r="AN165" s="575">
        <f t="shared" si="124"/>
        <v>7.2336311602629877E-3</v>
      </c>
      <c r="AO165" s="740">
        <f t="shared" si="140"/>
        <v>0.85065563516116038</v>
      </c>
      <c r="AP165" s="623"/>
      <c r="AQ165" s="745"/>
      <c r="AR165" s="745"/>
      <c r="AS165" s="745"/>
      <c r="AT165" s="331"/>
      <c r="AU165" s="745"/>
      <c r="AV165" s="745"/>
      <c r="AW165" s="746"/>
      <c r="AY165" s="747"/>
      <c r="AZ165" s="753"/>
      <c r="BA165" s="753"/>
      <c r="BB165" s="753"/>
      <c r="BC165" s="753"/>
    </row>
    <row r="166" spans="1:55" s="741" customFormat="1" ht="115.5" outlineLevel="1">
      <c r="A166" s="19" t="s">
        <v>87</v>
      </c>
      <c r="B166" s="20" t="s">
        <v>1217</v>
      </c>
      <c r="C166" s="21" t="s">
        <v>1106</v>
      </c>
      <c r="D166" s="21" t="s">
        <v>815</v>
      </c>
      <c r="E166" s="622"/>
      <c r="F166" s="586">
        <f>F167+F168+F169+F170+F171</f>
        <v>8144475.7801799998</v>
      </c>
      <c r="G166" s="331"/>
      <c r="H166" s="331">
        <f>H167+H168+H169+H170+H171</f>
        <v>8144475.7801799998</v>
      </c>
      <c r="I166" s="331"/>
      <c r="J166" s="331">
        <f>J167+J168+J169+J170+J171</f>
        <v>8144475.7801799998</v>
      </c>
      <c r="K166" s="588" t="s">
        <v>885</v>
      </c>
      <c r="L166" s="588"/>
      <c r="M166" s="588"/>
      <c r="N166" s="331">
        <f>N167+N168+N169+N170+N171</f>
        <v>438009</v>
      </c>
      <c r="O166" s="331">
        <f>O167+O168+O169+O170+O171</f>
        <v>372307</v>
      </c>
      <c r="P166" s="331"/>
      <c r="Q166" s="317">
        <f t="shared" si="110"/>
        <v>8516782.7801799998</v>
      </c>
      <c r="R166" s="589">
        <f t="shared" ref="R166:R169" si="144">Q166/J166</f>
        <v>1.0457128254842416</v>
      </c>
      <c r="S166" s="757">
        <v>8602147.3200000003</v>
      </c>
      <c r="T166" s="757">
        <f>T167+T168+T169+T170+T171</f>
        <v>8006619.5800000001</v>
      </c>
      <c r="U166" s="575">
        <f t="shared" si="121"/>
        <v>0.98307365582503425</v>
      </c>
      <c r="V166" s="591">
        <v>0.98307365582503425</v>
      </c>
      <c r="W166" s="575">
        <f t="shared" si="118"/>
        <v>0</v>
      </c>
      <c r="X166" s="612">
        <f t="shared" si="135"/>
        <v>0.94009907105213064</v>
      </c>
      <c r="Y166" s="417">
        <f>Y167+Y168+Y169+Y170+Y171</f>
        <v>8006619.5800000001</v>
      </c>
      <c r="Z166" s="591">
        <f t="shared" si="136"/>
        <v>0.98307365582503425</v>
      </c>
      <c r="AA166" s="592">
        <v>0.98307365582503425</v>
      </c>
      <c r="AB166" s="591">
        <f t="shared" si="119"/>
        <v>0</v>
      </c>
      <c r="AC166" s="593">
        <f t="shared" si="137"/>
        <v>0.94009907105213064</v>
      </c>
      <c r="AD166" s="620">
        <f>AD167+AD168+AD169+AD170+AD171</f>
        <v>6616945.5900000008</v>
      </c>
      <c r="AE166" s="620">
        <f t="shared" ref="AE166:AH166" si="145">AE167+AE168+AE169+AE170+AE171</f>
        <v>0</v>
      </c>
      <c r="AF166" s="620">
        <f t="shared" si="145"/>
        <v>103842.97</v>
      </c>
      <c r="AG166" s="620">
        <f t="shared" si="145"/>
        <v>103842.97</v>
      </c>
      <c r="AH166" s="620">
        <f t="shared" si="145"/>
        <v>0</v>
      </c>
      <c r="AI166" s="620">
        <f t="shared" si="91"/>
        <v>6720788.5600000005</v>
      </c>
      <c r="AJ166" s="332">
        <f t="shared" si="134"/>
        <v>6720788.5600000005</v>
      </c>
      <c r="AK166" s="624">
        <f t="shared" ref="AK166:AK170" si="146">SUM(AD166:AF166)</f>
        <v>6720788.5600000005</v>
      </c>
      <c r="AL166" s="591">
        <f t="shared" si="139"/>
        <v>0.82519596612410395</v>
      </c>
      <c r="AM166" s="591">
        <v>0.82519596612410395</v>
      </c>
      <c r="AN166" s="591">
        <f t="shared" si="124"/>
        <v>0</v>
      </c>
      <c r="AO166" s="744">
        <f t="shared" si="140"/>
        <v>0.78912292745570745</v>
      </c>
      <c r="AP166" s="623"/>
      <c r="AQ166" s="745"/>
      <c r="AR166" s="745"/>
      <c r="AS166" s="745"/>
      <c r="AT166" s="331"/>
      <c r="AU166" s="745"/>
      <c r="AV166" s="745"/>
      <c r="AW166" s="746"/>
      <c r="AY166" s="747"/>
      <c r="AZ166" s="753"/>
      <c r="BA166" s="753"/>
      <c r="BB166" s="753"/>
      <c r="BC166" s="753"/>
    </row>
    <row r="167" spans="1:55" s="305" customFormat="1" ht="165" outlineLevel="1">
      <c r="A167" s="327" t="s">
        <v>88</v>
      </c>
      <c r="B167" s="328" t="s">
        <v>1218</v>
      </c>
      <c r="C167" s="329" t="s">
        <v>1106</v>
      </c>
      <c r="D167" s="329" t="s">
        <v>815</v>
      </c>
      <c r="E167" s="754">
        <v>636408</v>
      </c>
      <c r="F167" s="586">
        <f t="shared" ref="F167:F174" si="147">E167*$E$2</f>
        <v>447270.088032</v>
      </c>
      <c r="G167" s="22">
        <v>636408</v>
      </c>
      <c r="H167" s="22">
        <f t="shared" ref="H167:H174" si="148">G167*$G$2</f>
        <v>447270.088032</v>
      </c>
      <c r="I167" s="22">
        <v>636408</v>
      </c>
      <c r="J167" s="331">
        <f t="shared" ref="J167:J174" si="149">I167*$I$2</f>
        <v>447270.088032</v>
      </c>
      <c r="K167" s="588" t="s">
        <v>885</v>
      </c>
      <c r="L167" s="588"/>
      <c r="M167" s="588"/>
      <c r="N167" s="331">
        <v>0</v>
      </c>
      <c r="O167" s="331">
        <v>0</v>
      </c>
      <c r="P167" s="331"/>
      <c r="Q167" s="317">
        <f t="shared" si="110"/>
        <v>447270.088032</v>
      </c>
      <c r="R167" s="589">
        <f t="shared" si="144"/>
        <v>1</v>
      </c>
      <c r="S167" s="417">
        <v>529694.16999999993</v>
      </c>
      <c r="T167" s="417">
        <v>434607.47</v>
      </c>
      <c r="U167" s="575">
        <f t="shared" si="121"/>
        <v>0.97168910157235</v>
      </c>
      <c r="V167" s="592">
        <v>0.97168910157235</v>
      </c>
      <c r="W167" s="575">
        <f t="shared" si="118"/>
        <v>0</v>
      </c>
      <c r="X167" s="612">
        <f t="shared" si="135"/>
        <v>0.97168910157235</v>
      </c>
      <c r="Y167" s="586">
        <v>434607.47</v>
      </c>
      <c r="Z167" s="591">
        <f t="shared" si="136"/>
        <v>0.97168910157235</v>
      </c>
      <c r="AA167" s="591">
        <v>0.97168910157235</v>
      </c>
      <c r="AB167" s="591">
        <f t="shared" si="119"/>
        <v>0</v>
      </c>
      <c r="AC167" s="593">
        <f t="shared" si="137"/>
        <v>0.97168910157235</v>
      </c>
      <c r="AD167" s="625">
        <v>434607.47</v>
      </c>
      <c r="AE167" s="22">
        <v>0</v>
      </c>
      <c r="AF167" s="22">
        <v>0</v>
      </c>
      <c r="AG167" s="22">
        <v>0</v>
      </c>
      <c r="AH167" s="606">
        <v>0</v>
      </c>
      <c r="AI167" s="594">
        <f t="shared" si="91"/>
        <v>434607.47</v>
      </c>
      <c r="AJ167" s="332">
        <f t="shared" si="134"/>
        <v>434607.47</v>
      </c>
      <c r="AK167" s="624">
        <f>SUM(AD167:AF167)</f>
        <v>434607.47</v>
      </c>
      <c r="AL167" s="591">
        <f t="shared" si="139"/>
        <v>0.97168910157235</v>
      </c>
      <c r="AM167" s="591">
        <v>0.97168910157235</v>
      </c>
      <c r="AN167" s="591">
        <f t="shared" si="124"/>
        <v>0</v>
      </c>
      <c r="AO167" s="744">
        <f t="shared" si="140"/>
        <v>0.97168910157235</v>
      </c>
      <c r="AP167" s="623"/>
      <c r="AQ167" s="745"/>
      <c r="AR167" s="745"/>
      <c r="AS167" s="745"/>
      <c r="AT167" s="331"/>
      <c r="AU167" s="745"/>
      <c r="AV167" s="745"/>
      <c r="AW167" s="746"/>
      <c r="AY167" s="747"/>
      <c r="AZ167" s="455"/>
      <c r="BA167" s="455"/>
      <c r="BB167" s="455"/>
      <c r="BC167" s="455"/>
    </row>
    <row r="168" spans="1:55" s="305" customFormat="1" ht="115.5" outlineLevel="1">
      <c r="A168" s="327" t="s">
        <v>89</v>
      </c>
      <c r="B168" s="328" t="s">
        <v>1219</v>
      </c>
      <c r="C168" s="329" t="s">
        <v>55</v>
      </c>
      <c r="D168" s="329" t="s">
        <v>815</v>
      </c>
      <c r="E168" s="754">
        <v>3054313</v>
      </c>
      <c r="F168" s="586">
        <f t="shared" si="147"/>
        <v>2146583.393652</v>
      </c>
      <c r="G168" s="22">
        <v>3054313</v>
      </c>
      <c r="H168" s="22">
        <f t="shared" si="148"/>
        <v>2146583.393652</v>
      </c>
      <c r="I168" s="22">
        <v>3054313</v>
      </c>
      <c r="J168" s="331">
        <f t="shared" si="149"/>
        <v>2146583.393652</v>
      </c>
      <c r="K168" s="588" t="s">
        <v>885</v>
      </c>
      <c r="L168" s="588"/>
      <c r="M168" s="588"/>
      <c r="N168" s="331">
        <v>0</v>
      </c>
      <c r="O168" s="331">
        <v>0</v>
      </c>
      <c r="P168" s="331"/>
      <c r="Q168" s="317">
        <f t="shared" si="110"/>
        <v>2146583.393652</v>
      </c>
      <c r="R168" s="589">
        <f t="shared" si="144"/>
        <v>1</v>
      </c>
      <c r="S168" s="417">
        <v>2627347.77</v>
      </c>
      <c r="T168" s="417">
        <v>2146582.14</v>
      </c>
      <c r="U168" s="575">
        <f t="shared" si="121"/>
        <v>0.99999941597796593</v>
      </c>
      <c r="V168" s="592">
        <v>0.99999941597796593</v>
      </c>
      <c r="W168" s="575">
        <f t="shared" si="118"/>
        <v>0</v>
      </c>
      <c r="X168" s="612">
        <f t="shared" si="135"/>
        <v>0.99999941597796593</v>
      </c>
      <c r="Y168" s="586">
        <v>2146582.14</v>
      </c>
      <c r="Z168" s="591">
        <f t="shared" si="136"/>
        <v>0.99999941597796593</v>
      </c>
      <c r="AA168" s="591">
        <v>0.99999941597796593</v>
      </c>
      <c r="AB168" s="591">
        <f t="shared" si="119"/>
        <v>0</v>
      </c>
      <c r="AC168" s="593">
        <f t="shared" si="137"/>
        <v>0.99999941597796593</v>
      </c>
      <c r="AD168" s="625">
        <v>2146582.14</v>
      </c>
      <c r="AE168" s="22">
        <v>0</v>
      </c>
      <c r="AF168" s="22">
        <v>0</v>
      </c>
      <c r="AG168" s="22">
        <v>0</v>
      </c>
      <c r="AH168" s="606">
        <v>0</v>
      </c>
      <c r="AI168" s="594">
        <f t="shared" si="91"/>
        <v>2146582.14</v>
      </c>
      <c r="AJ168" s="332">
        <f t="shared" si="134"/>
        <v>2146582.14</v>
      </c>
      <c r="AK168" s="624">
        <f>SUM(AD168:AF168)</f>
        <v>2146582.14</v>
      </c>
      <c r="AL168" s="591">
        <f t="shared" si="139"/>
        <v>0.99999941597796593</v>
      </c>
      <c r="AM168" s="591">
        <v>0.99999941597796593</v>
      </c>
      <c r="AN168" s="591">
        <f t="shared" si="124"/>
        <v>0</v>
      </c>
      <c r="AO168" s="744">
        <f t="shared" si="140"/>
        <v>0.99999941597796593</v>
      </c>
      <c r="AP168" s="623"/>
      <c r="AQ168" s="745"/>
      <c r="AR168" s="745"/>
      <c r="AS168" s="745"/>
      <c r="AT168" s="331"/>
      <c r="AU168" s="745"/>
      <c r="AV168" s="745"/>
      <c r="AW168" s="746"/>
      <c r="AY168" s="747"/>
      <c r="AZ168" s="455"/>
      <c r="BA168" s="455"/>
      <c r="BB168" s="455"/>
      <c r="BC168" s="455"/>
    </row>
    <row r="169" spans="1:55" s="305" customFormat="1" ht="165" outlineLevel="1">
      <c r="A169" s="327" t="s">
        <v>90</v>
      </c>
      <c r="B169" s="328" t="s">
        <v>1220</v>
      </c>
      <c r="C169" s="329" t="s">
        <v>1106</v>
      </c>
      <c r="D169" s="329" t="s">
        <v>815</v>
      </c>
      <c r="E169" s="754">
        <v>738777</v>
      </c>
      <c r="F169" s="586">
        <f t="shared" si="147"/>
        <v>519215.43070799997</v>
      </c>
      <c r="G169" s="22">
        <v>738777</v>
      </c>
      <c r="H169" s="22">
        <f t="shared" si="148"/>
        <v>519215.43070799997</v>
      </c>
      <c r="I169" s="22">
        <v>738777</v>
      </c>
      <c r="J169" s="331">
        <f t="shared" si="149"/>
        <v>519215.43070799997</v>
      </c>
      <c r="K169" s="588" t="s">
        <v>885</v>
      </c>
      <c r="L169" s="588"/>
      <c r="M169" s="588"/>
      <c r="N169" s="331">
        <v>0</v>
      </c>
      <c r="O169" s="331">
        <v>0</v>
      </c>
      <c r="P169" s="331"/>
      <c r="Q169" s="317">
        <f t="shared" si="110"/>
        <v>519215.43070799997</v>
      </c>
      <c r="R169" s="589">
        <f t="shared" si="144"/>
        <v>1</v>
      </c>
      <c r="S169" s="417">
        <v>610836.35</v>
      </c>
      <c r="T169" s="417">
        <v>519210.9</v>
      </c>
      <c r="U169" s="575">
        <f t="shared" si="121"/>
        <v>0.9999912739342246</v>
      </c>
      <c r="V169" s="592">
        <v>0.9999912739342246</v>
      </c>
      <c r="W169" s="575">
        <f t="shared" si="118"/>
        <v>0</v>
      </c>
      <c r="X169" s="612">
        <f t="shared" si="135"/>
        <v>0.9999912739342246</v>
      </c>
      <c r="Y169" s="586">
        <v>519210.9</v>
      </c>
      <c r="Z169" s="591">
        <f t="shared" si="136"/>
        <v>0.9999912739342246</v>
      </c>
      <c r="AA169" s="592">
        <v>0.9999912739342246</v>
      </c>
      <c r="AB169" s="591">
        <f t="shared" si="119"/>
        <v>0</v>
      </c>
      <c r="AC169" s="593">
        <f t="shared" si="137"/>
        <v>0.9999912739342246</v>
      </c>
      <c r="AD169" s="625">
        <v>415367.93</v>
      </c>
      <c r="AE169" s="22">
        <v>0</v>
      </c>
      <c r="AF169" s="22">
        <v>103842.97</v>
      </c>
      <c r="AG169" s="22">
        <v>103842.97</v>
      </c>
      <c r="AH169" s="606">
        <v>0</v>
      </c>
      <c r="AI169" s="594">
        <f t="shared" si="91"/>
        <v>519210.9</v>
      </c>
      <c r="AJ169" s="332">
        <f t="shared" si="134"/>
        <v>519210.9</v>
      </c>
      <c r="AK169" s="624">
        <f>SUM(AD169:AF169)</f>
        <v>519210.9</v>
      </c>
      <c r="AL169" s="591">
        <f t="shared" si="139"/>
        <v>0.9999912739342246</v>
      </c>
      <c r="AM169" s="591">
        <v>0.9999912739342246</v>
      </c>
      <c r="AN169" s="591">
        <f>AL169-AM169</f>
        <v>0</v>
      </c>
      <c r="AO169" s="744">
        <f t="shared" si="140"/>
        <v>0.9999912739342246</v>
      </c>
      <c r="AP169" s="623"/>
      <c r="AQ169" s="745"/>
      <c r="AR169" s="745"/>
      <c r="AS169" s="745"/>
      <c r="AT169" s="331"/>
      <c r="AU169" s="745"/>
      <c r="AV169" s="745"/>
      <c r="AW169" s="746"/>
      <c r="AY169" s="747"/>
      <c r="AZ169" s="455"/>
      <c r="BA169" s="455"/>
      <c r="BB169" s="455"/>
      <c r="BC169" s="455"/>
    </row>
    <row r="170" spans="1:55" s="305" customFormat="1" ht="82.5" outlineLevel="1">
      <c r="A170" s="327" t="s">
        <v>91</v>
      </c>
      <c r="B170" s="328" t="s">
        <v>1221</v>
      </c>
      <c r="C170" s="329" t="s">
        <v>1106</v>
      </c>
      <c r="D170" s="329" t="s">
        <v>815</v>
      </c>
      <c r="E170" s="754">
        <v>0</v>
      </c>
      <c r="F170" s="586">
        <f t="shared" si="147"/>
        <v>0</v>
      </c>
      <c r="G170" s="22">
        <v>0</v>
      </c>
      <c r="H170" s="22">
        <f t="shared" si="148"/>
        <v>0</v>
      </c>
      <c r="I170" s="22">
        <v>0</v>
      </c>
      <c r="J170" s="331">
        <f t="shared" si="149"/>
        <v>0</v>
      </c>
      <c r="K170" s="588" t="s">
        <v>885</v>
      </c>
      <c r="L170" s="588"/>
      <c r="M170" s="588"/>
      <c r="N170" s="331">
        <v>0</v>
      </c>
      <c r="O170" s="331">
        <v>0</v>
      </c>
      <c r="P170" s="331"/>
      <c r="Q170" s="317">
        <f t="shared" si="110"/>
        <v>0</v>
      </c>
      <c r="R170" s="589">
        <v>0</v>
      </c>
      <c r="S170" s="417">
        <v>0</v>
      </c>
      <c r="T170" s="417">
        <v>0</v>
      </c>
      <c r="U170" s="575">
        <v>0</v>
      </c>
      <c r="V170" s="592">
        <v>0</v>
      </c>
      <c r="W170" s="575">
        <f t="shared" si="118"/>
        <v>0</v>
      </c>
      <c r="X170" s="612">
        <v>0</v>
      </c>
      <c r="Y170" s="586">
        <v>0</v>
      </c>
      <c r="Z170" s="23">
        <v>0</v>
      </c>
      <c r="AA170" s="592">
        <v>0</v>
      </c>
      <c r="AB170" s="591">
        <v>0</v>
      </c>
      <c r="AC170" s="593">
        <f>IFERROR(AB171/U170,0)</f>
        <v>0</v>
      </c>
      <c r="AD170" s="625">
        <v>0</v>
      </c>
      <c r="AE170" s="625">
        <v>0</v>
      </c>
      <c r="AF170" s="625">
        <v>0</v>
      </c>
      <c r="AG170" s="625">
        <v>0</v>
      </c>
      <c r="AH170" s="625">
        <v>0</v>
      </c>
      <c r="AI170" s="594">
        <f t="shared" si="91"/>
        <v>0</v>
      </c>
      <c r="AJ170" s="332">
        <f t="shared" si="134"/>
        <v>0</v>
      </c>
      <c r="AK170" s="624">
        <f t="shared" si="146"/>
        <v>0</v>
      </c>
      <c r="AL170" s="591">
        <v>0</v>
      </c>
      <c r="AM170" s="591">
        <v>0</v>
      </c>
      <c r="AN170" s="591">
        <v>0</v>
      </c>
      <c r="AO170" s="744">
        <v>0</v>
      </c>
      <c r="AP170" s="623"/>
      <c r="AQ170" s="745"/>
      <c r="AR170" s="745"/>
      <c r="AS170" s="745"/>
      <c r="AT170" s="331"/>
      <c r="AU170" s="745"/>
      <c r="AV170" s="745"/>
      <c r="AW170" s="746"/>
      <c r="AY170" s="747"/>
      <c r="AZ170" s="455"/>
      <c r="BA170" s="455"/>
      <c r="BB170" s="455"/>
      <c r="BC170" s="455"/>
    </row>
    <row r="171" spans="1:55" s="305" customFormat="1" ht="148.5" outlineLevel="1">
      <c r="A171" s="327" t="s">
        <v>168</v>
      </c>
      <c r="B171" s="328" t="s">
        <v>1222</v>
      </c>
      <c r="C171" s="329" t="s">
        <v>55</v>
      </c>
      <c r="D171" s="329" t="s">
        <v>815</v>
      </c>
      <c r="E171" s="754">
        <v>7159047</v>
      </c>
      <c r="F171" s="586">
        <f t="shared" si="147"/>
        <v>5031406.867788</v>
      </c>
      <c r="G171" s="22">
        <v>7159047</v>
      </c>
      <c r="H171" s="22">
        <f t="shared" si="148"/>
        <v>5031406.867788</v>
      </c>
      <c r="I171" s="22">
        <v>7159047</v>
      </c>
      <c r="J171" s="331">
        <f t="shared" si="149"/>
        <v>5031406.867788</v>
      </c>
      <c r="K171" s="588" t="s">
        <v>885</v>
      </c>
      <c r="L171" s="588"/>
      <c r="M171" s="588"/>
      <c r="N171" s="331">
        <v>438009</v>
      </c>
      <c r="O171" s="331">
        <v>372307</v>
      </c>
      <c r="P171" s="331"/>
      <c r="Q171" s="317">
        <f t="shared" si="110"/>
        <v>5403713.867788</v>
      </c>
      <c r="R171" s="589">
        <f t="shared" ref="R171:R174" si="150">Q171/J171</f>
        <v>1.0739965997151966</v>
      </c>
      <c r="S171" s="417">
        <v>4834269.03</v>
      </c>
      <c r="T171" s="417">
        <v>4906219.07</v>
      </c>
      <c r="U171" s="575">
        <f t="shared" si="121"/>
        <v>0.97511872900013807</v>
      </c>
      <c r="V171" s="592">
        <v>0.97511872900013807</v>
      </c>
      <c r="W171" s="575">
        <f t="shared" si="118"/>
        <v>0</v>
      </c>
      <c r="X171" s="612">
        <f t="shared" ref="X171:X197" si="151">T171/Q171</f>
        <v>0.90793465198932743</v>
      </c>
      <c r="Y171" s="586">
        <v>4906219.07</v>
      </c>
      <c r="Z171" s="591">
        <f t="shared" ref="Z171:Z197" si="152">Y171/J171</f>
        <v>0.97511872900013807</v>
      </c>
      <c r="AA171" s="592">
        <v>0.97511872900013807</v>
      </c>
      <c r="AB171" s="591">
        <f t="shared" ref="AB171:AB197" si="153">Z171-AA171</f>
        <v>0</v>
      </c>
      <c r="AC171" s="593">
        <f t="shared" ref="AC171:AC197" si="154">Y171/Q171</f>
        <v>0.90793465198932743</v>
      </c>
      <c r="AD171" s="625">
        <v>3620388.0500000003</v>
      </c>
      <c r="AE171" s="22">
        <v>0</v>
      </c>
      <c r="AF171" s="22">
        <v>0</v>
      </c>
      <c r="AG171" s="22">
        <v>0</v>
      </c>
      <c r="AH171" s="606">
        <v>0</v>
      </c>
      <c r="AI171" s="594">
        <f t="shared" si="91"/>
        <v>3620388.0500000003</v>
      </c>
      <c r="AJ171" s="332">
        <f t="shared" si="134"/>
        <v>3620388.0500000003</v>
      </c>
      <c r="AK171" s="624">
        <f>SUM(AD171:AF171)</f>
        <v>3620388.0500000003</v>
      </c>
      <c r="AL171" s="591">
        <f t="shared" ref="AL171:AL197" si="155">AK171/J171</f>
        <v>0.71955779867026781</v>
      </c>
      <c r="AM171" s="591">
        <v>0.71955779867026781</v>
      </c>
      <c r="AN171" s="591">
        <f t="shared" si="124"/>
        <v>0</v>
      </c>
      <c r="AO171" s="744">
        <f t="shared" ref="AO171:AO197" si="156">AK171/Q171</f>
        <v>0.66998144953259697</v>
      </c>
      <c r="AP171" s="623"/>
      <c r="AQ171" s="745"/>
      <c r="AR171" s="745"/>
      <c r="AS171" s="745"/>
      <c r="AT171" s="331"/>
      <c r="AU171" s="745"/>
      <c r="AV171" s="745"/>
      <c r="AW171" s="746"/>
      <c r="AY171" s="747"/>
      <c r="AZ171" s="455"/>
      <c r="BA171" s="455"/>
      <c r="BB171" s="455"/>
      <c r="BC171" s="455"/>
    </row>
    <row r="172" spans="1:55" s="305" customFormat="1" ht="82.5" outlineLevel="1">
      <c r="A172" s="327" t="s">
        <v>174</v>
      </c>
      <c r="B172" s="328" t="s">
        <v>1223</v>
      </c>
      <c r="C172" s="329" t="s">
        <v>1106</v>
      </c>
      <c r="D172" s="329" t="s">
        <v>815</v>
      </c>
      <c r="E172" s="754">
        <v>2950405</v>
      </c>
      <c r="F172" s="586">
        <f t="shared" si="147"/>
        <v>2073556.4356199999</v>
      </c>
      <c r="G172" s="748">
        <v>2950405</v>
      </c>
      <c r="H172" s="22">
        <f t="shared" si="148"/>
        <v>2073556.4356199999</v>
      </c>
      <c r="I172" s="748">
        <v>2950405</v>
      </c>
      <c r="J172" s="331">
        <f t="shared" si="149"/>
        <v>2073556.4356199999</v>
      </c>
      <c r="K172" s="588" t="s">
        <v>885</v>
      </c>
      <c r="L172" s="588"/>
      <c r="M172" s="588"/>
      <c r="N172" s="331">
        <v>0</v>
      </c>
      <c r="O172" s="331">
        <v>0</v>
      </c>
      <c r="P172" s="331"/>
      <c r="Q172" s="317">
        <f t="shared" si="110"/>
        <v>2073556.4356199999</v>
      </c>
      <c r="R172" s="589">
        <f t="shared" si="150"/>
        <v>1</v>
      </c>
      <c r="S172" s="417">
        <v>2568007.27</v>
      </c>
      <c r="T172" s="417">
        <v>2049863.25</v>
      </c>
      <c r="U172" s="575">
        <f t="shared" si="121"/>
        <v>0.98857364805076287</v>
      </c>
      <c r="V172" s="592">
        <v>0.98857364805076287</v>
      </c>
      <c r="W172" s="575">
        <f t="shared" si="118"/>
        <v>0</v>
      </c>
      <c r="X172" s="612">
        <f t="shared" si="151"/>
        <v>0.98857364805076287</v>
      </c>
      <c r="Y172" s="586">
        <v>2049863.25</v>
      </c>
      <c r="Z172" s="591">
        <f t="shared" si="152"/>
        <v>0.98857364805076287</v>
      </c>
      <c r="AA172" s="592">
        <v>0.98857364805076287</v>
      </c>
      <c r="AB172" s="591">
        <f t="shared" si="153"/>
        <v>0</v>
      </c>
      <c r="AC172" s="593">
        <f t="shared" si="154"/>
        <v>0.98857364805076287</v>
      </c>
      <c r="AD172" s="625">
        <v>2049863.24</v>
      </c>
      <c r="AE172" s="22">
        <v>0</v>
      </c>
      <c r="AF172" s="22">
        <v>0</v>
      </c>
      <c r="AG172" s="22">
        <v>0</v>
      </c>
      <c r="AH172" s="606">
        <v>0</v>
      </c>
      <c r="AI172" s="594">
        <f t="shared" si="91"/>
        <v>2049863.24</v>
      </c>
      <c r="AJ172" s="332">
        <f t="shared" si="134"/>
        <v>2049863.24</v>
      </c>
      <c r="AK172" s="624">
        <f>SUM(AD172:AF172)</f>
        <v>2049863.24</v>
      </c>
      <c r="AL172" s="591">
        <f t="shared" si="155"/>
        <v>0.98857364322813068</v>
      </c>
      <c r="AM172" s="591">
        <v>0.98857364322813068</v>
      </c>
      <c r="AN172" s="591">
        <f t="shared" si="124"/>
        <v>0</v>
      </c>
      <c r="AO172" s="744">
        <f t="shared" si="156"/>
        <v>0.98857364322813068</v>
      </c>
      <c r="AP172" s="623"/>
      <c r="AQ172" s="745"/>
      <c r="AR172" s="745"/>
      <c r="AS172" s="745"/>
      <c r="AT172" s="331"/>
      <c r="AU172" s="745"/>
      <c r="AV172" s="745"/>
      <c r="AW172" s="746"/>
      <c r="AY172" s="747"/>
      <c r="AZ172" s="455"/>
      <c r="BA172" s="455"/>
      <c r="BB172" s="455"/>
      <c r="BC172" s="455"/>
    </row>
    <row r="173" spans="1:55" s="305" customFormat="1" ht="132" outlineLevel="1">
      <c r="A173" s="327" t="s">
        <v>328</v>
      </c>
      <c r="B173" s="328" t="s">
        <v>1224</v>
      </c>
      <c r="C173" s="329" t="s">
        <v>1106</v>
      </c>
      <c r="D173" s="329" t="s">
        <v>1097</v>
      </c>
      <c r="E173" s="754">
        <v>30013958</v>
      </c>
      <c r="F173" s="586">
        <f t="shared" si="147"/>
        <v>21093929.738231998</v>
      </c>
      <c r="G173" s="748">
        <v>30013958</v>
      </c>
      <c r="H173" s="22">
        <f t="shared" si="148"/>
        <v>21093929.738231998</v>
      </c>
      <c r="I173" s="748">
        <v>30013958</v>
      </c>
      <c r="J173" s="331">
        <f t="shared" si="149"/>
        <v>21093929.738231998</v>
      </c>
      <c r="K173" s="588" t="s">
        <v>885</v>
      </c>
      <c r="L173" s="588"/>
      <c r="M173" s="588"/>
      <c r="N173" s="331">
        <v>9171643</v>
      </c>
      <c r="O173" s="331">
        <f>N173</f>
        <v>9171643</v>
      </c>
      <c r="P173" s="331"/>
      <c r="Q173" s="317">
        <f t="shared" si="110"/>
        <v>30265572.738231998</v>
      </c>
      <c r="R173" s="589">
        <f t="shared" si="150"/>
        <v>1.4348001113977698</v>
      </c>
      <c r="S173" s="417">
        <v>27094729.390000001</v>
      </c>
      <c r="T173" s="417">
        <v>28834052.23</v>
      </c>
      <c r="U173" s="575">
        <f t="shared" si="121"/>
        <v>1.3669360137167474</v>
      </c>
      <c r="V173" s="592">
        <v>1.3669360137167474</v>
      </c>
      <c r="W173" s="575">
        <f t="shared" si="118"/>
        <v>0</v>
      </c>
      <c r="X173" s="612">
        <f t="shared" si="151"/>
        <v>0.95270135739332384</v>
      </c>
      <c r="Y173" s="586">
        <v>28834052.23</v>
      </c>
      <c r="Z173" s="591">
        <f t="shared" si="152"/>
        <v>1.3669360137167474</v>
      </c>
      <c r="AA173" s="592">
        <v>1.3669360137167474</v>
      </c>
      <c r="AB173" s="591">
        <f t="shared" si="153"/>
        <v>0</v>
      </c>
      <c r="AC173" s="593">
        <f t="shared" si="154"/>
        <v>0.95270135739332384</v>
      </c>
      <c r="AD173" s="625">
        <v>17340506.490000002</v>
      </c>
      <c r="AE173" s="22">
        <v>0</v>
      </c>
      <c r="AF173" s="22">
        <v>8374010.5</v>
      </c>
      <c r="AG173" s="22">
        <v>4098926.6499999799</v>
      </c>
      <c r="AH173" s="606">
        <v>479296.45999999996</v>
      </c>
      <c r="AI173" s="594">
        <f t="shared" si="91"/>
        <v>25235220.530000001</v>
      </c>
      <c r="AJ173" s="332">
        <f t="shared" si="134"/>
        <v>20960136.679999981</v>
      </c>
      <c r="AK173" s="624">
        <f>SUM(AD173:AF173)</f>
        <v>25714516.990000002</v>
      </c>
      <c r="AL173" s="591">
        <f t="shared" si="155"/>
        <v>1.2190481958130994</v>
      </c>
      <c r="AM173" s="591">
        <v>1.2076918704165174</v>
      </c>
      <c r="AN173" s="591">
        <f t="shared" si="124"/>
        <v>1.1356325396582045E-2</v>
      </c>
      <c r="AO173" s="744">
        <f t="shared" si="156"/>
        <v>0.84962928712454122</v>
      </c>
      <c r="AP173" s="623"/>
      <c r="AQ173" s="745"/>
      <c r="AR173" s="745"/>
      <c r="AS173" s="745"/>
      <c r="AT173" s="331"/>
      <c r="AU173" s="745"/>
      <c r="AV173" s="745"/>
      <c r="AW173" s="746"/>
      <c r="AY173" s="747"/>
      <c r="AZ173" s="455"/>
      <c r="BA173" s="455"/>
      <c r="BB173" s="455"/>
      <c r="BC173" s="455"/>
    </row>
    <row r="174" spans="1:55" s="305" customFormat="1" ht="82.5" outlineLevel="1">
      <c r="A174" s="327" t="s">
        <v>208</v>
      </c>
      <c r="B174" s="328" t="s">
        <v>1225</v>
      </c>
      <c r="C174" s="329" t="s">
        <v>1106</v>
      </c>
      <c r="D174" s="329" t="s">
        <v>1097</v>
      </c>
      <c r="E174" s="754">
        <v>2567033</v>
      </c>
      <c r="F174" s="586">
        <f t="shared" si="147"/>
        <v>1804121.0605319999</v>
      </c>
      <c r="G174" s="748">
        <v>2567033</v>
      </c>
      <c r="H174" s="22">
        <f t="shared" si="148"/>
        <v>1804121.0605319999</v>
      </c>
      <c r="I174" s="748">
        <v>2567033</v>
      </c>
      <c r="J174" s="331">
        <f t="shared" si="149"/>
        <v>1804121.0605319999</v>
      </c>
      <c r="K174" s="588" t="s">
        <v>885</v>
      </c>
      <c r="L174" s="588"/>
      <c r="M174" s="588"/>
      <c r="N174" s="331">
        <v>0</v>
      </c>
      <c r="O174" s="331">
        <v>0</v>
      </c>
      <c r="P174" s="331"/>
      <c r="Q174" s="317">
        <f t="shared" si="110"/>
        <v>1804121.0605319999</v>
      </c>
      <c r="R174" s="589">
        <f t="shared" si="150"/>
        <v>1</v>
      </c>
      <c r="S174" s="417">
        <v>1929225.18</v>
      </c>
      <c r="T174" s="417">
        <v>1752025.38</v>
      </c>
      <c r="U174" s="575">
        <f t="shared" si="121"/>
        <v>0.97112406607756241</v>
      </c>
      <c r="V174" s="592">
        <v>0.97112406607756241</v>
      </c>
      <c r="W174" s="575">
        <f t="shared" si="118"/>
        <v>0</v>
      </c>
      <c r="X174" s="612">
        <f t="shared" si="151"/>
        <v>0.97112406607756241</v>
      </c>
      <c r="Y174" s="586">
        <v>1752025.38</v>
      </c>
      <c r="Z174" s="591">
        <f t="shared" si="152"/>
        <v>0.97112406607756241</v>
      </c>
      <c r="AA174" s="592">
        <v>0.97112406607756241</v>
      </c>
      <c r="AB174" s="591">
        <f t="shared" si="153"/>
        <v>0</v>
      </c>
      <c r="AC174" s="593">
        <f t="shared" si="154"/>
        <v>0.97112406607756241</v>
      </c>
      <c r="AD174" s="625">
        <v>1578592.31</v>
      </c>
      <c r="AE174" s="22">
        <v>0</v>
      </c>
      <c r="AF174" s="22">
        <v>225236.38</v>
      </c>
      <c r="AG174" s="22">
        <v>183674.41</v>
      </c>
      <c r="AH174" s="606">
        <v>51806.35</v>
      </c>
      <c r="AI174" s="594">
        <f t="shared" si="91"/>
        <v>1752022.3399999999</v>
      </c>
      <c r="AJ174" s="332">
        <f t="shared" si="134"/>
        <v>1710460.3699999999</v>
      </c>
      <c r="AK174" s="624">
        <f>SUM(AD174:AF174)</f>
        <v>1803828.69</v>
      </c>
      <c r="AL174" s="591">
        <f t="shared" si="155"/>
        <v>0.9998379429527231</v>
      </c>
      <c r="AM174" s="591">
        <v>0.9998379429527231</v>
      </c>
      <c r="AN174" s="591">
        <f t="shared" si="124"/>
        <v>0</v>
      </c>
      <c r="AO174" s="744">
        <f t="shared" si="156"/>
        <v>0.9998379429527231</v>
      </c>
      <c r="AP174" s="623"/>
      <c r="AQ174" s="745"/>
      <c r="AR174" s="745"/>
      <c r="AS174" s="745"/>
      <c r="AT174" s="331"/>
      <c r="AU174" s="745"/>
      <c r="AV174" s="745"/>
      <c r="AW174" s="746"/>
      <c r="AY174" s="747"/>
      <c r="AZ174" s="455"/>
      <c r="BA174" s="455"/>
      <c r="BB174" s="455"/>
      <c r="BC174" s="455"/>
    </row>
    <row r="175" spans="1:55" s="741" customFormat="1" ht="49.5" outlineLevel="1">
      <c r="A175" s="14" t="s">
        <v>92</v>
      </c>
      <c r="B175" s="15" t="s">
        <v>1226</v>
      </c>
      <c r="C175" s="16" t="s">
        <v>1106</v>
      </c>
      <c r="D175" s="16" t="s">
        <v>823</v>
      </c>
      <c r="E175" s="614"/>
      <c r="F175" s="608">
        <f>F176+F179+F180</f>
        <v>145516627.32562798</v>
      </c>
      <c r="G175" s="588"/>
      <c r="H175" s="588">
        <f>H176+H179+H180</f>
        <v>145516627.32562798</v>
      </c>
      <c r="I175" s="588"/>
      <c r="J175" s="588">
        <f>J176+J179+J180</f>
        <v>145516627.32562798</v>
      </c>
      <c r="K175" s="588" t="s">
        <v>885</v>
      </c>
      <c r="L175" s="588"/>
      <c r="M175" s="588"/>
      <c r="N175" s="588">
        <f>N176+N179+N180</f>
        <v>10600000</v>
      </c>
      <c r="O175" s="588">
        <f>O176+O179+O180</f>
        <v>9456260</v>
      </c>
      <c r="P175" s="588"/>
      <c r="Q175" s="294">
        <f t="shared" si="110"/>
        <v>154972887.32562798</v>
      </c>
      <c r="R175" s="610">
        <f>Q175/J175</f>
        <v>1.0649840514708975</v>
      </c>
      <c r="S175" s="614">
        <v>126742575.48999999</v>
      </c>
      <c r="T175" s="614">
        <f>T176+T179+T180</f>
        <v>153639039.97</v>
      </c>
      <c r="U175" s="575">
        <f t="shared" si="121"/>
        <v>1.0558177631907053</v>
      </c>
      <c r="V175" s="575">
        <v>1.0558509442098696</v>
      </c>
      <c r="W175" s="575">
        <f t="shared" si="118"/>
        <v>-3.3181019164274517E-5</v>
      </c>
      <c r="X175" s="612">
        <f t="shared" si="151"/>
        <v>0.99139302765376425</v>
      </c>
      <c r="Y175" s="417">
        <f>Y176+Y179+Y180</f>
        <v>153616131.04000002</v>
      </c>
      <c r="Z175" s="575">
        <f t="shared" si="152"/>
        <v>1.0556603314908302</v>
      </c>
      <c r="AA175" s="749">
        <v>1.0556935125099942</v>
      </c>
      <c r="AB175" s="575">
        <f t="shared" si="153"/>
        <v>-3.3181019164052472E-5</v>
      </c>
      <c r="AC175" s="612">
        <f t="shared" si="154"/>
        <v>0.99124520224768642</v>
      </c>
      <c r="AD175" s="573">
        <f>AD176+AD179+AD180</f>
        <v>75472931.49000001</v>
      </c>
      <c r="AE175" s="573">
        <f t="shared" ref="AE175:AH175" si="157">AE176+AE179+AE180</f>
        <v>0</v>
      </c>
      <c r="AF175" s="573">
        <f t="shared" si="157"/>
        <v>38953699.480000004</v>
      </c>
      <c r="AG175" s="573">
        <f t="shared" si="157"/>
        <v>24881990.390000001</v>
      </c>
      <c r="AH175" s="573">
        <f t="shared" si="157"/>
        <v>41544.79</v>
      </c>
      <c r="AI175" s="499">
        <f t="shared" si="91"/>
        <v>114385086.17999999</v>
      </c>
      <c r="AJ175" s="294">
        <f t="shared" si="123"/>
        <v>100354921.88000001</v>
      </c>
      <c r="AK175" s="322">
        <f>AK176+AK179+AK180</f>
        <v>114426630.97</v>
      </c>
      <c r="AL175" s="575">
        <f t="shared" si="155"/>
        <v>0.78634746470548178</v>
      </c>
      <c r="AM175" s="575">
        <v>0.76267128423511976</v>
      </c>
      <c r="AN175" s="575">
        <f t="shared" si="124"/>
        <v>2.3676180470362018E-2</v>
      </c>
      <c r="AO175" s="740">
        <f t="shared" si="156"/>
        <v>0.73836548408346769</v>
      </c>
      <c r="AP175" s="623"/>
      <c r="AQ175" s="745"/>
      <c r="AR175" s="745"/>
      <c r="AS175" s="745"/>
      <c r="AT175" s="331"/>
      <c r="AU175" s="745"/>
      <c r="AV175" s="745"/>
      <c r="AW175" s="746"/>
      <c r="AY175" s="747"/>
      <c r="AZ175" s="753"/>
      <c r="BA175" s="753"/>
      <c r="BB175" s="753"/>
      <c r="BC175" s="753"/>
    </row>
    <row r="176" spans="1:55" s="741" customFormat="1" ht="49.5" outlineLevel="1">
      <c r="A176" s="19" t="s">
        <v>93</v>
      </c>
      <c r="B176" s="20" t="s">
        <v>1227</v>
      </c>
      <c r="C176" s="21" t="s">
        <v>1106</v>
      </c>
      <c r="D176" s="21" t="s">
        <v>823</v>
      </c>
      <c r="E176" s="622"/>
      <c r="F176" s="586">
        <f>F177+F178</f>
        <v>7472614.8346919995</v>
      </c>
      <c r="G176" s="331"/>
      <c r="H176" s="331">
        <f>H177+H178</f>
        <v>7472614.8346919995</v>
      </c>
      <c r="I176" s="331"/>
      <c r="J176" s="331">
        <f>J177+J178</f>
        <v>7472614.8346919995</v>
      </c>
      <c r="K176" s="588" t="s">
        <v>885</v>
      </c>
      <c r="L176" s="588"/>
      <c r="M176" s="588"/>
      <c r="N176" s="331">
        <f>N177+N178</f>
        <v>0</v>
      </c>
      <c r="O176" s="331">
        <f>O177+O178</f>
        <v>0</v>
      </c>
      <c r="P176" s="331"/>
      <c r="Q176" s="317">
        <f t="shared" si="110"/>
        <v>7472614.8346919995</v>
      </c>
      <c r="R176" s="589">
        <f t="shared" ref="R176:R191" si="158">Q176/J176</f>
        <v>1</v>
      </c>
      <c r="S176" s="757">
        <v>4912605.9099999992</v>
      </c>
      <c r="T176" s="757">
        <f>T177+T178</f>
        <v>6764127.2599999998</v>
      </c>
      <c r="U176" s="575">
        <f t="shared" si="121"/>
        <v>0.90518880065879892</v>
      </c>
      <c r="V176" s="591">
        <v>0.90583494529582531</v>
      </c>
      <c r="W176" s="575">
        <f t="shared" si="118"/>
        <v>-6.4614463702639124E-4</v>
      </c>
      <c r="X176" s="612">
        <f t="shared" si="151"/>
        <v>0.90518880065879892</v>
      </c>
      <c r="Y176" s="417">
        <f>Y177+Y178</f>
        <v>6741218.3300000001</v>
      </c>
      <c r="Z176" s="591">
        <f t="shared" si="152"/>
        <v>0.90212308263280838</v>
      </c>
      <c r="AA176" s="592">
        <v>0.90276922726983466</v>
      </c>
      <c r="AB176" s="591">
        <f t="shared" si="153"/>
        <v>-6.4614463702628022E-4</v>
      </c>
      <c r="AC176" s="593">
        <f t="shared" si="154"/>
        <v>0.90212308263280838</v>
      </c>
      <c r="AD176" s="620">
        <f>AD177+AD178</f>
        <v>3196985.1399999997</v>
      </c>
      <c r="AE176" s="620">
        <f t="shared" ref="AE176:AH176" si="159">AE177+AE178</f>
        <v>0</v>
      </c>
      <c r="AF176" s="620">
        <f t="shared" si="159"/>
        <v>1715619.4500000002</v>
      </c>
      <c r="AG176" s="620">
        <f t="shared" si="159"/>
        <v>1450430.66</v>
      </c>
      <c r="AH176" s="620">
        <f t="shared" si="159"/>
        <v>17455.57</v>
      </c>
      <c r="AI176" s="620">
        <f t="shared" si="91"/>
        <v>4895149.0199999996</v>
      </c>
      <c r="AJ176" s="332">
        <f t="shared" si="134"/>
        <v>4629960.2299999995</v>
      </c>
      <c r="AK176" s="331">
        <f>AK177+AK178</f>
        <v>4912604.59</v>
      </c>
      <c r="AL176" s="591">
        <f t="shared" si="155"/>
        <v>0.65741439893208198</v>
      </c>
      <c r="AM176" s="591">
        <v>0.65206550421661558</v>
      </c>
      <c r="AN176" s="591">
        <f t="shared" si="124"/>
        <v>5.3488947154664013E-3</v>
      </c>
      <c r="AO176" s="744">
        <f t="shared" si="156"/>
        <v>0.65741439893208198</v>
      </c>
      <c r="AP176" s="623"/>
      <c r="AQ176" s="745"/>
      <c r="AR176" s="745"/>
      <c r="AS176" s="745"/>
      <c r="AT176" s="331"/>
      <c r="AU176" s="745"/>
      <c r="AV176" s="745"/>
      <c r="AW176" s="746"/>
      <c r="AY176" s="747"/>
      <c r="AZ176" s="753"/>
      <c r="BA176" s="753"/>
      <c r="BB176" s="753"/>
      <c r="BC176" s="753"/>
    </row>
    <row r="177" spans="1:55" s="305" customFormat="1" ht="49.5" outlineLevel="1">
      <c r="A177" s="327" t="s">
        <v>1228</v>
      </c>
      <c r="B177" s="328" t="s">
        <v>1229</v>
      </c>
      <c r="C177" s="329" t="s">
        <v>1106</v>
      </c>
      <c r="D177" s="329" t="s">
        <v>823</v>
      </c>
      <c r="E177" s="754">
        <v>5055321</v>
      </c>
      <c r="F177" s="586">
        <f>E177*$E$2</f>
        <v>3552899.820084</v>
      </c>
      <c r="G177" s="22">
        <v>5055321</v>
      </c>
      <c r="H177" s="22">
        <f>G177*$G$2</f>
        <v>3552899.820084</v>
      </c>
      <c r="I177" s="748">
        <v>5055321</v>
      </c>
      <c r="J177" s="331">
        <f>I177*$I$2</f>
        <v>3552899.820084</v>
      </c>
      <c r="K177" s="588" t="s">
        <v>885</v>
      </c>
      <c r="L177" s="588"/>
      <c r="M177" s="588"/>
      <c r="N177" s="331">
        <v>0</v>
      </c>
      <c r="O177" s="331">
        <v>0</v>
      </c>
      <c r="P177" s="331"/>
      <c r="Q177" s="317">
        <f t="shared" si="110"/>
        <v>3552899.820084</v>
      </c>
      <c r="R177" s="589">
        <f t="shared" si="158"/>
        <v>1</v>
      </c>
      <c r="S177" s="417">
        <v>964776.95000000007</v>
      </c>
      <c r="T177" s="417">
        <v>2858187.4</v>
      </c>
      <c r="U177" s="575">
        <f t="shared" si="121"/>
        <v>0.80446608256250374</v>
      </c>
      <c r="V177" s="592">
        <v>0.80582508232171624</v>
      </c>
      <c r="W177" s="575">
        <f t="shared" si="118"/>
        <v>-1.358999759212498E-3</v>
      </c>
      <c r="X177" s="612">
        <f t="shared" si="151"/>
        <v>0.80446608256250374</v>
      </c>
      <c r="Y177" s="586">
        <v>2835278.47</v>
      </c>
      <c r="Z177" s="591">
        <f t="shared" si="152"/>
        <v>0.79801812985905318</v>
      </c>
      <c r="AA177" s="591">
        <v>0.79937712961826546</v>
      </c>
      <c r="AB177" s="591">
        <f t="shared" si="153"/>
        <v>-1.358999759212276E-3</v>
      </c>
      <c r="AC177" s="593">
        <f t="shared" si="154"/>
        <v>0.79801812985905318</v>
      </c>
      <c r="AD177" s="625">
        <v>688028.61</v>
      </c>
      <c r="AE177" s="22">
        <v>0</v>
      </c>
      <c r="AF177" s="22">
        <v>276747.11</v>
      </c>
      <c r="AG177" s="22">
        <v>52696.03</v>
      </c>
      <c r="AH177" s="606">
        <v>14708.86</v>
      </c>
      <c r="AI177" s="594">
        <f t="shared" si="91"/>
        <v>950066.86</v>
      </c>
      <c r="AJ177" s="332">
        <f t="shared" si="134"/>
        <v>726015.78</v>
      </c>
      <c r="AK177" s="624">
        <f>SUM(AD177:AF177)</f>
        <v>964775.72</v>
      </c>
      <c r="AL177" s="591">
        <f t="shared" si="155"/>
        <v>0.27154599590629325</v>
      </c>
      <c r="AM177" s="591">
        <v>0.26029596578327813</v>
      </c>
      <c r="AN177" s="591">
        <f t="shared" si="124"/>
        <v>1.125003012301512E-2</v>
      </c>
      <c r="AO177" s="744">
        <f t="shared" si="156"/>
        <v>0.27154599590629325</v>
      </c>
      <c r="AP177" s="623"/>
      <c r="AQ177" s="745"/>
      <c r="AR177" s="745"/>
      <c r="AS177" s="745"/>
      <c r="AT177" s="331"/>
      <c r="AU177" s="745"/>
      <c r="AV177" s="745"/>
      <c r="AW177" s="746"/>
      <c r="AY177" s="747"/>
      <c r="AZ177" s="455"/>
      <c r="BA177" s="455"/>
      <c r="BB177" s="455"/>
      <c r="BC177" s="455"/>
    </row>
    <row r="178" spans="1:55" s="305" customFormat="1" ht="49.5" outlineLevel="1">
      <c r="A178" s="327" t="s">
        <v>197</v>
      </c>
      <c r="B178" s="328" t="s">
        <v>1230</v>
      </c>
      <c r="C178" s="329" t="s">
        <v>1106</v>
      </c>
      <c r="D178" s="329" t="s">
        <v>823</v>
      </c>
      <c r="E178" s="759">
        <v>5577252</v>
      </c>
      <c r="F178" s="639">
        <f>E178*$E$2</f>
        <v>3919715.0146079999</v>
      </c>
      <c r="G178" s="22">
        <v>5577252</v>
      </c>
      <c r="H178" s="22">
        <f>G178*$G$2</f>
        <v>3919715.0146079999</v>
      </c>
      <c r="I178" s="748">
        <v>5577252</v>
      </c>
      <c r="J178" s="331">
        <f>I178*$I$2</f>
        <v>3919715.0146079999</v>
      </c>
      <c r="K178" s="588" t="s">
        <v>885</v>
      </c>
      <c r="L178" s="588"/>
      <c r="M178" s="588"/>
      <c r="N178" s="331">
        <v>0</v>
      </c>
      <c r="O178" s="331">
        <v>0</v>
      </c>
      <c r="P178" s="331"/>
      <c r="Q178" s="317">
        <f t="shared" si="110"/>
        <v>3919715.0146079999</v>
      </c>
      <c r="R178" s="589">
        <f t="shared" si="158"/>
        <v>1</v>
      </c>
      <c r="S178" s="417">
        <v>3947828.9599999995</v>
      </c>
      <c r="T178" s="417">
        <v>3905939.86</v>
      </c>
      <c r="U178" s="575">
        <f t="shared" si="121"/>
        <v>0.99648567445422365</v>
      </c>
      <c r="V178" s="592">
        <v>0.99648567445422365</v>
      </c>
      <c r="W178" s="575">
        <f t="shared" si="118"/>
        <v>0</v>
      </c>
      <c r="X178" s="612">
        <f t="shared" si="151"/>
        <v>0.99648567445422365</v>
      </c>
      <c r="Y178" s="586">
        <v>3905939.86</v>
      </c>
      <c r="Z178" s="591">
        <f t="shared" si="152"/>
        <v>0.99648567445422365</v>
      </c>
      <c r="AA178" s="591">
        <v>0.99648567445422365</v>
      </c>
      <c r="AB178" s="591">
        <f t="shared" si="153"/>
        <v>0</v>
      </c>
      <c r="AC178" s="593">
        <f t="shared" si="154"/>
        <v>0.99648567445422365</v>
      </c>
      <c r="AD178" s="625">
        <v>2508956.5299999998</v>
      </c>
      <c r="AE178" s="22">
        <v>0</v>
      </c>
      <c r="AF178" s="22">
        <v>1438872.34</v>
      </c>
      <c r="AG178" s="22">
        <v>1397734.63</v>
      </c>
      <c r="AH178" s="606">
        <v>2746.71</v>
      </c>
      <c r="AI178" s="594">
        <f t="shared" si="91"/>
        <v>3945082.16</v>
      </c>
      <c r="AJ178" s="332">
        <f t="shared" si="134"/>
        <v>3903944.4499999997</v>
      </c>
      <c r="AK178" s="624">
        <f>SUM(AD178:AF178)</f>
        <v>3947828.87</v>
      </c>
      <c r="AL178" s="591">
        <f t="shared" si="155"/>
        <v>1.0071724233234369</v>
      </c>
      <c r="AM178" s="591">
        <v>1.0071724233234369</v>
      </c>
      <c r="AN178" s="591">
        <f t="shared" si="124"/>
        <v>0</v>
      </c>
      <c r="AO178" s="744">
        <f t="shared" si="156"/>
        <v>1.0071724233234369</v>
      </c>
      <c r="AP178" s="623"/>
      <c r="AQ178" s="745"/>
      <c r="AR178" s="745"/>
      <c r="AS178" s="745"/>
      <c r="AT178" s="331"/>
      <c r="AU178" s="745"/>
      <c r="AV178" s="745"/>
      <c r="AW178" s="746"/>
      <c r="AY178" s="747"/>
      <c r="AZ178" s="455"/>
      <c r="BA178" s="455"/>
      <c r="BB178" s="455"/>
      <c r="BC178" s="455"/>
    </row>
    <row r="179" spans="1:55" s="305" customFormat="1" ht="49.5" outlineLevel="1">
      <c r="A179" s="327" t="s">
        <v>157</v>
      </c>
      <c r="B179" s="328" t="s">
        <v>1231</v>
      </c>
      <c r="C179" s="329" t="s">
        <v>1106</v>
      </c>
      <c r="D179" s="329" t="s">
        <v>823</v>
      </c>
      <c r="E179" s="754">
        <v>13555194</v>
      </c>
      <c r="F179" s="586">
        <f>E179*$E$2</f>
        <v>9526644.5639759991</v>
      </c>
      <c r="G179" s="22">
        <v>13555194</v>
      </c>
      <c r="H179" s="22">
        <f>G179*$G$2</f>
        <v>9526644.5639759991</v>
      </c>
      <c r="I179" s="748">
        <v>13555194</v>
      </c>
      <c r="J179" s="331">
        <f>I179*$I$2</f>
        <v>9526644.5639759991</v>
      </c>
      <c r="K179" s="588" t="s">
        <v>885</v>
      </c>
      <c r="L179" s="588"/>
      <c r="M179" s="588"/>
      <c r="N179" s="331">
        <v>10600000</v>
      </c>
      <c r="O179" s="331">
        <f>N179*0.8921</f>
        <v>9456260</v>
      </c>
      <c r="P179" s="331"/>
      <c r="Q179" s="317">
        <f t="shared" si="110"/>
        <v>18982904.563975997</v>
      </c>
      <c r="R179" s="589">
        <f t="shared" si="158"/>
        <v>1.9926118200901342</v>
      </c>
      <c r="S179" s="417">
        <v>14087737.039999999</v>
      </c>
      <c r="T179" s="417">
        <v>18982904</v>
      </c>
      <c r="U179" s="575">
        <f t="shared" si="121"/>
        <v>1.9926117608902769</v>
      </c>
      <c r="V179" s="592">
        <v>1.9926117608902769</v>
      </c>
      <c r="W179" s="575">
        <f t="shared" si="118"/>
        <v>0</v>
      </c>
      <c r="X179" s="612">
        <f t="shared" si="151"/>
        <v>0.99999997029032117</v>
      </c>
      <c r="Y179" s="586">
        <v>18982904</v>
      </c>
      <c r="Z179" s="591">
        <f t="shared" si="152"/>
        <v>1.9926117608902769</v>
      </c>
      <c r="AA179" s="592">
        <v>1.9926117608902769</v>
      </c>
      <c r="AB179" s="591">
        <f t="shared" si="153"/>
        <v>0</v>
      </c>
      <c r="AC179" s="593">
        <f t="shared" si="154"/>
        <v>0.99999997029032117</v>
      </c>
      <c r="AD179" s="625">
        <v>11981062.65</v>
      </c>
      <c r="AE179" s="22">
        <v>0</v>
      </c>
      <c r="AF179" s="22">
        <v>0</v>
      </c>
      <c r="AG179" s="22">
        <v>0</v>
      </c>
      <c r="AH179" s="606">
        <v>0</v>
      </c>
      <c r="AI179" s="594">
        <f t="shared" si="91"/>
        <v>11981062.65</v>
      </c>
      <c r="AJ179" s="332">
        <f t="shared" si="134"/>
        <v>11981062.65</v>
      </c>
      <c r="AK179" s="624">
        <f>SUM(AD179:AF179)</f>
        <v>11981062.65</v>
      </c>
      <c r="AL179" s="591">
        <f t="shared" si="155"/>
        <v>1.2576372057907066</v>
      </c>
      <c r="AM179" s="591">
        <v>1.168437548524881</v>
      </c>
      <c r="AN179" s="591">
        <f t="shared" si="124"/>
        <v>8.9199657265825572E-2</v>
      </c>
      <c r="AO179" s="744">
        <f t="shared" si="156"/>
        <v>0.63115012824415473</v>
      </c>
      <c r="AP179" s="623"/>
      <c r="AQ179" s="745"/>
      <c r="AR179" s="745"/>
      <c r="AS179" s="745"/>
      <c r="AT179" s="331"/>
      <c r="AU179" s="745"/>
      <c r="AV179" s="745"/>
      <c r="AW179" s="746"/>
      <c r="AY179" s="747"/>
      <c r="AZ179" s="455"/>
      <c r="BA179" s="455"/>
      <c r="BB179" s="455"/>
      <c r="BC179" s="455"/>
    </row>
    <row r="180" spans="1:55" s="741" customFormat="1" ht="66" outlineLevel="1">
      <c r="A180" s="19" t="s">
        <v>94</v>
      </c>
      <c r="B180" s="20" t="s">
        <v>1232</v>
      </c>
      <c r="C180" s="21" t="s">
        <v>1106</v>
      </c>
      <c r="D180" s="21" t="s">
        <v>823</v>
      </c>
      <c r="E180" s="622"/>
      <c r="F180" s="586">
        <f>F181+F182</f>
        <v>128517367.92695999</v>
      </c>
      <c r="G180" s="331"/>
      <c r="H180" s="331">
        <f>H181+H182</f>
        <v>128517367.92695999</v>
      </c>
      <c r="I180" s="331"/>
      <c r="J180" s="331">
        <f>J181+J182</f>
        <v>128517367.92695999</v>
      </c>
      <c r="K180" s="588" t="s">
        <v>885</v>
      </c>
      <c r="L180" s="588"/>
      <c r="M180" s="588"/>
      <c r="N180" s="331">
        <f>N181+N182</f>
        <v>0</v>
      </c>
      <c r="O180" s="331">
        <f>O181+O182</f>
        <v>0</v>
      </c>
      <c r="P180" s="331"/>
      <c r="Q180" s="317">
        <f t="shared" si="110"/>
        <v>128517367.92695999</v>
      </c>
      <c r="R180" s="589">
        <f t="shared" si="158"/>
        <v>1</v>
      </c>
      <c r="S180" s="757">
        <v>107742232.53999999</v>
      </c>
      <c r="T180" s="757">
        <f>T181+T182</f>
        <v>127892008.71000001</v>
      </c>
      <c r="U180" s="575">
        <f t="shared" si="121"/>
        <v>0.99513404898460578</v>
      </c>
      <c r="V180" s="591">
        <v>0.99513404898460578</v>
      </c>
      <c r="W180" s="575">
        <f t="shared" si="118"/>
        <v>0</v>
      </c>
      <c r="X180" s="612">
        <f t="shared" si="151"/>
        <v>0.99513404898460578</v>
      </c>
      <c r="Y180" s="417">
        <f>Y181+Y182</f>
        <v>127892008.71000001</v>
      </c>
      <c r="Z180" s="591">
        <f t="shared" si="152"/>
        <v>0.99513404898460578</v>
      </c>
      <c r="AA180" s="592">
        <v>0.99513404898460578</v>
      </c>
      <c r="AB180" s="591">
        <f t="shared" si="153"/>
        <v>0</v>
      </c>
      <c r="AC180" s="593">
        <f t="shared" si="154"/>
        <v>0.99513404898460578</v>
      </c>
      <c r="AD180" s="619">
        <f>AD181+AD182</f>
        <v>60294883.700000003</v>
      </c>
      <c r="AE180" s="619">
        <f t="shared" ref="AE180:AH180" si="160">AE181+AE182</f>
        <v>0</v>
      </c>
      <c r="AF180" s="619">
        <f t="shared" si="160"/>
        <v>37238080.030000001</v>
      </c>
      <c r="AG180" s="619">
        <f t="shared" si="160"/>
        <v>23431559.73</v>
      </c>
      <c r="AH180" s="619">
        <f t="shared" si="160"/>
        <v>24089.22</v>
      </c>
      <c r="AI180" s="620">
        <f t="shared" si="91"/>
        <v>97508874.510000005</v>
      </c>
      <c r="AJ180" s="332">
        <f t="shared" si="134"/>
        <v>83702354.210000008</v>
      </c>
      <c r="AK180" s="331">
        <f>AK181+AK182</f>
        <v>97532963.730000004</v>
      </c>
      <c r="AL180" s="591">
        <f t="shared" si="155"/>
        <v>0.75890881756488127</v>
      </c>
      <c r="AM180" s="591">
        <v>0.73902407893988564</v>
      </c>
      <c r="AN180" s="591">
        <f t="shared" si="124"/>
        <v>1.9884738624995624E-2</v>
      </c>
      <c r="AO180" s="744">
        <f t="shared" si="156"/>
        <v>0.75890881756488127</v>
      </c>
      <c r="AP180" s="623"/>
      <c r="AQ180" s="745"/>
      <c r="AR180" s="745"/>
      <c r="AS180" s="745"/>
      <c r="AT180" s="331"/>
      <c r="AU180" s="745"/>
      <c r="AV180" s="745"/>
      <c r="AW180" s="746"/>
      <c r="AY180" s="747"/>
      <c r="AZ180" s="753"/>
      <c r="BA180" s="753"/>
      <c r="BB180" s="753"/>
      <c r="BC180" s="753"/>
    </row>
    <row r="181" spans="1:55" s="305" customFormat="1" ht="49.5" outlineLevel="1">
      <c r="A181" s="327" t="s">
        <v>159</v>
      </c>
      <c r="B181" s="328" t="s">
        <v>1233</v>
      </c>
      <c r="C181" s="329" t="s">
        <v>1106</v>
      </c>
      <c r="D181" s="329" t="s">
        <v>823</v>
      </c>
      <c r="E181" s="759">
        <v>171114813</v>
      </c>
      <c r="F181" s="639">
        <f>E181*$E$2</f>
        <v>120260175.035652</v>
      </c>
      <c r="G181" s="22">
        <v>171114813</v>
      </c>
      <c r="H181" s="22">
        <f>G181*$G$2</f>
        <v>120260175.035652</v>
      </c>
      <c r="I181" s="748">
        <v>171114813</v>
      </c>
      <c r="J181" s="331">
        <f>I181*$I$2</f>
        <v>120260175.035652</v>
      </c>
      <c r="K181" s="588" t="s">
        <v>885</v>
      </c>
      <c r="L181" s="588"/>
      <c r="M181" s="588"/>
      <c r="N181" s="331">
        <v>0</v>
      </c>
      <c r="O181" s="331">
        <v>0</v>
      </c>
      <c r="P181" s="331"/>
      <c r="Q181" s="317">
        <f t="shared" si="110"/>
        <v>120260175.035652</v>
      </c>
      <c r="R181" s="589">
        <f t="shared" si="158"/>
        <v>1</v>
      </c>
      <c r="S181" s="417">
        <v>98027888.409999996</v>
      </c>
      <c r="T181" s="417">
        <v>119634816.29000001</v>
      </c>
      <c r="U181" s="575">
        <f t="shared" si="121"/>
        <v>0.99479995147631706</v>
      </c>
      <c r="V181" s="592">
        <v>0.99479995147631706</v>
      </c>
      <c r="W181" s="575">
        <f t="shared" si="118"/>
        <v>0</v>
      </c>
      <c r="X181" s="612">
        <f t="shared" si="151"/>
        <v>0.99479995147631706</v>
      </c>
      <c r="Y181" s="586">
        <v>119634816.29000001</v>
      </c>
      <c r="Z181" s="591">
        <f t="shared" si="152"/>
        <v>0.99479995147631706</v>
      </c>
      <c r="AA181" s="592">
        <v>0.99479995147631706</v>
      </c>
      <c r="AB181" s="591">
        <f t="shared" si="153"/>
        <v>0</v>
      </c>
      <c r="AC181" s="593">
        <f t="shared" si="154"/>
        <v>0.99479995147631706</v>
      </c>
      <c r="AD181" s="625">
        <v>53465691.280000001</v>
      </c>
      <c r="AE181" s="22">
        <v>0</v>
      </c>
      <c r="AF181" s="22">
        <v>35810080.030000001</v>
      </c>
      <c r="AG181" s="22">
        <v>22003559.73</v>
      </c>
      <c r="AH181" s="606">
        <v>24089.22</v>
      </c>
      <c r="AI181" s="594">
        <f t="shared" si="91"/>
        <v>89251682.090000004</v>
      </c>
      <c r="AJ181" s="332">
        <f t="shared" si="134"/>
        <v>75445161.790000007</v>
      </c>
      <c r="AK181" s="624">
        <f>SUM(AD181:AF181)</f>
        <v>89275771.310000002</v>
      </c>
      <c r="AL181" s="591">
        <f t="shared" si="155"/>
        <v>0.74235524173762057</v>
      </c>
      <c r="AM181" s="591">
        <v>0.7211051955835851</v>
      </c>
      <c r="AN181" s="591">
        <f t="shared" si="124"/>
        <v>2.1250046154035473E-2</v>
      </c>
      <c r="AO181" s="744">
        <f t="shared" si="156"/>
        <v>0.74235524173762057</v>
      </c>
      <c r="AP181" s="623"/>
      <c r="AQ181" s="745"/>
      <c r="AR181" s="745"/>
      <c r="AS181" s="745"/>
      <c r="AT181" s="331"/>
      <c r="AU181" s="745"/>
      <c r="AV181" s="745"/>
      <c r="AW181" s="746"/>
      <c r="AY181" s="747"/>
      <c r="AZ181" s="455"/>
      <c r="BA181" s="455"/>
      <c r="BB181" s="455"/>
      <c r="BC181" s="455"/>
    </row>
    <row r="182" spans="1:55" s="305" customFormat="1" ht="66" outlineLevel="1">
      <c r="A182" s="327" t="s">
        <v>160</v>
      </c>
      <c r="B182" s="328" t="s">
        <v>1234</v>
      </c>
      <c r="C182" s="329" t="s">
        <v>1106</v>
      </c>
      <c r="D182" s="329" t="s">
        <v>823</v>
      </c>
      <c r="E182" s="754">
        <v>11748927</v>
      </c>
      <c r="F182" s="586">
        <f>E182*$E$2</f>
        <v>8257192.8913079994</v>
      </c>
      <c r="G182" s="748">
        <v>11748927</v>
      </c>
      <c r="H182" s="22">
        <f>G182*$G$2</f>
        <v>8257192.8913079994</v>
      </c>
      <c r="I182" s="748">
        <v>11748927</v>
      </c>
      <c r="J182" s="331">
        <f>I182*$I$2</f>
        <v>8257192.8913079994</v>
      </c>
      <c r="K182" s="588" t="s">
        <v>885</v>
      </c>
      <c r="L182" s="588"/>
      <c r="M182" s="588"/>
      <c r="N182" s="331">
        <v>0</v>
      </c>
      <c r="O182" s="331">
        <v>0</v>
      </c>
      <c r="P182" s="331"/>
      <c r="Q182" s="317">
        <f t="shared" si="110"/>
        <v>8257192.8913079994</v>
      </c>
      <c r="R182" s="589">
        <f t="shared" si="158"/>
        <v>1</v>
      </c>
      <c r="S182" s="417">
        <v>9714344.129999999</v>
      </c>
      <c r="T182" s="417">
        <v>8257192.4199999999</v>
      </c>
      <c r="U182" s="575">
        <f t="shared" si="121"/>
        <v>0.99999994292152239</v>
      </c>
      <c r="V182" s="592">
        <v>0.99999994292152239</v>
      </c>
      <c r="W182" s="575">
        <f t="shared" si="118"/>
        <v>0</v>
      </c>
      <c r="X182" s="612">
        <f t="shared" si="151"/>
        <v>0.99999994292152239</v>
      </c>
      <c r="Y182" s="586">
        <v>8257192.4199999999</v>
      </c>
      <c r="Z182" s="591">
        <f t="shared" si="152"/>
        <v>0.99999994292152239</v>
      </c>
      <c r="AA182" s="591">
        <v>0.99999994292152239</v>
      </c>
      <c r="AB182" s="591">
        <f t="shared" si="153"/>
        <v>0</v>
      </c>
      <c r="AC182" s="593">
        <f t="shared" si="154"/>
        <v>0.99999994292152239</v>
      </c>
      <c r="AD182" s="625">
        <v>6829192.4199999999</v>
      </c>
      <c r="AE182" s="22">
        <v>0</v>
      </c>
      <c r="AF182" s="22">
        <v>1428000</v>
      </c>
      <c r="AG182" s="22">
        <v>1428000</v>
      </c>
      <c r="AH182" s="606">
        <v>0</v>
      </c>
      <c r="AI182" s="594">
        <f t="shared" si="91"/>
        <v>8257192.4199999999</v>
      </c>
      <c r="AJ182" s="332">
        <f t="shared" si="134"/>
        <v>8257192.4199999999</v>
      </c>
      <c r="AK182" s="624">
        <f>SUM(AD182:AF182)</f>
        <v>8257192.4199999999</v>
      </c>
      <c r="AL182" s="591">
        <f t="shared" si="155"/>
        <v>0.99999994292152239</v>
      </c>
      <c r="AM182" s="591">
        <v>0.99999994292152239</v>
      </c>
      <c r="AN182" s="591">
        <f t="shared" si="124"/>
        <v>0</v>
      </c>
      <c r="AO182" s="744">
        <f t="shared" si="156"/>
        <v>0.99999994292152239</v>
      </c>
      <c r="AP182" s="623"/>
      <c r="AQ182" s="745"/>
      <c r="AR182" s="745"/>
      <c r="AS182" s="745"/>
      <c r="AT182" s="331"/>
      <c r="AU182" s="745"/>
      <c r="AV182" s="745"/>
      <c r="AW182" s="746"/>
      <c r="AY182" s="747"/>
      <c r="AZ182" s="455"/>
      <c r="BA182" s="455"/>
      <c r="BB182" s="455"/>
      <c r="BC182" s="455"/>
    </row>
    <row r="183" spans="1:55" s="741" customFormat="1" ht="82.5">
      <c r="A183" s="14" t="s">
        <v>95</v>
      </c>
      <c r="B183" s="15" t="s">
        <v>1235</v>
      </c>
      <c r="C183" s="16" t="s">
        <v>1106</v>
      </c>
      <c r="D183" s="16" t="s">
        <v>131</v>
      </c>
      <c r="E183" s="614"/>
      <c r="F183" s="608">
        <f>F184+F192</f>
        <v>359266842.01624799</v>
      </c>
      <c r="G183" s="588"/>
      <c r="H183" s="588">
        <f>H184+H192</f>
        <v>359266842.01624799</v>
      </c>
      <c r="I183" s="588"/>
      <c r="J183" s="588">
        <f>J184+J192</f>
        <v>359266842.01624799</v>
      </c>
      <c r="K183" s="588" t="s">
        <v>885</v>
      </c>
      <c r="L183" s="588"/>
      <c r="M183" s="588"/>
      <c r="N183" s="588">
        <f>N184+N192</f>
        <v>30966017</v>
      </c>
      <c r="O183" s="588">
        <f>O184+O192</f>
        <v>30966017</v>
      </c>
      <c r="P183" s="588"/>
      <c r="Q183" s="294">
        <f t="shared" si="110"/>
        <v>390232859.01624799</v>
      </c>
      <c r="R183" s="610">
        <f t="shared" si="158"/>
        <v>1.0861922487091074</v>
      </c>
      <c r="S183" s="614">
        <v>295915395.46999997</v>
      </c>
      <c r="T183" s="614">
        <f>T184+T192</f>
        <v>362749078.39999998</v>
      </c>
      <c r="U183" s="575">
        <f t="shared" si="121"/>
        <v>1.0096926183452091</v>
      </c>
      <c r="V183" s="575">
        <v>1.0455577861343848</v>
      </c>
      <c r="W183" s="575">
        <f t="shared" si="118"/>
        <v>-3.58651677891757E-2</v>
      </c>
      <c r="X183" s="612">
        <f t="shared" si="151"/>
        <v>0.92957081911161232</v>
      </c>
      <c r="Y183" s="614">
        <f>Y184+Y192</f>
        <v>360968828.39999998</v>
      </c>
      <c r="Z183" s="575">
        <f t="shared" si="152"/>
        <v>1.0047373878819439</v>
      </c>
      <c r="AA183" s="749">
        <v>1.0455577861343848</v>
      </c>
      <c r="AB183" s="575">
        <f t="shared" si="153"/>
        <v>-4.0820398252440881E-2</v>
      </c>
      <c r="AC183" s="612">
        <f t="shared" si="154"/>
        <v>0.92500879938706149</v>
      </c>
      <c r="AD183" s="573">
        <f>AD184+AD192</f>
        <v>203017818.70000002</v>
      </c>
      <c r="AE183" s="573">
        <f t="shared" ref="AE183:AH183" si="161">AE184+AE192</f>
        <v>0</v>
      </c>
      <c r="AF183" s="573">
        <f t="shared" si="161"/>
        <v>39179283.68</v>
      </c>
      <c r="AG183" s="573">
        <f t="shared" si="161"/>
        <v>20171489.299999967</v>
      </c>
      <c r="AH183" s="573">
        <f t="shared" si="161"/>
        <v>2407178.8600000003</v>
      </c>
      <c r="AI183" s="499">
        <f t="shared" si="91"/>
        <v>239789923.52000001</v>
      </c>
      <c r="AJ183" s="322">
        <f t="shared" ref="AJ183:AJ202" si="162">AD183+AE183+AG183</f>
        <v>223189308</v>
      </c>
      <c r="AK183" s="615">
        <f>SUM(AD183:AF183)</f>
        <v>242197102.38000003</v>
      </c>
      <c r="AL183" s="575">
        <f t="shared" si="155"/>
        <v>0.67414265402496165</v>
      </c>
      <c r="AM183" s="575">
        <v>0.64762921202028811</v>
      </c>
      <c r="AN183" s="575">
        <f t="shared" si="124"/>
        <v>2.6513442004673538E-2</v>
      </c>
      <c r="AO183" s="740">
        <f t="shared" si="156"/>
        <v>0.62064763841405712</v>
      </c>
      <c r="AP183" s="623"/>
      <c r="AQ183" s="745"/>
      <c r="AR183" s="745"/>
      <c r="AS183" s="745"/>
      <c r="AT183" s="331"/>
      <c r="AU183" s="745"/>
      <c r="AV183" s="745"/>
      <c r="AW183" s="746"/>
      <c r="AY183" s="747"/>
      <c r="AZ183" s="753"/>
      <c r="BA183" s="753"/>
      <c r="BB183" s="753"/>
      <c r="BC183" s="753"/>
    </row>
    <row r="184" spans="1:55" s="741" customFormat="1" ht="82.5" outlineLevel="1">
      <c r="A184" s="14" t="s">
        <v>96</v>
      </c>
      <c r="B184" s="15" t="s">
        <v>1236</v>
      </c>
      <c r="C184" s="16" t="s">
        <v>1106</v>
      </c>
      <c r="D184" s="16" t="s">
        <v>1237</v>
      </c>
      <c r="E184" s="614"/>
      <c r="F184" s="608">
        <f>F185+F186+F187+F190+F191</f>
        <v>231383309.82435599</v>
      </c>
      <c r="G184" s="588"/>
      <c r="H184" s="588">
        <f>H185+H186+H187+H190+H191</f>
        <v>231383309.82435599</v>
      </c>
      <c r="I184" s="588"/>
      <c r="J184" s="588">
        <f>J185+J186+J187+J190+J191</f>
        <v>231383309.82435599</v>
      </c>
      <c r="K184" s="588" t="s">
        <v>885</v>
      </c>
      <c r="L184" s="588"/>
      <c r="M184" s="588"/>
      <c r="N184" s="588">
        <f>N185+N186+N187+N190+N191</f>
        <v>21295426</v>
      </c>
      <c r="O184" s="588">
        <f>O185+O186+O187+O190+O191</f>
        <v>21295426</v>
      </c>
      <c r="P184" s="588"/>
      <c r="Q184" s="294">
        <f t="shared" si="110"/>
        <v>252678735.82435599</v>
      </c>
      <c r="R184" s="610">
        <f t="shared" si="158"/>
        <v>1.0920352726225822</v>
      </c>
      <c r="S184" s="614">
        <v>210213380.56999996</v>
      </c>
      <c r="T184" s="614">
        <f>T185+T186+T187+T190+T191</f>
        <v>235402092.58999997</v>
      </c>
      <c r="U184" s="575">
        <f t="shared" si="121"/>
        <v>1.0173685075587113</v>
      </c>
      <c r="V184" s="575">
        <v>1.0886435643141839</v>
      </c>
      <c r="W184" s="575">
        <f t="shared" si="118"/>
        <v>-7.1275056755472521E-2</v>
      </c>
      <c r="X184" s="612">
        <f t="shared" si="151"/>
        <v>0.9316260500592124</v>
      </c>
      <c r="Y184" s="614">
        <f>Y185+Y186+Y187+Y190+Y191</f>
        <v>235402092.58999997</v>
      </c>
      <c r="Z184" s="575">
        <f t="shared" si="152"/>
        <v>1.0173685075587113</v>
      </c>
      <c r="AA184" s="749">
        <v>1.0886435643141839</v>
      </c>
      <c r="AB184" s="575">
        <f t="shared" si="153"/>
        <v>-7.1275056755472521E-2</v>
      </c>
      <c r="AC184" s="612">
        <f t="shared" si="154"/>
        <v>0.9316260500592124</v>
      </c>
      <c r="AD184" s="573">
        <f>AD185+AD186+AD187+AD190+AD191</f>
        <v>147700202.14000002</v>
      </c>
      <c r="AE184" s="573">
        <f t="shared" ref="AE184:AH184" si="163">AE185+AE186+AE187+AE190+AE191</f>
        <v>0</v>
      </c>
      <c r="AF184" s="573">
        <f t="shared" si="163"/>
        <v>29378370.049999997</v>
      </c>
      <c r="AG184" s="573">
        <f t="shared" si="163"/>
        <v>10514160.119999966</v>
      </c>
      <c r="AH184" s="573">
        <f t="shared" si="163"/>
        <v>2257882.37</v>
      </c>
      <c r="AI184" s="499">
        <f t="shared" si="91"/>
        <v>174820689.81999999</v>
      </c>
      <c r="AJ184" s="322">
        <f t="shared" si="162"/>
        <v>158214362.25999999</v>
      </c>
      <c r="AK184" s="17">
        <f>AK185+AK186+AK187+AK190+AK191</f>
        <v>177078572.19</v>
      </c>
      <c r="AL184" s="575">
        <f t="shared" si="155"/>
        <v>0.76530399847949737</v>
      </c>
      <c r="AM184" s="575">
        <v>0.73907425686759343</v>
      </c>
      <c r="AN184" s="575">
        <f t="shared" si="124"/>
        <v>2.6229741611903945E-2</v>
      </c>
      <c r="AO184" s="740">
        <f t="shared" si="156"/>
        <v>0.70080520077119679</v>
      </c>
      <c r="AP184" s="623"/>
      <c r="AQ184" s="745"/>
      <c r="AR184" s="745"/>
      <c r="AS184" s="745"/>
      <c r="AT184" s="331"/>
      <c r="AU184" s="745"/>
      <c r="AV184" s="745"/>
      <c r="AW184" s="746"/>
      <c r="AY184" s="747"/>
      <c r="AZ184" s="753"/>
      <c r="BA184" s="753"/>
      <c r="BB184" s="753"/>
      <c r="BC184" s="753"/>
    </row>
    <row r="185" spans="1:55" s="785" customFormat="1" ht="66" outlineLevel="1">
      <c r="A185" s="760" t="s">
        <v>1238</v>
      </c>
      <c r="B185" s="761" t="s">
        <v>1239</v>
      </c>
      <c r="C185" s="762" t="s">
        <v>1106</v>
      </c>
      <c r="D185" s="762" t="s">
        <v>1237</v>
      </c>
      <c r="E185" s="763">
        <v>186789425</v>
      </c>
      <c r="F185" s="764">
        <f>E185*$E$2</f>
        <v>131276355.0477</v>
      </c>
      <c r="G185" s="765">
        <v>186789425</v>
      </c>
      <c r="H185" s="743">
        <f>G185*$G$2</f>
        <v>131276355.0477</v>
      </c>
      <c r="I185" s="765">
        <v>186789425</v>
      </c>
      <c r="J185" s="766">
        <f>I185*$I$2</f>
        <v>131276355.0477</v>
      </c>
      <c r="K185" s="767" t="s">
        <v>885</v>
      </c>
      <c r="L185" s="767"/>
      <c r="M185" s="767"/>
      <c r="N185" s="766">
        <v>0</v>
      </c>
      <c r="O185" s="766">
        <v>0</v>
      </c>
      <c r="P185" s="766"/>
      <c r="Q185" s="768">
        <f t="shared" si="110"/>
        <v>131276355.0477</v>
      </c>
      <c r="R185" s="769">
        <f t="shared" si="158"/>
        <v>1</v>
      </c>
      <c r="S185" s="770">
        <v>115816929.44999999</v>
      </c>
      <c r="T185" s="770">
        <v>115348970.41</v>
      </c>
      <c r="U185" s="771">
        <f t="shared" si="121"/>
        <v>0.87867286053217508</v>
      </c>
      <c r="V185" s="772">
        <v>0.99936394762278657</v>
      </c>
      <c r="W185" s="771">
        <f t="shared" si="118"/>
        <v>-0.12069108709061149</v>
      </c>
      <c r="X185" s="773">
        <f t="shared" si="151"/>
        <v>0.87867286053217508</v>
      </c>
      <c r="Y185" s="774">
        <v>115348970.41</v>
      </c>
      <c r="Z185" s="775">
        <f t="shared" si="152"/>
        <v>0.87867286053217508</v>
      </c>
      <c r="AA185" s="775">
        <v>0.99936394762278657</v>
      </c>
      <c r="AB185" s="775">
        <f t="shared" si="153"/>
        <v>-0.12069108709061149</v>
      </c>
      <c r="AC185" s="776">
        <f t="shared" si="154"/>
        <v>0.87867286053217508</v>
      </c>
      <c r="AD185" s="777">
        <v>86204650.950000003</v>
      </c>
      <c r="AE185" s="743">
        <v>0</v>
      </c>
      <c r="AF185" s="743">
        <v>0</v>
      </c>
      <c r="AG185" s="743">
        <v>-1.4901161193847699E-8</v>
      </c>
      <c r="AH185" s="742">
        <v>0</v>
      </c>
      <c r="AI185" s="778">
        <f t="shared" si="91"/>
        <v>86204650.950000003</v>
      </c>
      <c r="AJ185" s="779">
        <f t="shared" ref="AJ185:AJ200" si="164">AD185+AE185+AG185-AH185</f>
        <v>86204650.949999988</v>
      </c>
      <c r="AK185" s="780">
        <f>SUM(AD185:AF185)</f>
        <v>86204650.950000003</v>
      </c>
      <c r="AL185" s="775">
        <f t="shared" si="155"/>
        <v>0.65666548190401131</v>
      </c>
      <c r="AM185" s="775">
        <v>0.63871480831055449</v>
      </c>
      <c r="AN185" s="591">
        <f t="shared" si="124"/>
        <v>1.7950673593456812E-2</v>
      </c>
      <c r="AO185" s="781">
        <f t="shared" si="156"/>
        <v>0.65666548190401131</v>
      </c>
      <c r="AP185" s="782"/>
      <c r="AQ185" s="783"/>
      <c r="AR185" s="783"/>
      <c r="AS185" s="783"/>
      <c r="AT185" s="766"/>
      <c r="AU185" s="783"/>
      <c r="AV185" s="783"/>
      <c r="AW185" s="784"/>
      <c r="AY185" s="786"/>
      <c r="AZ185" s="787"/>
      <c r="BA185" s="787"/>
      <c r="BB185" s="787"/>
      <c r="BC185" s="787"/>
    </row>
    <row r="186" spans="1:55" s="785" customFormat="1" ht="49.5" outlineLevel="1">
      <c r="A186" s="760" t="s">
        <v>1240</v>
      </c>
      <c r="B186" s="761" t="s">
        <v>1241</v>
      </c>
      <c r="C186" s="762" t="s">
        <v>1106</v>
      </c>
      <c r="D186" s="762" t="s">
        <v>1237</v>
      </c>
      <c r="E186" s="763">
        <v>91395877</v>
      </c>
      <c r="F186" s="764">
        <f>E186*$E$2</f>
        <v>64233387.939107999</v>
      </c>
      <c r="G186" s="765">
        <v>91395877</v>
      </c>
      <c r="H186" s="743">
        <f>G186*$G$2</f>
        <v>64233387.939107999</v>
      </c>
      <c r="I186" s="765">
        <v>91395877</v>
      </c>
      <c r="J186" s="766">
        <f>I186*$I$2</f>
        <v>64233387.939107999</v>
      </c>
      <c r="K186" s="767" t="s">
        <v>885</v>
      </c>
      <c r="L186" s="767"/>
      <c r="M186" s="767"/>
      <c r="N186" s="766">
        <v>20616189</v>
      </c>
      <c r="O186" s="766">
        <f>N186</f>
        <v>20616189</v>
      </c>
      <c r="P186" s="766"/>
      <c r="Q186" s="768">
        <f t="shared" si="110"/>
        <v>84849576.939107999</v>
      </c>
      <c r="R186" s="769">
        <f t="shared" si="158"/>
        <v>1.3209575216481457</v>
      </c>
      <c r="S186" s="770">
        <v>67791427.810000002</v>
      </c>
      <c r="T186" s="770">
        <v>83695229.469999999</v>
      </c>
      <c r="U186" s="771">
        <f t="shared" si="121"/>
        <v>1.3029863775726955</v>
      </c>
      <c r="V186" s="772">
        <v>1.313074161524155</v>
      </c>
      <c r="W186" s="771">
        <f t="shared" si="118"/>
        <v>-1.0087783951459484E-2</v>
      </c>
      <c r="X186" s="773">
        <f t="shared" si="151"/>
        <v>0.98639536564883035</v>
      </c>
      <c r="Y186" s="774">
        <v>83695229.469999999</v>
      </c>
      <c r="Z186" s="775">
        <f t="shared" si="152"/>
        <v>1.3029863775726955</v>
      </c>
      <c r="AA186" s="775">
        <v>1.313074161524155</v>
      </c>
      <c r="AB186" s="775">
        <f t="shared" si="153"/>
        <v>-1.0087783951459484E-2</v>
      </c>
      <c r="AC186" s="776">
        <f t="shared" si="154"/>
        <v>0.98639536564883035</v>
      </c>
      <c r="AD186" s="777">
        <v>40939077.869999997</v>
      </c>
      <c r="AE186" s="743">
        <v>0</v>
      </c>
      <c r="AF186" s="743">
        <v>23683466.25</v>
      </c>
      <c r="AG186" s="743">
        <v>8379388.8999999799</v>
      </c>
      <c r="AH186" s="742">
        <v>2180695.4</v>
      </c>
      <c r="AI186" s="778">
        <f t="shared" si="91"/>
        <v>62441848.719999999</v>
      </c>
      <c r="AJ186" s="779">
        <f t="shared" si="164"/>
        <v>47137771.369999982</v>
      </c>
      <c r="AK186" s="780">
        <f>SUM(AD186:AF186)</f>
        <v>64622544.119999997</v>
      </c>
      <c r="AL186" s="775">
        <f t="shared" si="155"/>
        <v>1.0060584719781698</v>
      </c>
      <c r="AM186" s="775">
        <v>0.95800890291409013</v>
      </c>
      <c r="AN186" s="591">
        <f t="shared" si="124"/>
        <v>4.8049569064079645E-2</v>
      </c>
      <c r="AO186" s="781">
        <f t="shared" si="156"/>
        <v>0.76161303864103103</v>
      </c>
      <c r="AP186" s="782"/>
      <c r="AQ186" s="783"/>
      <c r="AR186" s="783"/>
      <c r="AS186" s="783"/>
      <c r="AT186" s="766"/>
      <c r="AU186" s="783"/>
      <c r="AV186" s="783"/>
      <c r="AW186" s="784"/>
      <c r="AY186" s="786"/>
      <c r="AZ186" s="787"/>
      <c r="BA186" s="787"/>
      <c r="BB186" s="787"/>
      <c r="BC186" s="787"/>
    </row>
    <row r="187" spans="1:55" s="741" customFormat="1" ht="87.75" customHeight="1" outlineLevel="1">
      <c r="A187" s="19" t="s">
        <v>199</v>
      </c>
      <c r="B187" s="20" t="s">
        <v>1242</v>
      </c>
      <c r="C187" s="21" t="s">
        <v>1106</v>
      </c>
      <c r="D187" s="21" t="s">
        <v>1237</v>
      </c>
      <c r="E187" s="622"/>
      <c r="F187" s="756">
        <f>F188+F189</f>
        <v>18343908.288120002</v>
      </c>
      <c r="G187" s="331"/>
      <c r="H187" s="331">
        <f>H188+H189</f>
        <v>18343908.288120002</v>
      </c>
      <c r="I187" s="331"/>
      <c r="J187" s="331">
        <f>J188+J189</f>
        <v>18343908.288120002</v>
      </c>
      <c r="K187" s="588" t="s">
        <v>885</v>
      </c>
      <c r="L187" s="588"/>
      <c r="M187" s="588"/>
      <c r="N187" s="331">
        <f>N188+N189</f>
        <v>679237</v>
      </c>
      <c r="O187" s="331">
        <f>O188+O189</f>
        <v>679237</v>
      </c>
      <c r="P187" s="331"/>
      <c r="Q187" s="317">
        <f t="shared" si="110"/>
        <v>19023145.288120002</v>
      </c>
      <c r="R187" s="589">
        <f t="shared" si="158"/>
        <v>1.0370279326156406</v>
      </c>
      <c r="S187" s="757">
        <v>12901595.07</v>
      </c>
      <c r="T187" s="757">
        <f t="shared" ref="T187" si="165">T188+T189</f>
        <v>18831561.890000001</v>
      </c>
      <c r="U187" s="575">
        <f t="shared" si="121"/>
        <v>1.0265839533332064</v>
      </c>
      <c r="V187" s="591">
        <v>1.0265839533332064</v>
      </c>
      <c r="W187" s="575">
        <f t="shared" si="118"/>
        <v>0</v>
      </c>
      <c r="X187" s="612">
        <f t="shared" si="151"/>
        <v>0.98992893156108919</v>
      </c>
      <c r="Y187" s="757">
        <f t="shared" ref="Y187" si="166">Y188+Y189</f>
        <v>18831561.890000001</v>
      </c>
      <c r="Z187" s="591">
        <f t="shared" si="152"/>
        <v>1.0265839533332064</v>
      </c>
      <c r="AA187" s="592">
        <v>1.0265839533332064</v>
      </c>
      <c r="AB187" s="591">
        <f t="shared" si="153"/>
        <v>0</v>
      </c>
      <c r="AC187" s="593">
        <f t="shared" si="154"/>
        <v>0.98992893156108919</v>
      </c>
      <c r="AD187" s="620">
        <f>AD188+AD189</f>
        <v>10259348.800000001</v>
      </c>
      <c r="AE187" s="620">
        <f t="shared" ref="AE187:AH187" si="167">AE188+AE189</f>
        <v>0</v>
      </c>
      <c r="AF187" s="620">
        <f t="shared" si="167"/>
        <v>2196691.83</v>
      </c>
      <c r="AG187" s="620">
        <f t="shared" si="167"/>
        <v>2134771.2200000002</v>
      </c>
      <c r="AH187" s="620">
        <f t="shared" si="167"/>
        <v>77186.97</v>
      </c>
      <c r="AI187" s="620">
        <f t="shared" si="91"/>
        <v>12378853.66</v>
      </c>
      <c r="AJ187" s="332">
        <f t="shared" si="164"/>
        <v>12316933.050000001</v>
      </c>
      <c r="AK187" s="624">
        <f t="shared" ref="AK187" si="168">SUM(AD187:AF187)</f>
        <v>12456040.630000001</v>
      </c>
      <c r="AL187" s="591">
        <f t="shared" si="155"/>
        <v>0.67902872356088162</v>
      </c>
      <c r="AM187" s="591">
        <v>0.67902872356088162</v>
      </c>
      <c r="AN187" s="591">
        <f t="shared" si="124"/>
        <v>0</v>
      </c>
      <c r="AO187" s="744">
        <f t="shared" si="156"/>
        <v>0.65478344623582452</v>
      </c>
      <c r="AP187" s="623"/>
      <c r="AQ187" s="745"/>
      <c r="AR187" s="745"/>
      <c r="AS187" s="745"/>
      <c r="AT187" s="331"/>
      <c r="AU187" s="745"/>
      <c r="AV187" s="745"/>
      <c r="AW187" s="746"/>
      <c r="AY187" s="747"/>
      <c r="AZ187" s="753"/>
      <c r="BA187" s="753"/>
      <c r="BB187" s="753"/>
      <c r="BC187" s="753"/>
    </row>
    <row r="188" spans="1:55" s="785" customFormat="1" ht="82.5" outlineLevel="1">
      <c r="A188" s="760" t="s">
        <v>339</v>
      </c>
      <c r="B188" s="761" t="s">
        <v>1243</v>
      </c>
      <c r="C188" s="762" t="s">
        <v>1106</v>
      </c>
      <c r="D188" s="762" t="s">
        <v>1237</v>
      </c>
      <c r="E188" s="763">
        <v>13293943</v>
      </c>
      <c r="F188" s="764">
        <f>E188*$E$2</f>
        <v>9343036.316172</v>
      </c>
      <c r="G188" s="765">
        <v>13293943</v>
      </c>
      <c r="H188" s="743">
        <f>G188*$G$2</f>
        <v>9343036.316172</v>
      </c>
      <c r="I188" s="765">
        <v>13293943</v>
      </c>
      <c r="J188" s="766">
        <f>I188*I2</f>
        <v>9343036.316172</v>
      </c>
      <c r="K188" s="767" t="s">
        <v>885</v>
      </c>
      <c r="L188" s="767"/>
      <c r="M188" s="767"/>
      <c r="N188" s="766">
        <v>0</v>
      </c>
      <c r="O188" s="766">
        <v>0</v>
      </c>
      <c r="P188" s="766"/>
      <c r="Q188" s="768">
        <f t="shared" si="110"/>
        <v>9343036.316172</v>
      </c>
      <c r="R188" s="769">
        <f t="shared" si="158"/>
        <v>1</v>
      </c>
      <c r="S188" s="770">
        <v>9583042.2799999993</v>
      </c>
      <c r="T188" s="770">
        <v>9151453.8900000006</v>
      </c>
      <c r="U188" s="771">
        <f t="shared" si="121"/>
        <v>0.97949462897405348</v>
      </c>
      <c r="V188" s="772">
        <v>0.97949462897405348</v>
      </c>
      <c r="W188" s="771">
        <f t="shared" si="118"/>
        <v>0</v>
      </c>
      <c r="X188" s="773">
        <f t="shared" si="151"/>
        <v>0.97949462897405348</v>
      </c>
      <c r="Y188" s="774">
        <v>9151453.8900000006</v>
      </c>
      <c r="Z188" s="775">
        <f t="shared" si="152"/>
        <v>0.97949462897405348</v>
      </c>
      <c r="AA188" s="772">
        <v>0.97949462897405348</v>
      </c>
      <c r="AB188" s="775">
        <f t="shared" si="153"/>
        <v>0</v>
      </c>
      <c r="AC188" s="776">
        <f t="shared" si="154"/>
        <v>0.97949462897405348</v>
      </c>
      <c r="AD188" s="777">
        <v>7026375.5300000003</v>
      </c>
      <c r="AE188" s="743">
        <v>0</v>
      </c>
      <c r="AF188" s="743">
        <v>2196691.83</v>
      </c>
      <c r="AG188" s="743">
        <v>2134771.2200000002</v>
      </c>
      <c r="AH188" s="742">
        <v>77186.97</v>
      </c>
      <c r="AI188" s="778">
        <f t="shared" ref="AI188:AI208" si="169">AK188-AH188</f>
        <v>9145880.3899999987</v>
      </c>
      <c r="AJ188" s="779">
        <f t="shared" si="164"/>
        <v>9083959.7799999993</v>
      </c>
      <c r="AK188" s="780">
        <f>SUM(AD188:AF188)</f>
        <v>9223067.3599999994</v>
      </c>
      <c r="AL188" s="775">
        <f t="shared" si="155"/>
        <v>0.98715953228562914</v>
      </c>
      <c r="AM188" s="775">
        <v>0.98715953228562914</v>
      </c>
      <c r="AN188" s="591">
        <f t="shared" si="124"/>
        <v>0</v>
      </c>
      <c r="AO188" s="781">
        <f t="shared" si="156"/>
        <v>0.98715953228562914</v>
      </c>
      <c r="AP188" s="782"/>
      <c r="AQ188" s="783"/>
      <c r="AR188" s="783"/>
      <c r="AS188" s="783"/>
      <c r="AT188" s="766"/>
      <c r="AU188" s="783"/>
      <c r="AV188" s="783"/>
      <c r="AW188" s="784"/>
      <c r="AY188" s="786"/>
      <c r="AZ188" s="787"/>
      <c r="BA188" s="787"/>
      <c r="BB188" s="787"/>
      <c r="BC188" s="787"/>
    </row>
    <row r="189" spans="1:55" s="785" customFormat="1" ht="49.5" outlineLevel="1">
      <c r="A189" s="760" t="s">
        <v>1244</v>
      </c>
      <c r="B189" s="761" t="s">
        <v>1245</v>
      </c>
      <c r="C189" s="762" t="s">
        <v>1106</v>
      </c>
      <c r="D189" s="762" t="s">
        <v>1237</v>
      </c>
      <c r="E189" s="763">
        <v>12807087</v>
      </c>
      <c r="F189" s="764">
        <f>E189*$E$2</f>
        <v>9000871.9719479997</v>
      </c>
      <c r="G189" s="743">
        <v>12807087</v>
      </c>
      <c r="H189" s="743">
        <f>G189*$G$2</f>
        <v>9000871.9719479997</v>
      </c>
      <c r="I189" s="765">
        <v>12807087</v>
      </c>
      <c r="J189" s="766">
        <f>I189*I2</f>
        <v>9000871.9719479997</v>
      </c>
      <c r="K189" s="767" t="s">
        <v>885</v>
      </c>
      <c r="L189" s="767"/>
      <c r="M189" s="767"/>
      <c r="N189" s="766">
        <v>679237</v>
      </c>
      <c r="O189" s="766">
        <v>679237</v>
      </c>
      <c r="P189" s="766"/>
      <c r="Q189" s="768">
        <f t="shared" si="110"/>
        <v>9680108.9719479997</v>
      </c>
      <c r="R189" s="769">
        <f t="shared" si="158"/>
        <v>1.0754634664415739</v>
      </c>
      <c r="S189" s="770">
        <v>3318552.79</v>
      </c>
      <c r="T189" s="770">
        <v>9680108</v>
      </c>
      <c r="U189" s="771">
        <f t="shared" si="121"/>
        <v>1.0754633584578137</v>
      </c>
      <c r="V189" s="772">
        <v>1.0754633584578137</v>
      </c>
      <c r="W189" s="771">
        <f t="shared" si="118"/>
        <v>0</v>
      </c>
      <c r="X189" s="773">
        <f t="shared" si="151"/>
        <v>0.99999989959327906</v>
      </c>
      <c r="Y189" s="774">
        <v>9680108</v>
      </c>
      <c r="Z189" s="775">
        <f t="shared" si="152"/>
        <v>1.0754633584578137</v>
      </c>
      <c r="AA189" s="775">
        <v>1.0754633584578137</v>
      </c>
      <c r="AB189" s="775">
        <f t="shared" si="153"/>
        <v>0</v>
      </c>
      <c r="AC189" s="776">
        <f t="shared" si="154"/>
        <v>0.99999989959327906</v>
      </c>
      <c r="AD189" s="777">
        <v>3232973.27</v>
      </c>
      <c r="AE189" s="743">
        <v>0</v>
      </c>
      <c r="AF189" s="743">
        <v>0</v>
      </c>
      <c r="AG189" s="743">
        <v>0</v>
      </c>
      <c r="AH189" s="742">
        <v>0</v>
      </c>
      <c r="AI189" s="778">
        <f t="shared" si="169"/>
        <v>3232973.27</v>
      </c>
      <c r="AJ189" s="779">
        <f t="shared" si="164"/>
        <v>3232973.27</v>
      </c>
      <c r="AK189" s="780">
        <f>SUM(AD189:AF189)</f>
        <v>3232973.27</v>
      </c>
      <c r="AL189" s="775">
        <f t="shared" si="155"/>
        <v>0.35918445235926499</v>
      </c>
      <c r="AM189" s="775">
        <v>0.35918445235926499</v>
      </c>
      <c r="AN189" s="591">
        <f t="shared" si="124"/>
        <v>0</v>
      </c>
      <c r="AO189" s="781">
        <f t="shared" si="156"/>
        <v>0.33398108217261163</v>
      </c>
      <c r="AP189" s="782"/>
      <c r="AQ189" s="783"/>
      <c r="AR189" s="783"/>
      <c r="AS189" s="783"/>
      <c r="AT189" s="766"/>
      <c r="AU189" s="783"/>
      <c r="AV189" s="783"/>
      <c r="AW189" s="784"/>
      <c r="AY189" s="786"/>
      <c r="AZ189" s="787"/>
      <c r="BA189" s="787"/>
      <c r="BB189" s="787"/>
      <c r="BC189" s="787"/>
    </row>
    <row r="190" spans="1:55" s="305" customFormat="1" ht="66" outlineLevel="1">
      <c r="A190" s="327" t="s">
        <v>1246</v>
      </c>
      <c r="B190" s="328" t="s">
        <v>1247</v>
      </c>
      <c r="C190" s="329" t="s">
        <v>1106</v>
      </c>
      <c r="D190" s="329" t="s">
        <v>1237</v>
      </c>
      <c r="E190" s="754">
        <v>4942457</v>
      </c>
      <c r="F190" s="756">
        <f>E190*$E$2</f>
        <v>3473578.5494280001</v>
      </c>
      <c r="G190" s="748">
        <v>4942457</v>
      </c>
      <c r="H190" s="22">
        <f>G190*$G$2</f>
        <v>3473578.5494280001</v>
      </c>
      <c r="I190" s="748">
        <v>4942457</v>
      </c>
      <c r="J190" s="331">
        <f>I190*$I$2</f>
        <v>3473578.5494280001</v>
      </c>
      <c r="K190" s="588" t="s">
        <v>885</v>
      </c>
      <c r="L190" s="588"/>
      <c r="M190" s="588"/>
      <c r="N190" s="331">
        <v>0</v>
      </c>
      <c r="O190" s="331">
        <v>0</v>
      </c>
      <c r="P190" s="331"/>
      <c r="Q190" s="317">
        <f t="shared" si="110"/>
        <v>3473578.5494280001</v>
      </c>
      <c r="R190" s="589">
        <f t="shared" si="158"/>
        <v>1</v>
      </c>
      <c r="S190" s="417">
        <v>3381668.29</v>
      </c>
      <c r="T190" s="417">
        <v>3473577.68</v>
      </c>
      <c r="U190" s="575">
        <f t="shared" si="121"/>
        <v>0.99999974970250782</v>
      </c>
      <c r="V190" s="592">
        <v>0.99999974970250782</v>
      </c>
      <c r="W190" s="575">
        <f t="shared" si="118"/>
        <v>0</v>
      </c>
      <c r="X190" s="612">
        <f t="shared" si="151"/>
        <v>0.99999974970250782</v>
      </c>
      <c r="Y190" s="586">
        <v>3473577.68</v>
      </c>
      <c r="Z190" s="591">
        <f t="shared" si="152"/>
        <v>0.99999974970250782</v>
      </c>
      <c r="AA190" s="592">
        <v>0.99999974970250782</v>
      </c>
      <c r="AB190" s="591">
        <f t="shared" si="153"/>
        <v>0</v>
      </c>
      <c r="AC190" s="593">
        <f t="shared" si="154"/>
        <v>0.99999974970250782</v>
      </c>
      <c r="AD190" s="625">
        <f>Y190</f>
        <v>3473577.68</v>
      </c>
      <c r="AE190" s="22">
        <v>0</v>
      </c>
      <c r="AF190" s="22">
        <v>0</v>
      </c>
      <c r="AG190" s="22">
        <v>0</v>
      </c>
      <c r="AH190" s="606">
        <v>0</v>
      </c>
      <c r="AI190" s="594">
        <f t="shared" si="169"/>
        <v>3473577.68</v>
      </c>
      <c r="AJ190" s="332">
        <f t="shared" si="164"/>
        <v>3473577.68</v>
      </c>
      <c r="AK190" s="624">
        <f>SUM(AD190:AF190)</f>
        <v>3473577.68</v>
      </c>
      <c r="AL190" s="591">
        <f>AK190/J190</f>
        <v>0.99999974970250782</v>
      </c>
      <c r="AM190" s="591">
        <v>0.99999974970250782</v>
      </c>
      <c r="AN190" s="591">
        <f>AL190-AM190</f>
        <v>0</v>
      </c>
      <c r="AO190" s="744">
        <f t="shared" si="156"/>
        <v>0.99999974970250782</v>
      </c>
      <c r="AP190" s="623"/>
      <c r="AQ190" s="745"/>
      <c r="AR190" s="745"/>
      <c r="AS190" s="745"/>
      <c r="AT190" s="331"/>
      <c r="AU190" s="745"/>
      <c r="AV190" s="745"/>
      <c r="AW190" s="746"/>
      <c r="AY190" s="747"/>
      <c r="AZ190" s="455"/>
      <c r="BA190" s="455"/>
      <c r="BB190" s="455"/>
      <c r="BC190" s="455"/>
    </row>
    <row r="191" spans="1:55" s="305" customFormat="1" ht="49.5" outlineLevel="1">
      <c r="A191" s="327" t="s">
        <v>98</v>
      </c>
      <c r="B191" s="328" t="s">
        <v>1248</v>
      </c>
      <c r="C191" s="329" t="s">
        <v>1106</v>
      </c>
      <c r="D191" s="329" t="s">
        <v>1237</v>
      </c>
      <c r="E191" s="754">
        <v>20000000</v>
      </c>
      <c r="F191" s="756">
        <f>E191*$E$2</f>
        <v>14056080</v>
      </c>
      <c r="G191" s="22">
        <v>20000000</v>
      </c>
      <c r="H191" s="22">
        <f>G191*$G$2</f>
        <v>14056080</v>
      </c>
      <c r="I191" s="748">
        <v>20000000</v>
      </c>
      <c r="J191" s="331">
        <f>I191*$I$2</f>
        <v>14056080</v>
      </c>
      <c r="K191" s="588" t="s">
        <v>885</v>
      </c>
      <c r="L191" s="588"/>
      <c r="M191" s="588"/>
      <c r="N191" s="331">
        <v>0</v>
      </c>
      <c r="O191" s="331">
        <v>0</v>
      </c>
      <c r="P191" s="331"/>
      <c r="Q191" s="317">
        <f t="shared" si="110"/>
        <v>14056080</v>
      </c>
      <c r="R191" s="589">
        <f t="shared" si="158"/>
        <v>1</v>
      </c>
      <c r="S191" s="417">
        <v>10321759.949999999</v>
      </c>
      <c r="T191" s="417">
        <v>14052753.140000001</v>
      </c>
      <c r="U191" s="575">
        <f t="shared" si="121"/>
        <v>0.99976331523440398</v>
      </c>
      <c r="V191" s="592">
        <v>0.99976331523440398</v>
      </c>
      <c r="W191" s="575">
        <f t="shared" si="118"/>
        <v>0</v>
      </c>
      <c r="X191" s="612">
        <f t="shared" si="151"/>
        <v>0.99976331523440398</v>
      </c>
      <c r="Y191" s="586">
        <v>14052753.140000001</v>
      </c>
      <c r="Z191" s="591">
        <f t="shared" si="152"/>
        <v>0.99976331523440398</v>
      </c>
      <c r="AA191" s="592">
        <v>0.99976331523440398</v>
      </c>
      <c r="AB191" s="591">
        <f t="shared" si="153"/>
        <v>0</v>
      </c>
      <c r="AC191" s="593">
        <f t="shared" si="154"/>
        <v>0.99976331523440398</v>
      </c>
      <c r="AD191" s="625">
        <v>6823546.8399999999</v>
      </c>
      <c r="AE191" s="22">
        <v>0</v>
      </c>
      <c r="AF191" s="22">
        <v>3498211.97</v>
      </c>
      <c r="AG191" s="22">
        <v>0</v>
      </c>
      <c r="AH191" s="606">
        <v>0</v>
      </c>
      <c r="AI191" s="594">
        <f t="shared" si="169"/>
        <v>10321758.810000001</v>
      </c>
      <c r="AJ191" s="332">
        <f t="shared" si="164"/>
        <v>6823546.8399999999</v>
      </c>
      <c r="AK191" s="624">
        <f>SUM(AD191:AF191)</f>
        <v>10321758.810000001</v>
      </c>
      <c r="AL191" s="591">
        <f t="shared" si="155"/>
        <v>0.7343269823450066</v>
      </c>
      <c r="AM191" s="591">
        <v>0.68977410415990803</v>
      </c>
      <c r="AN191" s="591">
        <f t="shared" si="124"/>
        <v>4.4552878185098566E-2</v>
      </c>
      <c r="AO191" s="744">
        <f t="shared" si="156"/>
        <v>0.7343269823450066</v>
      </c>
      <c r="AP191" s="623"/>
      <c r="AQ191" s="745"/>
      <c r="AR191" s="745"/>
      <c r="AS191" s="745"/>
      <c r="AT191" s="331"/>
      <c r="AU191" s="745"/>
      <c r="AV191" s="745"/>
      <c r="AW191" s="746"/>
      <c r="AY191" s="747"/>
      <c r="AZ191" s="455"/>
      <c r="BA191" s="455"/>
      <c r="BB191" s="455"/>
      <c r="BC191" s="455"/>
    </row>
    <row r="192" spans="1:55" s="741" customFormat="1" ht="66" outlineLevel="1">
      <c r="A192" s="14" t="s">
        <v>99</v>
      </c>
      <c r="B192" s="15" t="s">
        <v>1249</v>
      </c>
      <c r="C192" s="16" t="s">
        <v>1106</v>
      </c>
      <c r="D192" s="16" t="s">
        <v>131</v>
      </c>
      <c r="E192" s="614"/>
      <c r="F192" s="608">
        <f>F193+F196+F197+F198</f>
        <v>127883532.19189201</v>
      </c>
      <c r="G192" s="588"/>
      <c r="H192" s="588">
        <f>H193+H196+H197+H198</f>
        <v>127883532.19189201</v>
      </c>
      <c r="I192" s="588"/>
      <c r="J192" s="588">
        <f>J193+J196+J197+J198</f>
        <v>127883532.19189201</v>
      </c>
      <c r="K192" s="588" t="s">
        <v>885</v>
      </c>
      <c r="L192" s="588"/>
      <c r="M192" s="588"/>
      <c r="N192" s="588">
        <f>N193+N196+N197+N198</f>
        <v>9670591</v>
      </c>
      <c r="O192" s="588">
        <f>O193+O196+O197+O198</f>
        <v>9670591</v>
      </c>
      <c r="P192" s="588"/>
      <c r="Q192" s="294">
        <f t="shared" si="110"/>
        <v>137554123.19189203</v>
      </c>
      <c r="R192" s="610">
        <f>Q192/J192</f>
        <v>1.0756202994572366</v>
      </c>
      <c r="S192" s="614">
        <v>85702014.900000006</v>
      </c>
      <c r="T192" s="614">
        <f>T193+T196+T197+T198</f>
        <v>127346985.81</v>
      </c>
      <c r="U192" s="575">
        <f t="shared" si="121"/>
        <v>0.99580441380765972</v>
      </c>
      <c r="V192" s="575">
        <v>0.96760146298058936</v>
      </c>
      <c r="W192" s="575">
        <f t="shared" si="118"/>
        <v>2.8202950827070361E-2</v>
      </c>
      <c r="X192" s="612">
        <f t="shared" si="151"/>
        <v>0.92579548220700902</v>
      </c>
      <c r="Y192" s="614">
        <f>Y193+Y196+Y197+Y198</f>
        <v>125566735.81</v>
      </c>
      <c r="Z192" s="575">
        <f t="shared" si="152"/>
        <v>0.98188354401710143</v>
      </c>
      <c r="AA192" s="749">
        <v>0.96760146298058936</v>
      </c>
      <c r="AB192" s="575">
        <f t="shared" si="153"/>
        <v>1.4282081036512073E-2</v>
      </c>
      <c r="AC192" s="612">
        <f t="shared" si="154"/>
        <v>0.91285330382158547</v>
      </c>
      <c r="AD192" s="573">
        <f>AD193+AD196+AD197+AD198</f>
        <v>55317616.559999995</v>
      </c>
      <c r="AE192" s="573">
        <f t="shared" ref="AE192:AH192" si="170">AE193+AE196+AE197+AE198</f>
        <v>0</v>
      </c>
      <c r="AF192" s="573">
        <f t="shared" si="170"/>
        <v>9800913.6300000008</v>
      </c>
      <c r="AG192" s="573">
        <f t="shared" si="170"/>
        <v>9657329.1799999997</v>
      </c>
      <c r="AH192" s="573">
        <f t="shared" si="170"/>
        <v>149296.49000000002</v>
      </c>
      <c r="AI192" s="499">
        <f t="shared" si="169"/>
        <v>64969233.699999996</v>
      </c>
      <c r="AJ192" s="322">
        <f t="shared" si="162"/>
        <v>64974945.739999995</v>
      </c>
      <c r="AK192" s="17">
        <f>AK193+AK196+AK197+AK198</f>
        <v>65118530.189999998</v>
      </c>
      <c r="AL192" s="575">
        <f t="shared" si="155"/>
        <v>0.50920184228480825</v>
      </c>
      <c r="AM192" s="575">
        <v>0.48217509309544604</v>
      </c>
      <c r="AN192" s="575">
        <f t="shared" si="124"/>
        <v>2.7026749189362209E-2</v>
      </c>
      <c r="AO192" s="740">
        <f t="shared" si="156"/>
        <v>0.47340296807502996</v>
      </c>
      <c r="AP192" s="623"/>
      <c r="AQ192" s="745"/>
      <c r="AR192" s="745"/>
      <c r="AS192" s="745"/>
      <c r="AT192" s="331"/>
      <c r="AU192" s="745"/>
      <c r="AV192" s="745"/>
      <c r="AW192" s="746"/>
      <c r="AY192" s="747"/>
      <c r="AZ192" s="753"/>
      <c r="BA192" s="753"/>
      <c r="BB192" s="753"/>
      <c r="BC192" s="753"/>
    </row>
    <row r="193" spans="1:55" s="741" customFormat="1" ht="115.5" outlineLevel="1">
      <c r="A193" s="19" t="s">
        <v>100</v>
      </c>
      <c r="B193" s="20" t="s">
        <v>1250</v>
      </c>
      <c r="C193" s="21" t="s">
        <v>1106</v>
      </c>
      <c r="D193" s="21" t="s">
        <v>1</v>
      </c>
      <c r="E193" s="622"/>
      <c r="F193" s="586">
        <f>F194+F195</f>
        <v>109144798.45582801</v>
      </c>
      <c r="G193" s="331"/>
      <c r="H193" s="331">
        <f>H194+H195</f>
        <v>109144798.45582801</v>
      </c>
      <c r="I193" s="331"/>
      <c r="J193" s="331">
        <f>J194+J195</f>
        <v>109144798.45582801</v>
      </c>
      <c r="K193" s="588" t="s">
        <v>885</v>
      </c>
      <c r="L193" s="588"/>
      <c r="M193" s="588"/>
      <c r="N193" s="331">
        <f>N194+N195</f>
        <v>9670591</v>
      </c>
      <c r="O193" s="331">
        <f>O194+O195</f>
        <v>9670591</v>
      </c>
      <c r="P193" s="331"/>
      <c r="Q193" s="317">
        <f t="shared" si="110"/>
        <v>118815389.45582801</v>
      </c>
      <c r="R193" s="589">
        <f t="shared" ref="R193:R197" si="171">Q193/J193</f>
        <v>1.0886033153830394</v>
      </c>
      <c r="S193" s="757">
        <v>85016733.900000006</v>
      </c>
      <c r="T193" s="757">
        <f>T194+T195</f>
        <v>111158252.81</v>
      </c>
      <c r="U193" s="575">
        <f t="shared" si="121"/>
        <v>1.0184475520836374</v>
      </c>
      <c r="V193" s="591">
        <v>0.98540252363494163</v>
      </c>
      <c r="W193" s="575">
        <f t="shared" si="118"/>
        <v>3.3045028448695724E-2</v>
      </c>
      <c r="X193" s="612">
        <f t="shared" si="151"/>
        <v>0.93555433617734596</v>
      </c>
      <c r="Y193" s="757">
        <f>Y194+Y195</f>
        <v>109378002.81</v>
      </c>
      <c r="Z193" s="591">
        <f t="shared" si="152"/>
        <v>1.0021366511045084</v>
      </c>
      <c r="AA193" s="592">
        <v>0.98540252363494163</v>
      </c>
      <c r="AB193" s="591">
        <f t="shared" si="153"/>
        <v>1.6734127469566817E-2</v>
      </c>
      <c r="AC193" s="593">
        <f t="shared" si="154"/>
        <v>0.92057100777053347</v>
      </c>
      <c r="AD193" s="620">
        <f>AD194+AD195</f>
        <v>54632336.489999995</v>
      </c>
      <c r="AE193" s="620">
        <f t="shared" ref="AE193:AH193" si="172">AE194+AE195</f>
        <v>0</v>
      </c>
      <c r="AF193" s="620">
        <f t="shared" si="172"/>
        <v>9800913.6300000008</v>
      </c>
      <c r="AG193" s="620">
        <f t="shared" si="172"/>
        <v>9657329.1799999997</v>
      </c>
      <c r="AH193" s="620">
        <f t="shared" si="172"/>
        <v>149296.49000000002</v>
      </c>
      <c r="AI193" s="620">
        <f t="shared" si="169"/>
        <v>64283953.629999995</v>
      </c>
      <c r="AJ193" s="332">
        <f t="shared" si="164"/>
        <v>64140369.179999992</v>
      </c>
      <c r="AK193" s="23">
        <f>AK194+AK195</f>
        <v>64433250.119999997</v>
      </c>
      <c r="AL193" s="591">
        <f t="shared" si="155"/>
        <v>0.59034650328367944</v>
      </c>
      <c r="AM193" s="591">
        <v>0.56093375008409185</v>
      </c>
      <c r="AN193" s="591">
        <f t="shared" si="124"/>
        <v>2.9412753199587582E-2</v>
      </c>
      <c r="AO193" s="744">
        <f t="shared" si="156"/>
        <v>0.5422971756024445</v>
      </c>
      <c r="AP193" s="623"/>
      <c r="AQ193" s="745"/>
      <c r="AR193" s="745"/>
      <c r="AS193" s="745"/>
      <c r="AT193" s="331"/>
      <c r="AU193" s="745"/>
      <c r="AV193" s="745"/>
      <c r="AW193" s="746"/>
      <c r="AY193" s="747"/>
      <c r="AZ193" s="753"/>
      <c r="BA193" s="753"/>
      <c r="BB193" s="753"/>
      <c r="BC193" s="753"/>
    </row>
    <row r="194" spans="1:55" s="305" customFormat="1" ht="99" outlineLevel="1">
      <c r="A194" s="327" t="s">
        <v>156</v>
      </c>
      <c r="B194" s="328" t="s">
        <v>1251</v>
      </c>
      <c r="C194" s="329" t="s">
        <v>1106</v>
      </c>
      <c r="D194" s="329" t="s">
        <v>1097</v>
      </c>
      <c r="E194" s="754">
        <v>137940020</v>
      </c>
      <c r="F194" s="586">
        <f>E194*$E$2</f>
        <v>96944797.816080004</v>
      </c>
      <c r="G194" s="748">
        <v>137940020</v>
      </c>
      <c r="H194" s="22">
        <f>G194*$G$2</f>
        <v>96944797.816080004</v>
      </c>
      <c r="I194" s="748">
        <v>137940020</v>
      </c>
      <c r="J194" s="331">
        <f>I194*$I$2</f>
        <v>96944797.816080004</v>
      </c>
      <c r="K194" s="588" t="s">
        <v>885</v>
      </c>
      <c r="L194" s="588"/>
      <c r="M194" s="588"/>
      <c r="N194" s="341">
        <v>9670591</v>
      </c>
      <c r="O194" s="341">
        <f>N194</f>
        <v>9670591</v>
      </c>
      <c r="P194" s="331"/>
      <c r="Q194" s="317">
        <f t="shared" si="110"/>
        <v>106615388.81608</v>
      </c>
      <c r="R194" s="589">
        <f t="shared" si="171"/>
        <v>1.0997535836667243</v>
      </c>
      <c r="S194" s="417">
        <v>74681073.040000007</v>
      </c>
      <c r="T194" s="417">
        <v>100320803.28</v>
      </c>
      <c r="U194" s="575">
        <f t="shared" si="121"/>
        <v>1.0348239981925056</v>
      </c>
      <c r="V194" s="592">
        <v>0.99762042367123549</v>
      </c>
      <c r="W194" s="575">
        <f t="shared" si="118"/>
        <v>3.72035745212701E-2</v>
      </c>
      <c r="X194" s="612">
        <f t="shared" si="151"/>
        <v>0.9409598782504216</v>
      </c>
      <c r="Y194" s="586">
        <v>98540553.280000001</v>
      </c>
      <c r="Z194" s="591">
        <f t="shared" si="152"/>
        <v>1.0164604548141656</v>
      </c>
      <c r="AA194" s="591">
        <v>0.99762042367123549</v>
      </c>
      <c r="AB194" s="591">
        <f t="shared" si="153"/>
        <v>1.8840031142930092E-2</v>
      </c>
      <c r="AC194" s="593">
        <f t="shared" si="154"/>
        <v>0.92426200733545383</v>
      </c>
      <c r="AD194" s="625">
        <v>53446504.399999999</v>
      </c>
      <c r="AE194" s="22">
        <v>0</v>
      </c>
      <c r="AF194" s="22">
        <v>0</v>
      </c>
      <c r="AG194" s="22">
        <v>0</v>
      </c>
      <c r="AH194" s="606">
        <v>0</v>
      </c>
      <c r="AI194" s="594">
        <f t="shared" si="169"/>
        <v>53446504.399999999</v>
      </c>
      <c r="AJ194" s="332">
        <f t="shared" si="164"/>
        <v>53446504.399999999</v>
      </c>
      <c r="AK194" s="624">
        <f>SUM(AD194:AF194)</f>
        <v>53446504.399999999</v>
      </c>
      <c r="AL194" s="591">
        <f t="shared" si="155"/>
        <v>0.55130863753408077</v>
      </c>
      <c r="AM194" s="591">
        <v>0.51819444169976325</v>
      </c>
      <c r="AN194" s="591">
        <f t="shared" si="124"/>
        <v>3.3114195834317517E-2</v>
      </c>
      <c r="AO194" s="744">
        <f t="shared" si="156"/>
        <v>0.50130196957026019</v>
      </c>
      <c r="AP194" s="623"/>
      <c r="AQ194" s="745"/>
      <c r="AR194" s="745"/>
      <c r="AS194" s="745"/>
      <c r="AT194" s="331"/>
      <c r="AU194" s="745"/>
      <c r="AV194" s="745"/>
      <c r="AW194" s="746"/>
      <c r="AY194" s="747"/>
      <c r="AZ194" s="455"/>
      <c r="BA194" s="455"/>
      <c r="BB194" s="455"/>
      <c r="BC194" s="455"/>
    </row>
    <row r="195" spans="1:55" s="305" customFormat="1" ht="49.5" outlineLevel="1">
      <c r="A195" s="327" t="s">
        <v>176</v>
      </c>
      <c r="B195" s="328" t="s">
        <v>1252</v>
      </c>
      <c r="C195" s="329" t="s">
        <v>1106</v>
      </c>
      <c r="D195" s="329" t="s">
        <v>814</v>
      </c>
      <c r="E195" s="754">
        <v>17359037</v>
      </c>
      <c r="F195" s="586">
        <f>E195*$E$2</f>
        <v>12200000.639748</v>
      </c>
      <c r="G195" s="748">
        <v>17359037</v>
      </c>
      <c r="H195" s="22">
        <f>G195*$G$2</f>
        <v>12200000.639748</v>
      </c>
      <c r="I195" s="748">
        <v>17359037</v>
      </c>
      <c r="J195" s="331">
        <f>I195*$I$2</f>
        <v>12200000.639748</v>
      </c>
      <c r="K195" s="588" t="s">
        <v>885</v>
      </c>
      <c r="L195" s="588"/>
      <c r="M195" s="588"/>
      <c r="N195" s="331">
        <v>0</v>
      </c>
      <c r="O195" s="331">
        <v>0</v>
      </c>
      <c r="P195" s="331"/>
      <c r="Q195" s="317">
        <f t="shared" si="110"/>
        <v>12200000.639748</v>
      </c>
      <c r="R195" s="589">
        <f t="shared" si="171"/>
        <v>1</v>
      </c>
      <c r="S195" s="417">
        <v>10335660.859999999</v>
      </c>
      <c r="T195" s="417">
        <v>10837449.529999999</v>
      </c>
      <c r="U195" s="575">
        <f t="shared" si="121"/>
        <v>0.8883154886640936</v>
      </c>
      <c r="V195" s="592">
        <v>0.88831549194278203</v>
      </c>
      <c r="W195" s="575">
        <f t="shared" si="118"/>
        <v>-3.2786884318625198E-9</v>
      </c>
      <c r="X195" s="612">
        <f t="shared" si="151"/>
        <v>0.8883154886640936</v>
      </c>
      <c r="Y195" s="586">
        <v>10837449.529999999</v>
      </c>
      <c r="Z195" s="591">
        <f t="shared" si="152"/>
        <v>0.8883154886640936</v>
      </c>
      <c r="AA195" s="591">
        <v>0.88831549194278203</v>
      </c>
      <c r="AB195" s="591">
        <f t="shared" si="153"/>
        <v>-3.2786884318625198E-9</v>
      </c>
      <c r="AC195" s="593">
        <f t="shared" si="154"/>
        <v>0.8883154886640936</v>
      </c>
      <c r="AD195" s="625">
        <v>1185832.0899999999</v>
      </c>
      <c r="AE195" s="22">
        <v>0</v>
      </c>
      <c r="AF195" s="22">
        <v>9800913.6300000008</v>
      </c>
      <c r="AG195" s="22">
        <v>9657329.1799999997</v>
      </c>
      <c r="AH195" s="606">
        <v>149296.49000000002</v>
      </c>
      <c r="AI195" s="594">
        <f t="shared" si="169"/>
        <v>10837449.23</v>
      </c>
      <c r="AJ195" s="332">
        <f t="shared" si="164"/>
        <v>10693864.779999999</v>
      </c>
      <c r="AK195" s="624">
        <f>SUM(AD195:AF195)</f>
        <v>10986745.720000001</v>
      </c>
      <c r="AL195" s="591">
        <f t="shared" si="155"/>
        <v>0.90055288064533578</v>
      </c>
      <c r="AM195" s="591">
        <v>0.90055288064533578</v>
      </c>
      <c r="AN195" s="591">
        <f t="shared" si="124"/>
        <v>0</v>
      </c>
      <c r="AO195" s="744">
        <f t="shared" si="156"/>
        <v>0.90055288064533578</v>
      </c>
      <c r="AP195" s="623"/>
      <c r="AQ195" s="745"/>
      <c r="AR195" s="745"/>
      <c r="AS195" s="745"/>
      <c r="AT195" s="331"/>
      <c r="AU195" s="745"/>
      <c r="AV195" s="745"/>
      <c r="AW195" s="746"/>
      <c r="AY195" s="747"/>
      <c r="AZ195" s="455"/>
      <c r="BA195" s="455"/>
      <c r="BB195" s="455"/>
      <c r="BC195" s="455"/>
    </row>
    <row r="196" spans="1:55" s="305" customFormat="1" ht="66" outlineLevel="1">
      <c r="A196" s="327" t="s">
        <v>101</v>
      </c>
      <c r="B196" s="328" t="s">
        <v>1253</v>
      </c>
      <c r="C196" s="329" t="s">
        <v>1106</v>
      </c>
      <c r="D196" s="329" t="s">
        <v>1097</v>
      </c>
      <c r="E196" s="754">
        <v>3628324</v>
      </c>
      <c r="F196" s="586">
        <f>E196*$E$2</f>
        <v>2550000.6204960002</v>
      </c>
      <c r="G196" s="22">
        <v>3628324</v>
      </c>
      <c r="H196" s="22">
        <f>G196*$G$2</f>
        <v>2550000.6204960002</v>
      </c>
      <c r="I196" s="748">
        <v>3628324</v>
      </c>
      <c r="J196" s="331">
        <f>I196*$I$2</f>
        <v>2550000.6204960002</v>
      </c>
      <c r="K196" s="588" t="s">
        <v>885</v>
      </c>
      <c r="L196" s="588"/>
      <c r="M196" s="588"/>
      <c r="N196" s="331">
        <v>0</v>
      </c>
      <c r="O196" s="331">
        <v>0</v>
      </c>
      <c r="P196" s="331"/>
      <c r="Q196" s="317">
        <f t="shared" si="110"/>
        <v>2550000.6204960002</v>
      </c>
      <c r="R196" s="589">
        <f t="shared" si="171"/>
        <v>1</v>
      </c>
      <c r="S196" s="417">
        <v>0</v>
      </c>
      <c r="T196" s="417">
        <v>0</v>
      </c>
      <c r="U196" s="575">
        <f t="shared" si="121"/>
        <v>0</v>
      </c>
      <c r="V196" s="592">
        <v>0</v>
      </c>
      <c r="W196" s="575">
        <f t="shared" si="118"/>
        <v>0</v>
      </c>
      <c r="X196" s="612">
        <f t="shared" si="151"/>
        <v>0</v>
      </c>
      <c r="Y196" s="586">
        <v>0</v>
      </c>
      <c r="Z196" s="591">
        <f t="shared" si="152"/>
        <v>0</v>
      </c>
      <c r="AA196" s="592">
        <v>0</v>
      </c>
      <c r="AB196" s="591">
        <f t="shared" si="153"/>
        <v>0</v>
      </c>
      <c r="AC196" s="593">
        <f t="shared" si="154"/>
        <v>0</v>
      </c>
      <c r="AD196" s="606">
        <v>0</v>
      </c>
      <c r="AE196" s="606">
        <v>0</v>
      </c>
      <c r="AF196" s="606">
        <v>0</v>
      </c>
      <c r="AG196" s="606">
        <v>0</v>
      </c>
      <c r="AH196" s="606">
        <v>0</v>
      </c>
      <c r="AI196" s="594">
        <f t="shared" si="169"/>
        <v>0</v>
      </c>
      <c r="AJ196" s="332">
        <f t="shared" si="164"/>
        <v>0</v>
      </c>
      <c r="AK196" s="624">
        <f>SUM(AD196:AF196)</f>
        <v>0</v>
      </c>
      <c r="AL196" s="591">
        <f t="shared" si="155"/>
        <v>0</v>
      </c>
      <c r="AM196" s="591">
        <v>0</v>
      </c>
      <c r="AN196" s="591">
        <f t="shared" si="124"/>
        <v>0</v>
      </c>
      <c r="AO196" s="744">
        <f t="shared" si="156"/>
        <v>0</v>
      </c>
      <c r="AP196" s="623"/>
      <c r="AQ196" s="745"/>
      <c r="AR196" s="745"/>
      <c r="AS196" s="745"/>
      <c r="AT196" s="331"/>
      <c r="AU196" s="745"/>
      <c r="AV196" s="745"/>
      <c r="AW196" s="746"/>
      <c r="AY196" s="747"/>
      <c r="AZ196" s="455"/>
      <c r="BA196" s="455"/>
      <c r="BB196" s="455"/>
      <c r="BC196" s="455"/>
    </row>
    <row r="197" spans="1:55" s="305" customFormat="1" ht="165" outlineLevel="1">
      <c r="A197" s="327" t="s">
        <v>102</v>
      </c>
      <c r="B197" s="328" t="s">
        <v>1254</v>
      </c>
      <c r="C197" s="329" t="s">
        <v>1106</v>
      </c>
      <c r="D197" s="329" t="s">
        <v>1237</v>
      </c>
      <c r="E197" s="754">
        <v>23034492</v>
      </c>
      <c r="F197" s="586">
        <f>E197*$E$2</f>
        <v>16188733.115567999</v>
      </c>
      <c r="G197" s="748">
        <v>23034492</v>
      </c>
      <c r="H197" s="22">
        <f>G197*$G$2</f>
        <v>16188733.115567999</v>
      </c>
      <c r="I197" s="748">
        <v>23034492</v>
      </c>
      <c r="J197" s="331">
        <f>I197*$I$2</f>
        <v>16188733.115567999</v>
      </c>
      <c r="K197" s="588" t="s">
        <v>885</v>
      </c>
      <c r="L197" s="588"/>
      <c r="M197" s="588"/>
      <c r="N197" s="331">
        <v>0</v>
      </c>
      <c r="O197" s="331">
        <v>0</v>
      </c>
      <c r="P197" s="331"/>
      <c r="Q197" s="317">
        <f t="shared" si="110"/>
        <v>16188733.115567999</v>
      </c>
      <c r="R197" s="589">
        <f t="shared" si="171"/>
        <v>1</v>
      </c>
      <c r="S197" s="417">
        <v>685281</v>
      </c>
      <c r="T197" s="417">
        <v>16188733</v>
      </c>
      <c r="U197" s="575">
        <f t="shared" si="121"/>
        <v>0.999999992861208</v>
      </c>
      <c r="V197" s="592">
        <v>0.999999992861208</v>
      </c>
      <c r="W197" s="575">
        <f t="shared" si="118"/>
        <v>0</v>
      </c>
      <c r="X197" s="612">
        <f t="shared" si="151"/>
        <v>0.999999992861208</v>
      </c>
      <c r="Y197" s="586">
        <v>16188733</v>
      </c>
      <c r="Z197" s="591">
        <f t="shared" si="152"/>
        <v>0.999999992861208</v>
      </c>
      <c r="AA197" s="592">
        <v>0.999999992861208</v>
      </c>
      <c r="AB197" s="591">
        <f t="shared" si="153"/>
        <v>0</v>
      </c>
      <c r="AC197" s="593">
        <f t="shared" si="154"/>
        <v>0.999999992861208</v>
      </c>
      <c r="AD197" s="625">
        <v>685280.07</v>
      </c>
      <c r="AE197" s="22">
        <v>0</v>
      </c>
      <c r="AF197" s="22">
        <v>0</v>
      </c>
      <c r="AG197" s="22">
        <v>0</v>
      </c>
      <c r="AH197" s="606">
        <v>0</v>
      </c>
      <c r="AI197" s="594">
        <f t="shared" si="169"/>
        <v>685280.07</v>
      </c>
      <c r="AJ197" s="332">
        <f t="shared" si="164"/>
        <v>685280.07</v>
      </c>
      <c r="AK197" s="624">
        <f>SUM(AD197:AF197)</f>
        <v>685280.07</v>
      </c>
      <c r="AL197" s="591">
        <f t="shared" si="155"/>
        <v>4.2330679313070892E-2</v>
      </c>
      <c r="AM197" s="591">
        <v>2.7133249826546933E-2</v>
      </c>
      <c r="AN197" s="591">
        <f t="shared" si="124"/>
        <v>1.5197429486523958E-2</v>
      </c>
      <c r="AO197" s="744">
        <f t="shared" si="156"/>
        <v>4.2330679313070892E-2</v>
      </c>
      <c r="AP197" s="623"/>
      <c r="AQ197" s="745"/>
      <c r="AR197" s="745"/>
      <c r="AS197" s="745"/>
      <c r="AT197" s="331"/>
      <c r="AU197" s="745"/>
      <c r="AV197" s="745"/>
      <c r="AW197" s="746"/>
      <c r="AY197" s="747"/>
      <c r="AZ197" s="455"/>
      <c r="BA197" s="455"/>
      <c r="BB197" s="455"/>
      <c r="BC197" s="455"/>
    </row>
    <row r="198" spans="1:55" s="741" customFormat="1" ht="181.5" outlineLevel="1">
      <c r="A198" s="19" t="s">
        <v>103</v>
      </c>
      <c r="B198" s="20" t="s">
        <v>1255</v>
      </c>
      <c r="C198" s="21" t="s">
        <v>55</v>
      </c>
      <c r="D198" s="21" t="s">
        <v>1237</v>
      </c>
      <c r="E198" s="622"/>
      <c r="F198" s="586">
        <f>F199+F200</f>
        <v>0</v>
      </c>
      <c r="G198" s="331"/>
      <c r="H198" s="331">
        <f>H199+H200</f>
        <v>0</v>
      </c>
      <c r="I198" s="331"/>
      <c r="J198" s="331">
        <f>J199+J200</f>
        <v>0</v>
      </c>
      <c r="K198" s="588" t="s">
        <v>885</v>
      </c>
      <c r="L198" s="588"/>
      <c r="M198" s="588"/>
      <c r="N198" s="331">
        <f>N199+N200</f>
        <v>0</v>
      </c>
      <c r="O198" s="331">
        <f>O199+O200</f>
        <v>0</v>
      </c>
      <c r="P198" s="331"/>
      <c r="Q198" s="317">
        <f t="shared" si="110"/>
        <v>0</v>
      </c>
      <c r="R198" s="589">
        <v>0</v>
      </c>
      <c r="S198" s="757">
        <v>0</v>
      </c>
      <c r="T198" s="417">
        <v>0</v>
      </c>
      <c r="U198" s="575">
        <v>0</v>
      </c>
      <c r="V198" s="591">
        <v>0</v>
      </c>
      <c r="W198" s="575">
        <f t="shared" si="118"/>
        <v>0</v>
      </c>
      <c r="X198" s="612">
        <v>0</v>
      </c>
      <c r="Y198" s="586">
        <v>0</v>
      </c>
      <c r="Z198" s="591">
        <v>0</v>
      </c>
      <c r="AA198" s="592">
        <v>0</v>
      </c>
      <c r="AB198" s="591">
        <v>0</v>
      </c>
      <c r="AC198" s="593">
        <f>IF(Q198=0,0,Y198/Q198)</f>
        <v>0</v>
      </c>
      <c r="AD198" s="606">
        <v>0</v>
      </c>
      <c r="AE198" s="606">
        <v>0</v>
      </c>
      <c r="AF198" s="606">
        <v>0</v>
      </c>
      <c r="AG198" s="606">
        <v>0</v>
      </c>
      <c r="AH198" s="606">
        <v>0</v>
      </c>
      <c r="AI198" s="594">
        <v>0</v>
      </c>
      <c r="AJ198" s="332">
        <f t="shared" si="164"/>
        <v>0</v>
      </c>
      <c r="AK198" s="23">
        <v>0</v>
      </c>
      <c r="AL198" s="591">
        <v>0</v>
      </c>
      <c r="AM198" s="591">
        <v>0</v>
      </c>
      <c r="AN198" s="591">
        <v>0</v>
      </c>
      <c r="AO198" s="744">
        <f>IF(Q198=0,0,AK198/Q198)</f>
        <v>0</v>
      </c>
      <c r="AP198" s="623"/>
      <c r="AQ198" s="745"/>
      <c r="AR198" s="745"/>
      <c r="AS198" s="745"/>
      <c r="AT198" s="331"/>
      <c r="AU198" s="745"/>
      <c r="AV198" s="745"/>
      <c r="AW198" s="746"/>
      <c r="AY198" s="747"/>
      <c r="AZ198" s="753"/>
      <c r="BA198" s="753"/>
      <c r="BB198" s="753"/>
      <c r="BC198" s="753"/>
    </row>
    <row r="199" spans="1:55" s="305" customFormat="1" ht="115.5" outlineLevel="1">
      <c r="A199" s="327" t="s">
        <v>104</v>
      </c>
      <c r="B199" s="328" t="s">
        <v>1256</v>
      </c>
      <c r="C199" s="329" t="s">
        <v>1106</v>
      </c>
      <c r="D199" s="329" t="s">
        <v>1237</v>
      </c>
      <c r="E199" s="754">
        <v>0</v>
      </c>
      <c r="F199" s="586">
        <f>E199*$E$2</f>
        <v>0</v>
      </c>
      <c r="G199" s="22">
        <v>0</v>
      </c>
      <c r="H199" s="22">
        <f>G199*$G$2</f>
        <v>0</v>
      </c>
      <c r="I199" s="748">
        <v>0</v>
      </c>
      <c r="J199" s="331">
        <f>I199*$I$2</f>
        <v>0</v>
      </c>
      <c r="K199" s="588" t="s">
        <v>885</v>
      </c>
      <c r="L199" s="588"/>
      <c r="M199" s="588"/>
      <c r="N199" s="331">
        <v>0</v>
      </c>
      <c r="O199" s="331">
        <v>0</v>
      </c>
      <c r="P199" s="331"/>
      <c r="Q199" s="317">
        <f t="shared" si="110"/>
        <v>0</v>
      </c>
      <c r="R199" s="589">
        <v>0</v>
      </c>
      <c r="S199" s="417">
        <v>0</v>
      </c>
      <c r="T199" s="417">
        <v>0</v>
      </c>
      <c r="U199" s="575">
        <v>0</v>
      </c>
      <c r="V199" s="592">
        <v>0</v>
      </c>
      <c r="W199" s="575">
        <f t="shared" si="118"/>
        <v>0</v>
      </c>
      <c r="X199" s="612" t="e">
        <f t="shared" ref="X199:X222" si="173">T199/Q199</f>
        <v>#DIV/0!</v>
      </c>
      <c r="Y199" s="586">
        <v>0</v>
      </c>
      <c r="Z199" s="591"/>
      <c r="AA199" s="592"/>
      <c r="AB199" s="591">
        <v>0</v>
      </c>
      <c r="AC199" s="593">
        <f>IF(Q199=0,0,Y199/Q199)</f>
        <v>0</v>
      </c>
      <c r="AD199" s="606">
        <v>0</v>
      </c>
      <c r="AE199" s="606">
        <v>0</v>
      </c>
      <c r="AF199" s="606">
        <v>0</v>
      </c>
      <c r="AG199" s="606">
        <v>0</v>
      </c>
      <c r="AH199" s="606">
        <v>0</v>
      </c>
      <c r="AI199" s="594">
        <f t="shared" si="169"/>
        <v>0</v>
      </c>
      <c r="AJ199" s="332">
        <f t="shared" si="164"/>
        <v>0</v>
      </c>
      <c r="AK199" s="624">
        <f>SUM(AD199:AF199)</f>
        <v>0</v>
      </c>
      <c r="AL199" s="591">
        <v>0</v>
      </c>
      <c r="AM199" s="591">
        <v>0</v>
      </c>
      <c r="AN199" s="591">
        <v>0</v>
      </c>
      <c r="AO199" s="744">
        <f>IF(Q199=0,0,AK199/Q199)</f>
        <v>0</v>
      </c>
      <c r="AP199" s="623"/>
      <c r="AQ199" s="745"/>
      <c r="AR199" s="745"/>
      <c r="AS199" s="745"/>
      <c r="AT199" s="331"/>
      <c r="AU199" s="745"/>
      <c r="AV199" s="745"/>
      <c r="AW199" s="746"/>
      <c r="AY199" s="747"/>
      <c r="AZ199" s="455"/>
      <c r="BA199" s="455"/>
      <c r="BB199" s="455"/>
      <c r="BC199" s="455"/>
    </row>
    <row r="200" spans="1:55" s="305" customFormat="1" ht="82.5" outlineLevel="1">
      <c r="A200" s="327" t="s">
        <v>105</v>
      </c>
      <c r="B200" s="328" t="s">
        <v>1257</v>
      </c>
      <c r="C200" s="329" t="s">
        <v>1106</v>
      </c>
      <c r="D200" s="329" t="s">
        <v>1237</v>
      </c>
      <c r="E200" s="754">
        <v>0</v>
      </c>
      <c r="F200" s="586">
        <f>E200*$E$2</f>
        <v>0</v>
      </c>
      <c r="G200" s="22">
        <v>0</v>
      </c>
      <c r="H200" s="22">
        <f>G200*$G$2</f>
        <v>0</v>
      </c>
      <c r="I200" s="748">
        <v>0</v>
      </c>
      <c r="J200" s="331">
        <f>I200*$I$2</f>
        <v>0</v>
      </c>
      <c r="K200" s="588" t="s">
        <v>885</v>
      </c>
      <c r="L200" s="588"/>
      <c r="M200" s="588"/>
      <c r="N200" s="331">
        <v>0</v>
      </c>
      <c r="O200" s="331">
        <v>0</v>
      </c>
      <c r="P200" s="331"/>
      <c r="Q200" s="317">
        <f t="shared" si="110"/>
        <v>0</v>
      </c>
      <c r="R200" s="589">
        <v>0</v>
      </c>
      <c r="S200" s="417">
        <v>0</v>
      </c>
      <c r="T200" s="417">
        <v>0</v>
      </c>
      <c r="U200" s="575">
        <v>0</v>
      </c>
      <c r="V200" s="592">
        <v>0</v>
      </c>
      <c r="W200" s="575">
        <f t="shared" si="118"/>
        <v>0</v>
      </c>
      <c r="X200" s="612" t="e">
        <f t="shared" si="173"/>
        <v>#DIV/0!</v>
      </c>
      <c r="Y200" s="586">
        <v>0</v>
      </c>
      <c r="Z200" s="23">
        <v>0</v>
      </c>
      <c r="AA200" s="591">
        <v>0</v>
      </c>
      <c r="AB200" s="23">
        <f>Z200-AA200</f>
        <v>0</v>
      </c>
      <c r="AC200" s="593">
        <f>IF(Q200=0,0,Y200/Q200)</f>
        <v>0</v>
      </c>
      <c r="AD200" s="606">
        <v>0</v>
      </c>
      <c r="AE200" s="606">
        <v>0</v>
      </c>
      <c r="AF200" s="606">
        <v>0</v>
      </c>
      <c r="AG200" s="606">
        <v>0</v>
      </c>
      <c r="AH200" s="606">
        <v>0</v>
      </c>
      <c r="AI200" s="594">
        <f t="shared" si="169"/>
        <v>0</v>
      </c>
      <c r="AJ200" s="332">
        <f t="shared" si="164"/>
        <v>0</v>
      </c>
      <c r="AK200" s="624">
        <f>SUM(AD200:AF200)</f>
        <v>0</v>
      </c>
      <c r="AL200" s="591">
        <v>0</v>
      </c>
      <c r="AM200" s="591">
        <v>0</v>
      </c>
      <c r="AN200" s="591">
        <v>0</v>
      </c>
      <c r="AO200" s="744">
        <f>IF(Q200=0,0,AK200/Q200)</f>
        <v>0</v>
      </c>
      <c r="AP200" s="623"/>
      <c r="AQ200" s="745"/>
      <c r="AR200" s="745"/>
      <c r="AS200" s="745"/>
      <c r="AT200" s="331"/>
      <c r="AU200" s="745"/>
      <c r="AV200" s="745"/>
      <c r="AW200" s="746"/>
      <c r="AY200" s="747"/>
      <c r="AZ200" s="455"/>
      <c r="BA200" s="455"/>
      <c r="BB200" s="455"/>
      <c r="BC200" s="455"/>
    </row>
    <row r="201" spans="1:55" s="741" customFormat="1" ht="132">
      <c r="A201" s="14" t="s">
        <v>202</v>
      </c>
      <c r="B201" s="15" t="s">
        <v>1258</v>
      </c>
      <c r="C201" s="16" t="s">
        <v>1202</v>
      </c>
      <c r="D201" s="16" t="s">
        <v>1237</v>
      </c>
      <c r="E201" s="614"/>
      <c r="F201" s="608">
        <f>F202+F209</f>
        <v>602279449.62860405</v>
      </c>
      <c r="G201" s="588"/>
      <c r="H201" s="588">
        <f>H202+H209</f>
        <v>602279449.62860405</v>
      </c>
      <c r="I201" s="588"/>
      <c r="J201" s="588">
        <f>J202+J209</f>
        <v>602279449.62860405</v>
      </c>
      <c r="K201" s="588" t="s">
        <v>885</v>
      </c>
      <c r="L201" s="588"/>
      <c r="M201" s="588"/>
      <c r="N201" s="588">
        <f>N202+N209</f>
        <v>31087535</v>
      </c>
      <c r="O201" s="588">
        <f>O202+O209</f>
        <v>26556140.449999999</v>
      </c>
      <c r="P201" s="588"/>
      <c r="Q201" s="294">
        <f t="shared" si="110"/>
        <v>628835590.0786041</v>
      </c>
      <c r="R201" s="610">
        <f t="shared" ref="R201:R218" si="174">Q201/J201</f>
        <v>1.0440927221846534</v>
      </c>
      <c r="S201" s="614">
        <v>408766313.41999996</v>
      </c>
      <c r="T201" s="614">
        <f t="shared" ref="T201" si="175">T202+T209</f>
        <v>599581001.93999994</v>
      </c>
      <c r="U201" s="575">
        <f t="shared" si="121"/>
        <v>0.99551960856332034</v>
      </c>
      <c r="V201" s="575">
        <v>0.95982202164871133</v>
      </c>
      <c r="W201" s="575">
        <f t="shared" si="118"/>
        <v>3.5697586914609003E-2</v>
      </c>
      <c r="X201" s="612">
        <f t="shared" si="173"/>
        <v>0.95347816090538484</v>
      </c>
      <c r="Y201" s="614">
        <f t="shared" ref="Y201" si="176">Y202+Y209</f>
        <v>524136126.14000005</v>
      </c>
      <c r="Z201" s="575">
        <f t="shared" ref="Z201:Z222" si="177">Y201/J201</f>
        <v>0.870254043140952</v>
      </c>
      <c r="AA201" s="749">
        <v>0.870254043140952</v>
      </c>
      <c r="AB201" s="575">
        <f t="shared" ref="AB201:AB259" si="178">Z201-AA201</f>
        <v>0</v>
      </c>
      <c r="AC201" s="612">
        <f t="shared" ref="AC201:AC222" si="179">Y201/Q201</f>
        <v>0.8335026426772113</v>
      </c>
      <c r="AD201" s="573">
        <f>AD202+AD209</f>
        <v>286163472.5</v>
      </c>
      <c r="AE201" s="573">
        <f t="shared" ref="AE201:AH201" si="180">AE202+AE209</f>
        <v>0</v>
      </c>
      <c r="AF201" s="573">
        <f t="shared" si="180"/>
        <v>84142009.229999989</v>
      </c>
      <c r="AG201" s="573">
        <f t="shared" si="180"/>
        <v>17404572.719999999</v>
      </c>
      <c r="AH201" s="573">
        <f t="shared" si="180"/>
        <v>22274836</v>
      </c>
      <c r="AI201" s="499">
        <f t="shared" si="169"/>
        <v>325755809.73000002</v>
      </c>
      <c r="AJ201" s="322">
        <f t="shared" si="162"/>
        <v>303568045.22000003</v>
      </c>
      <c r="AK201" s="17">
        <f>AK202+AK209</f>
        <v>348030645.73000002</v>
      </c>
      <c r="AL201" s="575">
        <f t="shared" ref="AL201:AL209" si="181">AK201/J201</f>
        <v>0.57785575440871062</v>
      </c>
      <c r="AM201" s="575">
        <v>0.53436156418496383</v>
      </c>
      <c r="AN201" s="575">
        <f t="shared" ref="AN201:AN259" si="182">AL201-AM201</f>
        <v>4.3494190223746787E-2</v>
      </c>
      <c r="AO201" s="740">
        <f t="shared" ref="AO201:AO222" si="183">AK201/Q201</f>
        <v>0.55345252594004157</v>
      </c>
      <c r="AP201" s="623"/>
      <c r="AQ201" s="745"/>
      <c r="AR201" s="745"/>
      <c r="AS201" s="745"/>
      <c r="AT201" s="331"/>
      <c r="AU201" s="745"/>
      <c r="AV201" s="745"/>
      <c r="AW201" s="746"/>
      <c r="AY201" s="747"/>
      <c r="AZ201" s="753"/>
      <c r="BA201" s="753"/>
      <c r="BB201" s="753"/>
      <c r="BC201" s="753"/>
    </row>
    <row r="202" spans="1:55" s="741" customFormat="1" ht="99" outlineLevel="1">
      <c r="A202" s="14" t="s">
        <v>201</v>
      </c>
      <c r="B202" s="15" t="s">
        <v>1259</v>
      </c>
      <c r="C202" s="16" t="s">
        <v>1202</v>
      </c>
      <c r="D202" s="16" t="s">
        <v>1</v>
      </c>
      <c r="E202" s="614"/>
      <c r="F202" s="608">
        <f>F203+F204+F205+F206+F207+F208</f>
        <v>580779526.18406403</v>
      </c>
      <c r="G202" s="588"/>
      <c r="H202" s="588">
        <f>H203+H204+H205+H206+H207+H208</f>
        <v>580779526.886868</v>
      </c>
      <c r="I202" s="588"/>
      <c r="J202" s="588">
        <f>J203+J204+J205+J206+J207+J208</f>
        <v>580779526.886868</v>
      </c>
      <c r="K202" s="588" t="s">
        <v>885</v>
      </c>
      <c r="L202" s="588"/>
      <c r="M202" s="588"/>
      <c r="N202" s="588">
        <f>N203+N204+N205+N206+N207+N208</f>
        <v>31087535</v>
      </c>
      <c r="O202" s="588">
        <f>O203+O204+O205+O206+O207+O208</f>
        <v>26556140.449999999</v>
      </c>
      <c r="P202" s="588"/>
      <c r="Q202" s="294">
        <f t="shared" ref="Q202:Q259" si="184">J202+O202</f>
        <v>607335667.33686805</v>
      </c>
      <c r="R202" s="610">
        <f t="shared" si="174"/>
        <v>1.0457249941166968</v>
      </c>
      <c r="S202" s="614">
        <v>408766313.41999996</v>
      </c>
      <c r="T202" s="614">
        <f>T203+T204+T205+T206+T207+T208</f>
        <v>578081078.93999994</v>
      </c>
      <c r="U202" s="575">
        <f t="shared" si="121"/>
        <v>0.99535374815752808</v>
      </c>
      <c r="V202" s="575">
        <v>0.99535374815752808</v>
      </c>
      <c r="W202" s="575">
        <f t="shared" si="118"/>
        <v>0</v>
      </c>
      <c r="X202" s="612">
        <f t="shared" si="173"/>
        <v>0.95183126898318393</v>
      </c>
      <c r="Y202" s="614">
        <f>Y203+Y204+Y205+Y206+Y207+Y208</f>
        <v>524136126.14000005</v>
      </c>
      <c r="Z202" s="575">
        <f t="shared" si="177"/>
        <v>0.90247004564625133</v>
      </c>
      <c r="AA202" s="575">
        <v>0.90247004564625133</v>
      </c>
      <c r="AB202" s="575">
        <f t="shared" si="178"/>
        <v>0</v>
      </c>
      <c r="AC202" s="612">
        <f t="shared" si="179"/>
        <v>0.86300896576403419</v>
      </c>
      <c r="AD202" s="573">
        <f>AD203+AD204+AD205+AD206+AD207+AD208</f>
        <v>286163472.5</v>
      </c>
      <c r="AE202" s="573">
        <f t="shared" ref="AE202:AH202" si="185">AE203+AE204+AE205+AE206+AE207+AE208</f>
        <v>0</v>
      </c>
      <c r="AF202" s="573">
        <f t="shared" si="185"/>
        <v>61867173.229999997</v>
      </c>
      <c r="AG202" s="573">
        <f t="shared" si="185"/>
        <v>17404572.719999999</v>
      </c>
      <c r="AH202" s="573">
        <f t="shared" si="185"/>
        <v>0</v>
      </c>
      <c r="AI202" s="499">
        <f t="shared" si="169"/>
        <v>348030645.73000002</v>
      </c>
      <c r="AJ202" s="322">
        <f t="shared" si="162"/>
        <v>303568045.22000003</v>
      </c>
      <c r="AK202" s="17">
        <f>AK203+AK204+AK205+AK206+AK207+AK208</f>
        <v>348030645.73000002</v>
      </c>
      <c r="AL202" s="575">
        <f t="shared" si="181"/>
        <v>0.59924744178834333</v>
      </c>
      <c r="AM202" s="575">
        <v>0.5541431367340387</v>
      </c>
      <c r="AN202" s="575">
        <f t="shared" si="182"/>
        <v>4.5104305054304628E-2</v>
      </c>
      <c r="AO202" s="740">
        <f t="shared" si="183"/>
        <v>0.57304496417293316</v>
      </c>
      <c r="AP202" s="623"/>
      <c r="AQ202" s="745"/>
      <c r="AR202" s="745"/>
      <c r="AS202" s="745"/>
      <c r="AT202" s="331"/>
      <c r="AU202" s="745"/>
      <c r="AV202" s="745"/>
      <c r="AW202" s="746"/>
      <c r="AY202" s="747"/>
      <c r="AZ202" s="753"/>
      <c r="BA202" s="753"/>
      <c r="BB202" s="753"/>
      <c r="BC202" s="753"/>
    </row>
    <row r="203" spans="1:55" s="785" customFormat="1" ht="49.5" outlineLevel="1">
      <c r="A203" s="760" t="s">
        <v>200</v>
      </c>
      <c r="B203" s="761" t="s">
        <v>1260</v>
      </c>
      <c r="C203" s="762" t="s">
        <v>1202</v>
      </c>
      <c r="D203" s="762" t="s">
        <v>1237</v>
      </c>
      <c r="E203" s="754">
        <v>308392773</v>
      </c>
      <c r="F203" s="764">
        <f t="shared" ref="F203:F208" si="186">E203*$E$2</f>
        <v>216739674.43549201</v>
      </c>
      <c r="G203" s="748">
        <v>308392773</v>
      </c>
      <c r="H203" s="22">
        <f t="shared" ref="H203:H208" si="187">G203*$G$2</f>
        <v>216739674.43549201</v>
      </c>
      <c r="I203" s="748">
        <v>308392773</v>
      </c>
      <c r="J203" s="766">
        <f t="shared" ref="J203:J210" si="188">I203*$I$2</f>
        <v>216739674.43549201</v>
      </c>
      <c r="K203" s="588" t="s">
        <v>885</v>
      </c>
      <c r="L203" s="588"/>
      <c r="M203" s="588"/>
      <c r="N203" s="766">
        <v>30209297</v>
      </c>
      <c r="O203" s="766">
        <f>N203*0.85</f>
        <v>25677902.449999999</v>
      </c>
      <c r="P203" s="331"/>
      <c r="Q203" s="768">
        <f>J203+O203</f>
        <v>242417576.885492</v>
      </c>
      <c r="R203" s="769">
        <f t="shared" si="174"/>
        <v>1.1184734752272707</v>
      </c>
      <c r="S203" s="770">
        <v>227438564.35999998</v>
      </c>
      <c r="T203" s="770">
        <v>239770251.72</v>
      </c>
      <c r="U203" s="771">
        <f t="shared" si="121"/>
        <v>1.1062591671067705</v>
      </c>
      <c r="V203" s="772">
        <v>1.1062591671067705</v>
      </c>
      <c r="W203" s="771">
        <f t="shared" si="118"/>
        <v>0</v>
      </c>
      <c r="X203" s="773">
        <f t="shared" si="173"/>
        <v>0.98907948342894925</v>
      </c>
      <c r="Y203" s="774">
        <v>239770251.72</v>
      </c>
      <c r="Z203" s="775">
        <f t="shared" si="177"/>
        <v>1.1062591671067705</v>
      </c>
      <c r="AA203" s="775">
        <v>1.1062591671067705</v>
      </c>
      <c r="AB203" s="775">
        <f t="shared" si="178"/>
        <v>0</v>
      </c>
      <c r="AC203" s="776">
        <f t="shared" si="179"/>
        <v>0.98907948342894925</v>
      </c>
      <c r="AD203" s="777">
        <v>174460048.56999999</v>
      </c>
      <c r="AE203" s="743">
        <v>0</v>
      </c>
      <c r="AF203" s="743">
        <v>0</v>
      </c>
      <c r="AG203" s="743">
        <v>779008.65999999596</v>
      </c>
      <c r="AH203" s="742">
        <v>0</v>
      </c>
      <c r="AI203" s="778">
        <f t="shared" si="169"/>
        <v>174460048.56999999</v>
      </c>
      <c r="AJ203" s="779">
        <f t="shared" ref="AJ203:AJ208" si="189">AD203+AE203+AG203-AH203</f>
        <v>175239057.22999999</v>
      </c>
      <c r="AK203" s="780">
        <f t="shared" ref="AK203:AK208" si="190">SUM(AD203:AF203)</f>
        <v>174460048.56999999</v>
      </c>
      <c r="AL203" s="775">
        <f t="shared" si="181"/>
        <v>0.80492899615351388</v>
      </c>
      <c r="AM203" s="775">
        <v>0.72868129465150488</v>
      </c>
      <c r="AN203" s="591">
        <f t="shared" si="182"/>
        <v>7.6247701502008991E-2</v>
      </c>
      <c r="AO203" s="781">
        <f t="shared" si="183"/>
        <v>0.71966748785880197</v>
      </c>
      <c r="AP203" s="782"/>
      <c r="AQ203" s="783"/>
      <c r="AR203" s="745"/>
      <c r="AS203" s="783"/>
      <c r="AT203" s="766"/>
      <c r="AU203" s="783"/>
      <c r="AV203" s="745"/>
      <c r="AW203" s="784"/>
      <c r="AY203" s="786"/>
      <c r="AZ203" s="787"/>
      <c r="BA203" s="787"/>
      <c r="BB203" s="787"/>
      <c r="BC203" s="787"/>
    </row>
    <row r="204" spans="1:55" s="305" customFormat="1" ht="183.75" customHeight="1" outlineLevel="1">
      <c r="A204" s="327" t="s">
        <v>106</v>
      </c>
      <c r="B204" s="328" t="s">
        <v>1261</v>
      </c>
      <c r="C204" s="329" t="s">
        <v>1202</v>
      </c>
      <c r="D204" s="329" t="s">
        <v>1237</v>
      </c>
      <c r="E204" s="759">
        <v>242304565</v>
      </c>
      <c r="F204" s="788">
        <f t="shared" si="186"/>
        <v>170292617.50026</v>
      </c>
      <c r="G204" s="22">
        <v>242304566</v>
      </c>
      <c r="H204" s="22">
        <f t="shared" si="187"/>
        <v>170292618.20306399</v>
      </c>
      <c r="I204" s="748">
        <v>242304566</v>
      </c>
      <c r="J204" s="331">
        <f t="shared" si="188"/>
        <v>170292618.20306399</v>
      </c>
      <c r="K204" s="588" t="s">
        <v>885</v>
      </c>
      <c r="L204" s="588"/>
      <c r="M204" s="588"/>
      <c r="N204" s="331">
        <v>0</v>
      </c>
      <c r="O204" s="331">
        <v>0</v>
      </c>
      <c r="P204" s="331"/>
      <c r="Q204" s="317">
        <f t="shared" si="184"/>
        <v>170292618.20306399</v>
      </c>
      <c r="R204" s="589">
        <f t="shared" si="174"/>
        <v>1</v>
      </c>
      <c r="S204" s="417">
        <v>66005010.980000004</v>
      </c>
      <c r="T204" s="417">
        <v>145658203.80000001</v>
      </c>
      <c r="U204" s="575">
        <f t="shared" si="121"/>
        <v>0.85534067969000938</v>
      </c>
      <c r="V204" s="592">
        <v>0.85534067969000938</v>
      </c>
      <c r="W204" s="575">
        <f t="shared" si="118"/>
        <v>0</v>
      </c>
      <c r="X204" s="612">
        <f t="shared" si="173"/>
        <v>0.85534067969000938</v>
      </c>
      <c r="Y204" s="586">
        <v>91713251</v>
      </c>
      <c r="Z204" s="591">
        <f t="shared" si="177"/>
        <v>0.5385626926625634</v>
      </c>
      <c r="AA204" s="591">
        <v>0.5385626926625634</v>
      </c>
      <c r="AB204" s="591">
        <f t="shared" si="178"/>
        <v>0</v>
      </c>
      <c r="AC204" s="593">
        <f t="shared" si="179"/>
        <v>0.5385626926625634</v>
      </c>
      <c r="AD204" s="625">
        <v>35737937.549999997</v>
      </c>
      <c r="AE204" s="22">
        <v>0</v>
      </c>
      <c r="AF204" s="22">
        <v>27715430.800000001</v>
      </c>
      <c r="AG204" s="22">
        <v>4650937.91</v>
      </c>
      <c r="AH204" s="606">
        <v>0</v>
      </c>
      <c r="AI204" s="594">
        <f t="shared" si="169"/>
        <v>63453368.349999994</v>
      </c>
      <c r="AJ204" s="332">
        <f t="shared" si="189"/>
        <v>40388875.459999993</v>
      </c>
      <c r="AK204" s="624">
        <f t="shared" si="190"/>
        <v>63453368.349999994</v>
      </c>
      <c r="AL204" s="591">
        <f t="shared" si="181"/>
        <v>0.37261373405120568</v>
      </c>
      <c r="AM204" s="591">
        <v>0.36825385646030118</v>
      </c>
      <c r="AN204" s="591">
        <f t="shared" si="182"/>
        <v>4.359877590904504E-3</v>
      </c>
      <c r="AO204" s="744">
        <f t="shared" si="183"/>
        <v>0.37261373405120568</v>
      </c>
      <c r="AP204" s="623"/>
      <c r="AQ204" s="745"/>
      <c r="AR204" s="745"/>
      <c r="AS204" s="745"/>
      <c r="AT204" s="331"/>
      <c r="AU204" s="745"/>
      <c r="AV204" s="745"/>
      <c r="AW204" s="746"/>
      <c r="AY204" s="747"/>
      <c r="AZ204" s="455"/>
      <c r="BA204" s="455"/>
      <c r="BB204" s="455"/>
      <c r="BC204" s="455"/>
    </row>
    <row r="205" spans="1:55" s="305" customFormat="1" ht="99" outlineLevel="1">
      <c r="A205" s="327" t="s">
        <v>1262</v>
      </c>
      <c r="B205" s="328" t="s">
        <v>1263</v>
      </c>
      <c r="C205" s="329" t="s">
        <v>1202</v>
      </c>
      <c r="D205" s="329" t="s">
        <v>1237</v>
      </c>
      <c r="E205" s="754">
        <v>166199474</v>
      </c>
      <c r="F205" s="756">
        <f t="shared" si="186"/>
        <v>116805655.12509599</v>
      </c>
      <c r="G205" s="748">
        <v>166199474</v>
      </c>
      <c r="H205" s="22">
        <f t="shared" si="187"/>
        <v>116805655.12509599</v>
      </c>
      <c r="I205" s="748">
        <v>166199474</v>
      </c>
      <c r="J205" s="331">
        <f t="shared" si="188"/>
        <v>116805655.12509599</v>
      </c>
      <c r="K205" s="588" t="s">
        <v>885</v>
      </c>
      <c r="L205" s="588"/>
      <c r="M205" s="588"/>
      <c r="N205" s="331">
        <v>878238</v>
      </c>
      <c r="O205" s="331">
        <f>N205</f>
        <v>878238</v>
      </c>
      <c r="P205" s="331"/>
      <c r="Q205" s="317">
        <f t="shared" si="184"/>
        <v>117683893.12509599</v>
      </c>
      <c r="R205" s="589">
        <f t="shared" si="174"/>
        <v>1.0075187969200585</v>
      </c>
      <c r="S205" s="417">
        <v>68906383.819999993</v>
      </c>
      <c r="T205" s="417">
        <v>115839963.59999999</v>
      </c>
      <c r="U205" s="575">
        <f t="shared" si="121"/>
        <v>0.99173249339630198</v>
      </c>
      <c r="V205" s="592">
        <v>0.99173249339630198</v>
      </c>
      <c r="W205" s="575">
        <f t="shared" si="118"/>
        <v>0</v>
      </c>
      <c r="X205" s="612">
        <f t="shared" si="173"/>
        <v>0.98433150471036901</v>
      </c>
      <c r="Y205" s="586">
        <v>115839963.59999999</v>
      </c>
      <c r="Z205" s="591">
        <f t="shared" si="177"/>
        <v>0.99173249339630198</v>
      </c>
      <c r="AA205" s="592">
        <v>0.99173249339630198</v>
      </c>
      <c r="AB205" s="591">
        <f t="shared" si="178"/>
        <v>0</v>
      </c>
      <c r="AC205" s="593">
        <f t="shared" si="179"/>
        <v>0.98433150471036901</v>
      </c>
      <c r="AD205" s="625">
        <v>47842028.640000001</v>
      </c>
      <c r="AE205" s="22">
        <v>0</v>
      </c>
      <c r="AF205" s="22">
        <v>20546507.050000001</v>
      </c>
      <c r="AG205" s="22">
        <v>8705162.2400000002</v>
      </c>
      <c r="AH205" s="606">
        <v>0</v>
      </c>
      <c r="AI205" s="594">
        <f t="shared" si="169"/>
        <v>68388535.689999998</v>
      </c>
      <c r="AJ205" s="332">
        <f t="shared" si="189"/>
        <v>56547190.880000003</v>
      </c>
      <c r="AK205" s="624">
        <f t="shared" si="190"/>
        <v>68388535.689999998</v>
      </c>
      <c r="AL205" s="591">
        <f t="shared" si="181"/>
        <v>0.58548993725310261</v>
      </c>
      <c r="AM205" s="591">
        <v>0.56092875015195165</v>
      </c>
      <c r="AN205" s="591">
        <f t="shared" si="182"/>
        <v>2.4561187101150961E-2</v>
      </c>
      <c r="AO205" s="744">
        <f t="shared" si="183"/>
        <v>0.58112060940492627</v>
      </c>
      <c r="AP205" s="623"/>
      <c r="AQ205" s="745"/>
      <c r="AR205" s="745"/>
      <c r="AS205" s="745"/>
      <c r="AT205" s="331"/>
      <c r="AU205" s="745"/>
      <c r="AV205" s="745"/>
      <c r="AW205" s="746"/>
      <c r="AY205" s="747"/>
      <c r="AZ205" s="455"/>
      <c r="BA205" s="455"/>
      <c r="BB205" s="455"/>
      <c r="BC205" s="455"/>
    </row>
    <row r="206" spans="1:55" s="305" customFormat="1" ht="49.5" outlineLevel="1">
      <c r="A206" s="327" t="s">
        <v>107</v>
      </c>
      <c r="B206" s="328" t="s">
        <v>1264</v>
      </c>
      <c r="C206" s="329" t="s">
        <v>1202</v>
      </c>
      <c r="D206" s="329" t="s">
        <v>1237</v>
      </c>
      <c r="E206" s="754">
        <v>64631943</v>
      </c>
      <c r="F206" s="756">
        <f t="shared" si="186"/>
        <v>45423588.068172</v>
      </c>
      <c r="G206" s="22">
        <v>64631943</v>
      </c>
      <c r="H206" s="22">
        <f t="shared" si="187"/>
        <v>45423588.068172</v>
      </c>
      <c r="I206" s="748">
        <v>64631943</v>
      </c>
      <c r="J206" s="331">
        <f t="shared" si="188"/>
        <v>45423588.068172</v>
      </c>
      <c r="K206" s="588" t="s">
        <v>885</v>
      </c>
      <c r="L206" s="588"/>
      <c r="M206" s="588"/>
      <c r="N206" s="331">
        <v>0</v>
      </c>
      <c r="O206" s="331">
        <v>0</v>
      </c>
      <c r="P206" s="331"/>
      <c r="Q206" s="317">
        <f t="shared" si="184"/>
        <v>45423588.068172</v>
      </c>
      <c r="R206" s="589">
        <f t="shared" si="174"/>
        <v>1</v>
      </c>
      <c r="S206" s="417">
        <v>22719512.02</v>
      </c>
      <c r="T206" s="417">
        <v>45423588</v>
      </c>
      <c r="U206" s="575">
        <f t="shared" si="121"/>
        <v>0.99999999849919385</v>
      </c>
      <c r="V206" s="592">
        <v>0.99999999849919385</v>
      </c>
      <c r="W206" s="575">
        <f t="shared" si="118"/>
        <v>0</v>
      </c>
      <c r="X206" s="612">
        <f t="shared" si="173"/>
        <v>0.99999999849919385</v>
      </c>
      <c r="Y206" s="586">
        <v>45423588</v>
      </c>
      <c r="Z206" s="591">
        <f t="shared" si="177"/>
        <v>0.99999999849919385</v>
      </c>
      <c r="AA206" s="592">
        <v>0.99999999849919385</v>
      </c>
      <c r="AB206" s="591">
        <f t="shared" si="178"/>
        <v>0</v>
      </c>
      <c r="AC206" s="593">
        <f t="shared" si="179"/>
        <v>0.99999999849919385</v>
      </c>
      <c r="AD206" s="625">
        <v>11690731.25</v>
      </c>
      <c r="AE206" s="22">
        <v>0</v>
      </c>
      <c r="AF206" s="22">
        <v>7312734.0599999996</v>
      </c>
      <c r="AG206" s="22">
        <v>764430.89000000095</v>
      </c>
      <c r="AH206" s="606">
        <v>0</v>
      </c>
      <c r="AI206" s="594">
        <f t="shared" si="169"/>
        <v>19003465.309999999</v>
      </c>
      <c r="AJ206" s="332">
        <f t="shared" si="189"/>
        <v>12455162.140000001</v>
      </c>
      <c r="AK206" s="624">
        <f t="shared" si="190"/>
        <v>19003465.309999999</v>
      </c>
      <c r="AL206" s="591">
        <f t="shared" si="181"/>
        <v>0.41836116692233738</v>
      </c>
      <c r="AM206" s="591">
        <v>0.28498521210107813</v>
      </c>
      <c r="AN206" s="591">
        <f t="shared" si="182"/>
        <v>0.13337595482125925</v>
      </c>
      <c r="AO206" s="744">
        <f t="shared" si="183"/>
        <v>0.41836116692233738</v>
      </c>
      <c r="AP206" s="623"/>
      <c r="AQ206" s="745"/>
      <c r="AR206" s="745"/>
      <c r="AS206" s="745"/>
      <c r="AT206" s="331"/>
      <c r="AU206" s="745"/>
      <c r="AV206" s="745"/>
      <c r="AW206" s="746"/>
      <c r="AY206" s="747"/>
      <c r="AZ206" s="455"/>
      <c r="BA206" s="455"/>
      <c r="BB206" s="455"/>
      <c r="BC206" s="455"/>
    </row>
    <row r="207" spans="1:55" s="305" customFormat="1" ht="82.5" outlineLevel="1">
      <c r="A207" s="327" t="s">
        <v>166</v>
      </c>
      <c r="B207" s="328" t="s">
        <v>1265</v>
      </c>
      <c r="C207" s="329" t="s">
        <v>1202</v>
      </c>
      <c r="D207" s="329" t="s">
        <v>1237</v>
      </c>
      <c r="E207" s="754">
        <v>29096061</v>
      </c>
      <c r="F207" s="756">
        <f t="shared" si="186"/>
        <v>20448828.055043999</v>
      </c>
      <c r="G207" s="748">
        <v>29096061</v>
      </c>
      <c r="H207" s="22">
        <f t="shared" si="187"/>
        <v>20448828.055043999</v>
      </c>
      <c r="I207" s="748">
        <v>29096061</v>
      </c>
      <c r="J207" s="331">
        <f t="shared" si="188"/>
        <v>20448828.055043999</v>
      </c>
      <c r="K207" s="588" t="s">
        <v>885</v>
      </c>
      <c r="L207" s="588"/>
      <c r="M207" s="588"/>
      <c r="N207" s="331">
        <v>0</v>
      </c>
      <c r="O207" s="331">
        <v>0</v>
      </c>
      <c r="P207" s="331"/>
      <c r="Q207" s="317">
        <f t="shared" si="184"/>
        <v>20448828.055043999</v>
      </c>
      <c r="R207" s="589">
        <f t="shared" si="174"/>
        <v>1</v>
      </c>
      <c r="S207" s="417">
        <v>19324320.18</v>
      </c>
      <c r="T207" s="417">
        <v>20319909.420000002</v>
      </c>
      <c r="U207" s="575">
        <f t="shared" si="121"/>
        <v>0.99369554897244106</v>
      </c>
      <c r="V207" s="592">
        <v>0.99369554897244106</v>
      </c>
      <c r="W207" s="575">
        <f t="shared" si="118"/>
        <v>0</v>
      </c>
      <c r="X207" s="612">
        <f t="shared" si="173"/>
        <v>0.99369554897244106</v>
      </c>
      <c r="Y207" s="586">
        <v>20319909.420000002</v>
      </c>
      <c r="Z207" s="591">
        <f t="shared" si="177"/>
        <v>0.99369554897244106</v>
      </c>
      <c r="AA207" s="592">
        <v>0.99369554897244106</v>
      </c>
      <c r="AB207" s="591">
        <f t="shared" si="178"/>
        <v>0</v>
      </c>
      <c r="AC207" s="593">
        <f t="shared" si="179"/>
        <v>0.99369554897244106</v>
      </c>
      <c r="AD207" s="625">
        <v>14274037.51</v>
      </c>
      <c r="AE207" s="22">
        <v>0</v>
      </c>
      <c r="AF207" s="22">
        <v>4078668.84</v>
      </c>
      <c r="AG207" s="22">
        <v>2505033.02</v>
      </c>
      <c r="AH207" s="606">
        <v>0</v>
      </c>
      <c r="AI207" s="594">
        <f t="shared" si="169"/>
        <v>18352706.350000001</v>
      </c>
      <c r="AJ207" s="332">
        <f t="shared" si="189"/>
        <v>16779070.530000001</v>
      </c>
      <c r="AK207" s="624">
        <f t="shared" si="190"/>
        <v>18352706.350000001</v>
      </c>
      <c r="AL207" s="591">
        <f t="shared" si="181"/>
        <v>0.89749428674339315</v>
      </c>
      <c r="AM207" s="591">
        <v>0.89749428674339315</v>
      </c>
      <c r="AN207" s="591">
        <f>AL207-AM207</f>
        <v>0</v>
      </c>
      <c r="AO207" s="744">
        <f t="shared" si="183"/>
        <v>0.89749428674339315</v>
      </c>
      <c r="AP207" s="623"/>
      <c r="AQ207" s="745"/>
      <c r="AR207" s="745"/>
      <c r="AS207" s="745"/>
      <c r="AT207" s="331"/>
      <c r="AU207" s="745"/>
      <c r="AV207" s="745"/>
      <c r="AW207" s="746"/>
      <c r="AY207" s="747"/>
      <c r="AZ207" s="455"/>
      <c r="BA207" s="455"/>
      <c r="BB207" s="455"/>
      <c r="BC207" s="455"/>
    </row>
    <row r="208" spans="1:55" s="305" customFormat="1" ht="99" outlineLevel="1">
      <c r="A208" s="327" t="s">
        <v>136</v>
      </c>
      <c r="B208" s="328" t="s">
        <v>1266</v>
      </c>
      <c r="C208" s="329" t="s">
        <v>1202</v>
      </c>
      <c r="D208" s="329" t="s">
        <v>1097</v>
      </c>
      <c r="E208" s="754">
        <v>15750000</v>
      </c>
      <c r="F208" s="756">
        <f t="shared" si="186"/>
        <v>11069163</v>
      </c>
      <c r="G208" s="22">
        <v>15750000</v>
      </c>
      <c r="H208" s="22">
        <f t="shared" si="187"/>
        <v>11069163</v>
      </c>
      <c r="I208" s="748">
        <v>15750000</v>
      </c>
      <c r="J208" s="331">
        <f t="shared" si="188"/>
        <v>11069163</v>
      </c>
      <c r="K208" s="588" t="s">
        <v>885</v>
      </c>
      <c r="L208" s="588"/>
      <c r="M208" s="588"/>
      <c r="N208" s="331">
        <v>0</v>
      </c>
      <c r="O208" s="331">
        <v>0</v>
      </c>
      <c r="P208" s="331"/>
      <c r="Q208" s="317">
        <f t="shared" si="184"/>
        <v>11069163</v>
      </c>
      <c r="R208" s="589">
        <f t="shared" si="174"/>
        <v>1</v>
      </c>
      <c r="S208" s="417">
        <v>4372522.0600000005</v>
      </c>
      <c r="T208" s="417">
        <v>11069162.4</v>
      </c>
      <c r="U208" s="575">
        <f t="shared" si="121"/>
        <v>0.99999994579535967</v>
      </c>
      <c r="V208" s="592">
        <v>0.99999994579535967</v>
      </c>
      <c r="W208" s="575">
        <f t="shared" si="118"/>
        <v>0</v>
      </c>
      <c r="X208" s="612">
        <f t="shared" si="173"/>
        <v>0.99999994579535967</v>
      </c>
      <c r="Y208" s="586">
        <v>11069162.4</v>
      </c>
      <c r="Z208" s="591">
        <f t="shared" si="177"/>
        <v>0.99999994579535967</v>
      </c>
      <c r="AA208" s="592">
        <v>0.99999994579535967</v>
      </c>
      <c r="AB208" s="591">
        <f t="shared" si="178"/>
        <v>0</v>
      </c>
      <c r="AC208" s="593">
        <f t="shared" si="179"/>
        <v>0.99999994579535967</v>
      </c>
      <c r="AD208" s="625">
        <v>2158688.98</v>
      </c>
      <c r="AE208" s="22">
        <v>0</v>
      </c>
      <c r="AF208" s="22">
        <v>2213832.48</v>
      </c>
      <c r="AG208" s="22">
        <v>0</v>
      </c>
      <c r="AH208" s="606">
        <v>0</v>
      </c>
      <c r="AI208" s="594">
        <f t="shared" si="169"/>
        <v>4372521.46</v>
      </c>
      <c r="AJ208" s="332">
        <f t="shared" si="189"/>
        <v>2158688.98</v>
      </c>
      <c r="AK208" s="624">
        <f t="shared" si="190"/>
        <v>4372521.46</v>
      </c>
      <c r="AL208" s="591">
        <f t="shared" si="181"/>
        <v>0.39501825567118309</v>
      </c>
      <c r="AM208" s="591">
        <v>0.39501825567118309</v>
      </c>
      <c r="AN208" s="591">
        <f>AL208-AM208</f>
        <v>0</v>
      </c>
      <c r="AO208" s="744">
        <f t="shared" si="183"/>
        <v>0.39501825567118309</v>
      </c>
      <c r="AP208" s="623"/>
      <c r="AQ208" s="745"/>
      <c r="AR208" s="745"/>
      <c r="AS208" s="745"/>
      <c r="AT208" s="331"/>
      <c r="AU208" s="745"/>
      <c r="AV208" s="745"/>
      <c r="AW208" s="746"/>
      <c r="AY208" s="747"/>
      <c r="AZ208" s="455"/>
      <c r="BA208" s="455"/>
      <c r="BB208" s="455"/>
      <c r="BC208" s="455"/>
    </row>
    <row r="209" spans="1:55" s="790" customFormat="1" ht="66" outlineLevel="1">
      <c r="A209" s="14" t="s">
        <v>108</v>
      </c>
      <c r="B209" s="15" t="s">
        <v>1267</v>
      </c>
      <c r="C209" s="16" t="s">
        <v>1202</v>
      </c>
      <c r="D209" s="16" t="s">
        <v>1237</v>
      </c>
      <c r="E209" s="754"/>
      <c r="F209" s="756">
        <f>F210</f>
        <v>21499923.444539998</v>
      </c>
      <c r="G209" s="588"/>
      <c r="H209" s="588">
        <f>H210</f>
        <v>21499922.741735999</v>
      </c>
      <c r="I209" s="588"/>
      <c r="J209" s="588">
        <f>J210</f>
        <v>21499922.741735999</v>
      </c>
      <c r="K209" s="588" t="s">
        <v>885</v>
      </c>
      <c r="L209" s="588"/>
      <c r="M209" s="588"/>
      <c r="N209" s="588">
        <f>N210</f>
        <v>0</v>
      </c>
      <c r="O209" s="588">
        <f>O210</f>
        <v>0</v>
      </c>
      <c r="P209" s="588"/>
      <c r="Q209" s="317">
        <f t="shared" si="184"/>
        <v>21499922.741735999</v>
      </c>
      <c r="R209" s="589">
        <f t="shared" si="174"/>
        <v>1</v>
      </c>
      <c r="S209" s="614">
        <v>0</v>
      </c>
      <c r="T209" s="614">
        <f t="shared" ref="T209" si="191">T210</f>
        <v>21499923</v>
      </c>
      <c r="U209" s="575">
        <f t="shared" si="121"/>
        <v>1.0000000120123222</v>
      </c>
      <c r="V209" s="575">
        <v>0</v>
      </c>
      <c r="W209" s="575">
        <f t="shared" ref="W209:W259" si="192">U209-V209</f>
        <v>1.0000000120123222</v>
      </c>
      <c r="X209" s="612">
        <f t="shared" si="173"/>
        <v>1.0000000120123222</v>
      </c>
      <c r="Y209" s="586">
        <v>0</v>
      </c>
      <c r="Z209" s="575">
        <f t="shared" si="177"/>
        <v>0</v>
      </c>
      <c r="AA209" s="749">
        <v>0</v>
      </c>
      <c r="AB209" s="575">
        <f t="shared" si="178"/>
        <v>0</v>
      </c>
      <c r="AC209" s="612">
        <f t="shared" si="179"/>
        <v>0</v>
      </c>
      <c r="AD209" s="573">
        <f>AD210</f>
        <v>0</v>
      </c>
      <c r="AE209" s="573">
        <f t="shared" ref="AE209:AH209" si="193">AE210</f>
        <v>0</v>
      </c>
      <c r="AF209" s="573">
        <f t="shared" si="193"/>
        <v>22274836</v>
      </c>
      <c r="AG209" s="573">
        <f t="shared" si="193"/>
        <v>0</v>
      </c>
      <c r="AH209" s="573">
        <f t="shared" si="193"/>
        <v>22274836</v>
      </c>
      <c r="AI209" s="594">
        <v>0</v>
      </c>
      <c r="AJ209" s="322">
        <f t="shared" ref="AJ209:AJ233" si="194">AD209+AE209+AG209</f>
        <v>0</v>
      </c>
      <c r="AK209" s="624">
        <v>0</v>
      </c>
      <c r="AL209" s="575">
        <f t="shared" si="181"/>
        <v>0</v>
      </c>
      <c r="AM209" s="575">
        <v>0</v>
      </c>
      <c r="AN209" s="575">
        <f>AL209-AM209</f>
        <v>0</v>
      </c>
      <c r="AO209" s="740">
        <f t="shared" si="183"/>
        <v>0</v>
      </c>
      <c r="AP209" s="789"/>
      <c r="AQ209" s="751"/>
      <c r="AR209" s="751"/>
      <c r="AS209" s="751"/>
      <c r="AT209" s="324"/>
      <c r="AU209" s="751"/>
      <c r="AV209" s="751"/>
      <c r="AW209" s="752"/>
      <c r="AY209" s="747"/>
      <c r="AZ209" s="791"/>
      <c r="BA209" s="791"/>
      <c r="BB209" s="791"/>
      <c r="BC209" s="791"/>
    </row>
    <row r="210" spans="1:55" s="305" customFormat="1" ht="66" outlineLevel="1">
      <c r="A210" s="327" t="s">
        <v>109</v>
      </c>
      <c r="B210" s="328" t="s">
        <v>1268</v>
      </c>
      <c r="C210" s="329" t="s">
        <v>1202</v>
      </c>
      <c r="D210" s="329" t="s">
        <v>1237</v>
      </c>
      <c r="E210" s="759">
        <v>30591635</v>
      </c>
      <c r="F210" s="788">
        <f>E210*E2</f>
        <v>21499923.444539998</v>
      </c>
      <c r="G210" s="22">
        <v>30591634</v>
      </c>
      <c r="H210" s="22">
        <f>G210*$G$2</f>
        <v>21499922.741735999</v>
      </c>
      <c r="I210" s="22">
        <v>30591634</v>
      </c>
      <c r="J210" s="331">
        <f t="shared" si="188"/>
        <v>21499922.741735999</v>
      </c>
      <c r="K210" s="588" t="s">
        <v>885</v>
      </c>
      <c r="L210" s="588"/>
      <c r="M210" s="588"/>
      <c r="N210" s="331">
        <v>0</v>
      </c>
      <c r="O210" s="331">
        <v>0</v>
      </c>
      <c r="P210" s="331"/>
      <c r="Q210" s="317">
        <f t="shared" si="184"/>
        <v>21499922.741735999</v>
      </c>
      <c r="R210" s="589">
        <f t="shared" si="174"/>
        <v>1</v>
      </c>
      <c r="S210" s="417">
        <v>0</v>
      </c>
      <c r="T210" s="417">
        <v>21499923</v>
      </c>
      <c r="U210" s="575">
        <f t="shared" ref="U210:U259" si="195">T210/J210</f>
        <v>1.0000000120123222</v>
      </c>
      <c r="V210" s="592">
        <v>0</v>
      </c>
      <c r="W210" s="575">
        <f t="shared" si="192"/>
        <v>1.0000000120123222</v>
      </c>
      <c r="X210" s="612">
        <f t="shared" si="173"/>
        <v>1.0000000120123222</v>
      </c>
      <c r="Y210" s="586">
        <v>0</v>
      </c>
      <c r="Z210" s="591">
        <f t="shared" si="177"/>
        <v>0</v>
      </c>
      <c r="AA210" s="592">
        <v>0</v>
      </c>
      <c r="AB210" s="591">
        <f t="shared" si="178"/>
        <v>0</v>
      </c>
      <c r="AC210" s="593">
        <f t="shared" si="179"/>
        <v>0</v>
      </c>
      <c r="AD210" s="625">
        <v>0</v>
      </c>
      <c r="AE210" s="22">
        <v>0</v>
      </c>
      <c r="AF210" s="22">
        <v>22274836</v>
      </c>
      <c r="AG210" s="22">
        <v>0</v>
      </c>
      <c r="AH210" s="606">
        <v>22274836</v>
      </c>
      <c r="AI210" s="594">
        <v>0</v>
      </c>
      <c r="AJ210" s="332">
        <v>0</v>
      </c>
      <c r="AK210" s="624">
        <v>0</v>
      </c>
      <c r="AL210" s="591">
        <v>0</v>
      </c>
      <c r="AM210" s="575">
        <v>0</v>
      </c>
      <c r="AN210" s="591">
        <f t="shared" si="182"/>
        <v>0</v>
      </c>
      <c r="AO210" s="744">
        <f t="shared" si="183"/>
        <v>0</v>
      </c>
      <c r="AP210" s="623"/>
      <c r="AQ210" s="745"/>
      <c r="AR210" s="745"/>
      <c r="AS210" s="745"/>
      <c r="AT210" s="331"/>
      <c r="AU210" s="745"/>
      <c r="AV210" s="745"/>
      <c r="AW210" s="746"/>
      <c r="AY210" s="747"/>
      <c r="AZ210" s="455"/>
      <c r="BA210" s="455"/>
      <c r="BB210" s="455"/>
      <c r="BC210" s="455"/>
    </row>
    <row r="211" spans="1:55" s="741" customFormat="1" ht="99">
      <c r="A211" s="14" t="s">
        <v>110</v>
      </c>
      <c r="B211" s="15" t="s">
        <v>1269</v>
      </c>
      <c r="C211" s="16" t="s">
        <v>1106</v>
      </c>
      <c r="D211" s="16" t="s">
        <v>131</v>
      </c>
      <c r="E211" s="614"/>
      <c r="F211" s="608">
        <f>F212+F219+F225+F229</f>
        <v>233939883.77066398</v>
      </c>
      <c r="G211" s="588"/>
      <c r="H211" s="588">
        <f>H212+H219+H225+H229</f>
        <v>233939883.77066398</v>
      </c>
      <c r="I211" s="588"/>
      <c r="J211" s="588">
        <f>J212+J219+J225+J229</f>
        <v>233939883.77066398</v>
      </c>
      <c r="K211" s="588" t="s">
        <v>885</v>
      </c>
      <c r="L211" s="588"/>
      <c r="M211" s="588"/>
      <c r="N211" s="588">
        <f>N212+N219+N225+N229</f>
        <v>29242015</v>
      </c>
      <c r="O211" s="588">
        <f>O212+O219+O225+O229</f>
        <v>26448655</v>
      </c>
      <c r="P211" s="588"/>
      <c r="Q211" s="294">
        <f t="shared" si="184"/>
        <v>260388538.77066398</v>
      </c>
      <c r="R211" s="610">
        <f t="shared" si="174"/>
        <v>1.1130574854261626</v>
      </c>
      <c r="S211" s="614">
        <v>143323104.12</v>
      </c>
      <c r="T211" s="614">
        <f t="shared" ref="T211" si="196">T212+T219+T225+T229</f>
        <v>235278037.78</v>
      </c>
      <c r="U211" s="575">
        <f t="shared" si="195"/>
        <v>1.0057200764049616</v>
      </c>
      <c r="V211" s="575">
        <v>1.0065759885597112</v>
      </c>
      <c r="W211" s="575">
        <f t="shared" si="192"/>
        <v>-8.5591215474956073E-4</v>
      </c>
      <c r="X211" s="612">
        <f t="shared" si="173"/>
        <v>0.90356526017153183</v>
      </c>
      <c r="Y211" s="614">
        <f t="shared" ref="Y211" si="197">Y212+Y219+Y225+Y229</f>
        <v>232696417.34</v>
      </c>
      <c r="Z211" s="575">
        <f t="shared" si="177"/>
        <v>0.9946846753506855</v>
      </c>
      <c r="AA211" s="575">
        <v>0.99171585075863389</v>
      </c>
      <c r="AB211" s="575">
        <f t="shared" si="178"/>
        <v>2.968824592051611E-3</v>
      </c>
      <c r="AC211" s="612">
        <f t="shared" si="179"/>
        <v>0.89365076680639277</v>
      </c>
      <c r="AD211" s="573">
        <f>AD212+AD219+AD225+AD229</f>
        <v>85787328.800000012</v>
      </c>
      <c r="AE211" s="573">
        <f t="shared" ref="AE211:AH211" si="198">AE212+AE219+AE225+AE229</f>
        <v>37443.14</v>
      </c>
      <c r="AF211" s="573">
        <f t="shared" si="198"/>
        <v>48319936.18</v>
      </c>
      <c r="AG211" s="573">
        <f t="shared" si="198"/>
        <v>25030449.850000005</v>
      </c>
      <c r="AH211" s="573">
        <f t="shared" si="198"/>
        <v>4148862.88</v>
      </c>
      <c r="AI211" s="499">
        <f t="shared" ref="AI211:AI243" si="199">AK211-AH211</f>
        <v>129995845.23999999</v>
      </c>
      <c r="AJ211" s="322">
        <f t="shared" si="194"/>
        <v>110855221.79000002</v>
      </c>
      <c r="AK211" s="17">
        <f>AK212+AK219+AK225+AK229</f>
        <v>134144708.11999999</v>
      </c>
      <c r="AL211" s="575">
        <f t="shared" ref="AL211:AL222" si="200">AK211/J211</f>
        <v>0.5734152978014847</v>
      </c>
      <c r="AM211" s="575">
        <v>0.54725390175667965</v>
      </c>
      <c r="AN211" s="575">
        <f t="shared" si="182"/>
        <v>2.6161396044805052E-2</v>
      </c>
      <c r="AO211" s="740">
        <f t="shared" si="183"/>
        <v>0.51517132341276872</v>
      </c>
      <c r="AP211" s="623"/>
      <c r="AQ211" s="745"/>
      <c r="AR211" s="745"/>
      <c r="AS211" s="745"/>
      <c r="AT211" s="331"/>
      <c r="AU211" s="745"/>
      <c r="AV211" s="745"/>
      <c r="AW211" s="746"/>
      <c r="AY211" s="747"/>
      <c r="AZ211" s="753"/>
      <c r="BA211" s="753"/>
      <c r="BB211" s="753"/>
      <c r="BC211" s="753"/>
    </row>
    <row r="212" spans="1:55" s="741" customFormat="1" ht="33" outlineLevel="1">
      <c r="A212" s="14" t="s">
        <v>111</v>
      </c>
      <c r="B212" s="15" t="s">
        <v>1270</v>
      </c>
      <c r="C212" s="16" t="s">
        <v>1106</v>
      </c>
      <c r="D212" s="16" t="s">
        <v>1097</v>
      </c>
      <c r="E212" s="614"/>
      <c r="F212" s="608">
        <f>F213+F214+F215+F216</f>
        <v>136883295.841932</v>
      </c>
      <c r="G212" s="588"/>
      <c r="H212" s="588">
        <f>H213+H214+H215+H217+H218</f>
        <v>136883295.841932</v>
      </c>
      <c r="I212" s="588"/>
      <c r="J212" s="588">
        <f>J213+J214+J215+J216</f>
        <v>136883295.841932</v>
      </c>
      <c r="K212" s="588" t="s">
        <v>885</v>
      </c>
      <c r="L212" s="588"/>
      <c r="M212" s="588"/>
      <c r="N212" s="588">
        <f>N213+N214+N215+N216</f>
        <v>9242015</v>
      </c>
      <c r="O212" s="588">
        <f>O213+O214+O215+O216</f>
        <v>6448655</v>
      </c>
      <c r="P212" s="588"/>
      <c r="Q212" s="294">
        <f t="shared" si="184"/>
        <v>143331950.841932</v>
      </c>
      <c r="R212" s="610">
        <f t="shared" si="174"/>
        <v>1.047110605865647</v>
      </c>
      <c r="S212" s="614">
        <v>91949666.670000002</v>
      </c>
      <c r="T212" s="614">
        <f t="shared" ref="T212" si="201">T213+T214+T215+T216</f>
        <v>127428505.58</v>
      </c>
      <c r="U212" s="575">
        <f t="shared" si="195"/>
        <v>0.93092809313380309</v>
      </c>
      <c r="V212" s="575">
        <v>0.93126714319622694</v>
      </c>
      <c r="W212" s="575">
        <f t="shared" si="192"/>
        <v>-3.3905006242385127E-4</v>
      </c>
      <c r="X212" s="612">
        <f t="shared" si="173"/>
        <v>0.88904466053440878</v>
      </c>
      <c r="Y212" s="614">
        <f t="shared" ref="Y212" si="202">Y213+Y214+Y215+Y216</f>
        <v>125365762.13</v>
      </c>
      <c r="Z212" s="575">
        <f t="shared" si="177"/>
        <v>0.91585873469008194</v>
      </c>
      <c r="AA212" s="749">
        <v>0.91619778475250579</v>
      </c>
      <c r="AB212" s="575">
        <f t="shared" si="178"/>
        <v>-3.3905006242385127E-4</v>
      </c>
      <c r="AC212" s="612">
        <f t="shared" si="179"/>
        <v>0.87465328835337408</v>
      </c>
      <c r="AD212" s="573">
        <f>AD213+AD214+AD215+AD216</f>
        <v>46149498.010000005</v>
      </c>
      <c r="AE212" s="573">
        <f t="shared" ref="AE212:AH212" si="203">AE213+AE214+AE215+AE216</f>
        <v>0</v>
      </c>
      <c r="AF212" s="573">
        <f t="shared" si="203"/>
        <v>38625699.109999999</v>
      </c>
      <c r="AG212" s="573">
        <f t="shared" si="203"/>
        <v>20947680.109999996</v>
      </c>
      <c r="AH212" s="573">
        <f t="shared" si="203"/>
        <v>3832993.72</v>
      </c>
      <c r="AI212" s="499">
        <f t="shared" si="199"/>
        <v>80942203.399999991</v>
      </c>
      <c r="AJ212" s="322">
        <f t="shared" si="194"/>
        <v>67097178.120000005</v>
      </c>
      <c r="AK212" s="17">
        <f>AK213+AK214+AK215+AK216</f>
        <v>84775197.11999999</v>
      </c>
      <c r="AL212" s="575">
        <f t="shared" si="200"/>
        <v>0.61932463416058736</v>
      </c>
      <c r="AM212" s="575">
        <v>0.59895426345282854</v>
      </c>
      <c r="AN212" s="575">
        <f t="shared" si="182"/>
        <v>2.0370370707758823E-2</v>
      </c>
      <c r="AO212" s="740">
        <f t="shared" si="183"/>
        <v>0.59146056843593076</v>
      </c>
      <c r="AP212" s="623"/>
      <c r="AQ212" s="745"/>
      <c r="AR212" s="745"/>
      <c r="AS212" s="745"/>
      <c r="AT212" s="331"/>
      <c r="AU212" s="745"/>
      <c r="AV212" s="745"/>
      <c r="AW212" s="746"/>
      <c r="AY212" s="747"/>
      <c r="AZ212" s="753"/>
      <c r="BA212" s="753"/>
      <c r="BB212" s="753"/>
      <c r="BC212" s="753"/>
    </row>
    <row r="213" spans="1:55" s="305" customFormat="1" ht="115.5" outlineLevel="1">
      <c r="A213" s="327" t="s">
        <v>353</v>
      </c>
      <c r="B213" s="328" t="s">
        <v>1271</v>
      </c>
      <c r="C213" s="329" t="s">
        <v>1106</v>
      </c>
      <c r="D213" s="329" t="s">
        <v>1097</v>
      </c>
      <c r="E213" s="754">
        <v>143493781</v>
      </c>
      <c r="F213" s="756">
        <f>E213*$E$2</f>
        <v>100848003.261924</v>
      </c>
      <c r="G213" s="22">
        <v>143493781</v>
      </c>
      <c r="H213" s="22">
        <f>G213*$G$2</f>
        <v>100848003.261924</v>
      </c>
      <c r="I213" s="748">
        <v>143493781</v>
      </c>
      <c r="J213" s="331">
        <f>I213*$I$2</f>
        <v>100848003.261924</v>
      </c>
      <c r="K213" s="588" t="s">
        <v>885</v>
      </c>
      <c r="L213" s="588"/>
      <c r="M213" s="588"/>
      <c r="N213" s="331">
        <v>157919</v>
      </c>
      <c r="O213" s="331">
        <f>N213</f>
        <v>157919</v>
      </c>
      <c r="P213" s="331"/>
      <c r="Q213" s="317">
        <f t="shared" si="184"/>
        <v>101005922.261924</v>
      </c>
      <c r="R213" s="589">
        <f t="shared" si="174"/>
        <v>1.0015659110234423</v>
      </c>
      <c r="S213" s="417">
        <v>71164143.359999999</v>
      </c>
      <c r="T213" s="417">
        <v>95846273.040000007</v>
      </c>
      <c r="U213" s="575">
        <f t="shared" si="195"/>
        <v>0.95040327958766402</v>
      </c>
      <c r="V213" s="592">
        <v>0.95086347997338161</v>
      </c>
      <c r="W213" s="575">
        <f t="shared" si="192"/>
        <v>-4.602003857175907E-4</v>
      </c>
      <c r="X213" s="612">
        <f t="shared" si="173"/>
        <v>0.9489173594341902</v>
      </c>
      <c r="Y213" s="586">
        <v>93783529.590000004</v>
      </c>
      <c r="Z213" s="591">
        <f t="shared" si="177"/>
        <v>0.92994929553958516</v>
      </c>
      <c r="AA213" s="591">
        <v>0.93040949592530275</v>
      </c>
      <c r="AB213" s="591">
        <f t="shared" si="178"/>
        <v>-4.602003857175907E-4</v>
      </c>
      <c r="AC213" s="593">
        <f t="shared" si="179"/>
        <v>0.92849535442886988</v>
      </c>
      <c r="AD213" s="625">
        <v>32943831.619999997</v>
      </c>
      <c r="AE213" s="22">
        <v>0</v>
      </c>
      <c r="AF213" s="22">
        <v>36634864.640000001</v>
      </c>
      <c r="AG213" s="22">
        <v>20329745.059999999</v>
      </c>
      <c r="AH213" s="606">
        <v>3832993.72</v>
      </c>
      <c r="AI213" s="594">
        <f t="shared" si="199"/>
        <v>65745702.539999992</v>
      </c>
      <c r="AJ213" s="332">
        <f t="shared" ref="AJ213:AJ231" si="204">AD213+AE213+AG213-AH213</f>
        <v>49440582.959999993</v>
      </c>
      <c r="AK213" s="624">
        <f>SUM(AD213:AF213)</f>
        <v>69578696.25999999</v>
      </c>
      <c r="AL213" s="591">
        <f t="shared" si="200"/>
        <v>0.68993628043669963</v>
      </c>
      <c r="AM213" s="591">
        <v>0.66867617403249591</v>
      </c>
      <c r="AN213" s="591">
        <f t="shared" si="182"/>
        <v>2.1260106404203727E-2</v>
      </c>
      <c r="AO213" s="744">
        <f t="shared" si="183"/>
        <v>0.68885759074177511</v>
      </c>
      <c r="AP213" s="623"/>
      <c r="AQ213" s="792"/>
      <c r="AR213" s="792"/>
      <c r="AS213" s="745"/>
      <c r="AT213" s="331"/>
      <c r="AU213" s="745"/>
      <c r="AV213" s="745"/>
      <c r="AW213" s="746"/>
      <c r="AY213" s="747"/>
      <c r="AZ213" s="455"/>
      <c r="BA213" s="455"/>
      <c r="BB213" s="455"/>
      <c r="BC213" s="455"/>
    </row>
    <row r="214" spans="1:55" s="305" customFormat="1" ht="99" outlineLevel="1">
      <c r="A214" s="327" t="s">
        <v>112</v>
      </c>
      <c r="B214" s="328" t="s">
        <v>1272</v>
      </c>
      <c r="C214" s="329" t="s">
        <v>1106</v>
      </c>
      <c r="D214" s="329" t="s">
        <v>1097</v>
      </c>
      <c r="E214" s="754">
        <v>3023602</v>
      </c>
      <c r="F214" s="756">
        <f>E214*$E$2</f>
        <v>2124999.5800080001</v>
      </c>
      <c r="G214" s="22">
        <v>3023602</v>
      </c>
      <c r="H214" s="22">
        <f>G214*$G$2</f>
        <v>2124999.5800080001</v>
      </c>
      <c r="I214" s="748">
        <v>3023602</v>
      </c>
      <c r="J214" s="331">
        <f>I214*$I$2</f>
        <v>2124999.5800080001</v>
      </c>
      <c r="K214" s="588" t="s">
        <v>885</v>
      </c>
      <c r="L214" s="588"/>
      <c r="M214" s="588"/>
      <c r="N214" s="331">
        <v>0</v>
      </c>
      <c r="O214" s="331">
        <v>0</v>
      </c>
      <c r="P214" s="331"/>
      <c r="Q214" s="317">
        <f t="shared" si="184"/>
        <v>2124999.5800080001</v>
      </c>
      <c r="R214" s="589">
        <f t="shared" si="174"/>
        <v>1</v>
      </c>
      <c r="S214" s="417">
        <v>1008340</v>
      </c>
      <c r="T214" s="417">
        <v>2124999</v>
      </c>
      <c r="U214" s="575">
        <f t="shared" si="195"/>
        <v>0.99999972705500484</v>
      </c>
      <c r="V214" s="592">
        <v>0.99999972705500484</v>
      </c>
      <c r="W214" s="575">
        <f t="shared" si="192"/>
        <v>0</v>
      </c>
      <c r="X214" s="612">
        <f t="shared" si="173"/>
        <v>0.99999972705500484</v>
      </c>
      <c r="Y214" s="586">
        <v>2124999</v>
      </c>
      <c r="Z214" s="591">
        <f t="shared" si="177"/>
        <v>0.99999972705500484</v>
      </c>
      <c r="AA214" s="591">
        <v>0.99999972705500484</v>
      </c>
      <c r="AB214" s="591">
        <f t="shared" si="178"/>
        <v>0</v>
      </c>
      <c r="AC214" s="593">
        <f t="shared" si="179"/>
        <v>0.99999972705500484</v>
      </c>
      <c r="AD214" s="625">
        <v>124095.53</v>
      </c>
      <c r="AE214" s="22">
        <v>0</v>
      </c>
      <c r="AF214" s="22">
        <v>884243</v>
      </c>
      <c r="AG214" s="22">
        <v>84902.33</v>
      </c>
      <c r="AH214" s="606">
        <v>0</v>
      </c>
      <c r="AI214" s="594">
        <f t="shared" si="199"/>
        <v>1008338.53</v>
      </c>
      <c r="AJ214" s="332">
        <f t="shared" si="204"/>
        <v>208997.86</v>
      </c>
      <c r="AK214" s="624">
        <f>SUM(AD214:AF214)</f>
        <v>1008338.53</v>
      </c>
      <c r="AL214" s="591">
        <f t="shared" si="200"/>
        <v>0.47451234319594732</v>
      </c>
      <c r="AM214" s="591">
        <v>0.47451234319594732</v>
      </c>
      <c r="AN214" s="591">
        <f t="shared" si="182"/>
        <v>0</v>
      </c>
      <c r="AO214" s="744">
        <f t="shared" si="183"/>
        <v>0.47451234319594732</v>
      </c>
      <c r="AP214" s="623"/>
      <c r="AQ214" s="745"/>
      <c r="AR214" s="745"/>
      <c r="AS214" s="745"/>
      <c r="AT214" s="331"/>
      <c r="AU214" s="745"/>
      <c r="AV214" s="745"/>
      <c r="AW214" s="746"/>
      <c r="AY214" s="747"/>
      <c r="AZ214" s="455"/>
      <c r="BA214" s="455"/>
      <c r="BB214" s="455"/>
      <c r="BC214" s="455"/>
    </row>
    <row r="215" spans="1:55" s="305" customFormat="1" ht="49.5" outlineLevel="1">
      <c r="A215" s="327" t="s">
        <v>113</v>
      </c>
      <c r="B215" s="328" t="s">
        <v>1273</v>
      </c>
      <c r="C215" s="329" t="s">
        <v>1106</v>
      </c>
      <c r="D215" s="329" t="s">
        <v>1097</v>
      </c>
      <c r="E215" s="754">
        <v>32294139</v>
      </c>
      <c r="F215" s="756">
        <f>E215*$E$2</f>
        <v>22696450.065756001</v>
      </c>
      <c r="G215" s="22">
        <v>32294139</v>
      </c>
      <c r="H215" s="22">
        <f>G215*$G$2</f>
        <v>22696450.065756001</v>
      </c>
      <c r="I215" s="748">
        <v>32294139</v>
      </c>
      <c r="J215" s="331">
        <f>I215*$I$2</f>
        <v>22696450.065756001</v>
      </c>
      <c r="K215" s="588" t="s">
        <v>885</v>
      </c>
      <c r="L215" s="588"/>
      <c r="M215" s="588"/>
      <c r="N215" s="331">
        <v>9084096</v>
      </c>
      <c r="O215" s="331">
        <v>6290736</v>
      </c>
      <c r="P215" s="331"/>
      <c r="Q215" s="317">
        <f t="shared" si="184"/>
        <v>28987186.065756001</v>
      </c>
      <c r="R215" s="589">
        <f t="shared" si="174"/>
        <v>1.2771682788178118</v>
      </c>
      <c r="S215" s="417">
        <v>13813732.33</v>
      </c>
      <c r="T215" s="417">
        <v>20184262.66</v>
      </c>
      <c r="U215" s="575">
        <f t="shared" si="195"/>
        <v>0.88931364162775639</v>
      </c>
      <c r="V215" s="592">
        <v>0.88931364162775639</v>
      </c>
      <c r="W215" s="575">
        <f t="shared" si="192"/>
        <v>0</v>
      </c>
      <c r="X215" s="612">
        <f t="shared" si="173"/>
        <v>0.69631673161420349</v>
      </c>
      <c r="Y215" s="586">
        <v>20184262.66</v>
      </c>
      <c r="Z215" s="591">
        <f t="shared" si="177"/>
        <v>0.88931364162775639</v>
      </c>
      <c r="AA215" s="592">
        <v>0.88931364162775639</v>
      </c>
      <c r="AB215" s="591">
        <f t="shared" si="178"/>
        <v>0</v>
      </c>
      <c r="AC215" s="593">
        <f t="shared" si="179"/>
        <v>0.69631673161420349</v>
      </c>
      <c r="AD215" s="625">
        <v>8224968.9100000001</v>
      </c>
      <c r="AE215" s="22">
        <v>0</v>
      </c>
      <c r="AF215" s="22"/>
      <c r="AG215" s="22">
        <v>0</v>
      </c>
      <c r="AH215" s="606">
        <v>0</v>
      </c>
      <c r="AI215" s="594">
        <f t="shared" si="199"/>
        <v>8224968.9100000001</v>
      </c>
      <c r="AJ215" s="332">
        <f t="shared" si="204"/>
        <v>8224968.9100000001</v>
      </c>
      <c r="AK215" s="624">
        <f>SUM(AD215:AF215)</f>
        <v>8224968.9100000001</v>
      </c>
      <c r="AL215" s="591">
        <f t="shared" si="200"/>
        <v>0.36239010445116643</v>
      </c>
      <c r="AM215" s="591">
        <v>0.36239010445116643</v>
      </c>
      <c r="AN215" s="591">
        <f t="shared" si="182"/>
        <v>0</v>
      </c>
      <c r="AO215" s="744">
        <f t="shared" si="183"/>
        <v>0.28374499309253626</v>
      </c>
      <c r="AP215" s="623"/>
      <c r="AQ215" s="745"/>
      <c r="AR215" s="745"/>
      <c r="AS215" s="745"/>
      <c r="AT215" s="331"/>
      <c r="AU215" s="745"/>
      <c r="AV215" s="745"/>
      <c r="AW215" s="746"/>
      <c r="AY215" s="747"/>
      <c r="AZ215" s="455"/>
      <c r="BA215" s="455"/>
      <c r="BB215" s="455"/>
      <c r="BC215" s="455"/>
    </row>
    <row r="216" spans="1:55" s="741" customFormat="1" ht="49.5" outlineLevel="1">
      <c r="A216" s="19" t="s">
        <v>210</v>
      </c>
      <c r="B216" s="20" t="s">
        <v>1274</v>
      </c>
      <c r="C216" s="21" t="s">
        <v>1106</v>
      </c>
      <c r="D216" s="21" t="s">
        <v>1097</v>
      </c>
      <c r="E216" s="622"/>
      <c r="F216" s="756">
        <f>F217+F218</f>
        <v>11213842.934243999</v>
      </c>
      <c r="G216" s="331"/>
      <c r="H216" s="331">
        <f>H217+H218</f>
        <v>11213842.934243999</v>
      </c>
      <c r="I216" s="331"/>
      <c r="J216" s="331">
        <f>J217+J218</f>
        <v>11213842.934243999</v>
      </c>
      <c r="K216" s="588" t="s">
        <v>885</v>
      </c>
      <c r="L216" s="588"/>
      <c r="M216" s="588"/>
      <c r="N216" s="331">
        <f>N217+N218</f>
        <v>0</v>
      </c>
      <c r="O216" s="331">
        <v>0</v>
      </c>
      <c r="P216" s="331"/>
      <c r="Q216" s="317">
        <f t="shared" si="184"/>
        <v>11213842.934243999</v>
      </c>
      <c r="R216" s="589">
        <f t="shared" si="174"/>
        <v>1</v>
      </c>
      <c r="S216" s="757">
        <v>5963450.9800000004</v>
      </c>
      <c r="T216" s="757">
        <f>T217+T218</f>
        <v>9272970.879999999</v>
      </c>
      <c r="U216" s="575">
        <f t="shared" si="195"/>
        <v>0.82692177288152402</v>
      </c>
      <c r="V216" s="591">
        <v>0.82692177288152402</v>
      </c>
      <c r="W216" s="575">
        <f t="shared" si="192"/>
        <v>0</v>
      </c>
      <c r="X216" s="612">
        <f t="shared" si="173"/>
        <v>0.82692177288152402</v>
      </c>
      <c r="Y216" s="757">
        <f>Y217+Y218</f>
        <v>9272970.879999999</v>
      </c>
      <c r="Z216" s="591">
        <f t="shared" si="177"/>
        <v>0.82692177288152402</v>
      </c>
      <c r="AA216" s="592">
        <v>0.82692177288152402</v>
      </c>
      <c r="AB216" s="591">
        <f t="shared" si="178"/>
        <v>0</v>
      </c>
      <c r="AC216" s="593">
        <f t="shared" si="179"/>
        <v>0.82692177288152402</v>
      </c>
      <c r="AD216" s="620">
        <f>AD217+AD218</f>
        <v>4856601.9499999993</v>
      </c>
      <c r="AE216" s="620">
        <f t="shared" ref="AE216:AH216" si="205">AE217+AE218</f>
        <v>0</v>
      </c>
      <c r="AF216" s="620">
        <f t="shared" si="205"/>
        <v>1106591.47</v>
      </c>
      <c r="AG216" s="620">
        <f t="shared" si="205"/>
        <v>533032.72</v>
      </c>
      <c r="AH216" s="620">
        <f t="shared" si="205"/>
        <v>0</v>
      </c>
      <c r="AI216" s="620">
        <f t="shared" si="199"/>
        <v>5963193.419999999</v>
      </c>
      <c r="AJ216" s="332">
        <f t="shared" si="204"/>
        <v>5389634.669999999</v>
      </c>
      <c r="AK216" s="624">
        <f t="shared" ref="AK216" si="206">SUM(AD216:AF216)</f>
        <v>5963193.419999999</v>
      </c>
      <c r="AL216" s="591">
        <f t="shared" si="200"/>
        <v>0.53177072792682356</v>
      </c>
      <c r="AM216" s="591">
        <v>0.4743127981360995</v>
      </c>
      <c r="AN216" s="591">
        <f t="shared" si="182"/>
        <v>5.745792979072406E-2</v>
      </c>
      <c r="AO216" s="744">
        <f t="shared" si="183"/>
        <v>0.53177072792682356</v>
      </c>
      <c r="AP216" s="623"/>
      <c r="AQ216" s="745"/>
      <c r="AR216" s="745"/>
      <c r="AS216" s="745"/>
      <c r="AT216" s="331"/>
      <c r="AU216" s="745"/>
      <c r="AV216" s="745"/>
      <c r="AW216" s="746"/>
      <c r="AY216" s="747"/>
      <c r="AZ216" s="753"/>
      <c r="BA216" s="753"/>
      <c r="BB216" s="753"/>
      <c r="BC216" s="753"/>
    </row>
    <row r="217" spans="1:55" s="305" customFormat="1" ht="99" outlineLevel="1">
      <c r="A217" s="327" t="s">
        <v>209</v>
      </c>
      <c r="B217" s="328" t="s">
        <v>1275</v>
      </c>
      <c r="C217" s="329" t="s">
        <v>1106</v>
      </c>
      <c r="D217" s="329" t="s">
        <v>1097</v>
      </c>
      <c r="E217" s="754">
        <v>9791239</v>
      </c>
      <c r="F217" s="756">
        <f>E217*$E$2</f>
        <v>6881321.9341559997</v>
      </c>
      <c r="G217" s="22">
        <v>9791239</v>
      </c>
      <c r="H217" s="22">
        <f>G217*$G$2</f>
        <v>6881321.9341559997</v>
      </c>
      <c r="I217" s="748">
        <v>9791239</v>
      </c>
      <c r="J217" s="331">
        <f>I217*$I$2</f>
        <v>6881321.9341559997</v>
      </c>
      <c r="K217" s="588" t="s">
        <v>885</v>
      </c>
      <c r="L217" s="588"/>
      <c r="M217" s="588"/>
      <c r="N217" s="331">
        <v>0</v>
      </c>
      <c r="O217" s="331">
        <v>0</v>
      </c>
      <c r="P217" s="331"/>
      <c r="Q217" s="317">
        <f t="shared" si="184"/>
        <v>6881321.9341559997</v>
      </c>
      <c r="R217" s="589">
        <f t="shared" si="174"/>
        <v>1</v>
      </c>
      <c r="S217" s="417">
        <v>3649278.99</v>
      </c>
      <c r="T217" s="417">
        <v>4940450.5999999996</v>
      </c>
      <c r="U217" s="575">
        <f t="shared" si="195"/>
        <v>0.71795080178964921</v>
      </c>
      <c r="V217" s="592">
        <v>0.71795080178964921</v>
      </c>
      <c r="W217" s="575">
        <f t="shared" si="192"/>
        <v>0</v>
      </c>
      <c r="X217" s="612">
        <f t="shared" si="173"/>
        <v>0.71795080178964921</v>
      </c>
      <c r="Y217" s="586">
        <v>4940450.5999999996</v>
      </c>
      <c r="Z217" s="591">
        <f t="shared" si="177"/>
        <v>0.71795080178964921</v>
      </c>
      <c r="AA217" s="592">
        <v>0.71795080178964921</v>
      </c>
      <c r="AB217" s="591">
        <f t="shared" si="178"/>
        <v>0</v>
      </c>
      <c r="AC217" s="593">
        <f t="shared" si="179"/>
        <v>0.71795080178964921</v>
      </c>
      <c r="AD217" s="625">
        <v>2930942.4099999997</v>
      </c>
      <c r="AE217" s="22">
        <v>0</v>
      </c>
      <c r="AF217" s="22">
        <v>718336.58</v>
      </c>
      <c r="AG217" s="22">
        <v>354793.55</v>
      </c>
      <c r="AH217" s="606">
        <v>0</v>
      </c>
      <c r="AI217" s="594">
        <f t="shared" si="199"/>
        <v>3649278.9899999998</v>
      </c>
      <c r="AJ217" s="332">
        <f t="shared" si="204"/>
        <v>3285735.9599999995</v>
      </c>
      <c r="AK217" s="624">
        <f>SUM(AD217:AF217)</f>
        <v>3649278.9899999998</v>
      </c>
      <c r="AL217" s="591">
        <f t="shared" si="200"/>
        <v>0.53031656198012</v>
      </c>
      <c r="AM217" s="591">
        <v>0.44915627252644852</v>
      </c>
      <c r="AN217" s="591">
        <f t="shared" si="182"/>
        <v>8.1160289453671486E-2</v>
      </c>
      <c r="AO217" s="744">
        <f t="shared" si="183"/>
        <v>0.53031656198012</v>
      </c>
      <c r="AP217" s="623"/>
      <c r="AQ217" s="745"/>
      <c r="AR217" s="745"/>
      <c r="AS217" s="745"/>
      <c r="AT217" s="331"/>
      <c r="AU217" s="745"/>
      <c r="AV217" s="745"/>
      <c r="AW217" s="746"/>
      <c r="AY217" s="747"/>
      <c r="AZ217" s="455"/>
      <c r="BA217" s="455"/>
      <c r="BB217" s="455"/>
      <c r="BC217" s="455"/>
    </row>
    <row r="218" spans="1:55" s="305" customFormat="1" ht="115.5" outlineLevel="1">
      <c r="A218" s="327" t="s">
        <v>114</v>
      </c>
      <c r="B218" s="328" t="s">
        <v>1276</v>
      </c>
      <c r="C218" s="329" t="s">
        <v>1106</v>
      </c>
      <c r="D218" s="329" t="s">
        <v>1097</v>
      </c>
      <c r="E218" s="754">
        <v>6164622</v>
      </c>
      <c r="F218" s="756">
        <f>E218*$E$2</f>
        <v>4332521.0000879997</v>
      </c>
      <c r="G218" s="22">
        <v>6164622</v>
      </c>
      <c r="H218" s="22">
        <f>G218*$G$2</f>
        <v>4332521.0000879997</v>
      </c>
      <c r="I218" s="748">
        <v>6164622</v>
      </c>
      <c r="J218" s="331">
        <f>I218*$I$2</f>
        <v>4332521.0000879997</v>
      </c>
      <c r="K218" s="588" t="s">
        <v>885</v>
      </c>
      <c r="L218" s="588"/>
      <c r="M218" s="588"/>
      <c r="N218" s="331">
        <v>0</v>
      </c>
      <c r="O218" s="331">
        <v>0</v>
      </c>
      <c r="P218" s="331"/>
      <c r="Q218" s="317">
        <f t="shared" si="184"/>
        <v>4332521.0000879997</v>
      </c>
      <c r="R218" s="589">
        <f t="shared" si="174"/>
        <v>1</v>
      </c>
      <c r="S218" s="417">
        <v>2314171.9900000002</v>
      </c>
      <c r="T218" s="417">
        <v>4332520.28</v>
      </c>
      <c r="U218" s="575">
        <f t="shared" si="195"/>
        <v>0.99999983379468915</v>
      </c>
      <c r="V218" s="592">
        <v>0.99999983379468915</v>
      </c>
      <c r="W218" s="575">
        <f t="shared" si="192"/>
        <v>0</v>
      </c>
      <c r="X218" s="612">
        <f t="shared" si="173"/>
        <v>0.99999983379468915</v>
      </c>
      <c r="Y218" s="586">
        <v>4332520.28</v>
      </c>
      <c r="Z218" s="591">
        <f t="shared" si="177"/>
        <v>0.99999983379468915</v>
      </c>
      <c r="AA218" s="591">
        <v>0.99999983379468915</v>
      </c>
      <c r="AB218" s="591">
        <f t="shared" si="178"/>
        <v>0</v>
      </c>
      <c r="AC218" s="593">
        <f t="shared" si="179"/>
        <v>0.99999983379468915</v>
      </c>
      <c r="AD218" s="625">
        <v>1925659.54</v>
      </c>
      <c r="AE218" s="22">
        <v>0</v>
      </c>
      <c r="AF218" s="22">
        <v>388254.89</v>
      </c>
      <c r="AG218" s="22">
        <v>178239.17</v>
      </c>
      <c r="AH218" s="606">
        <v>0</v>
      </c>
      <c r="AI218" s="594">
        <f t="shared" si="199"/>
        <v>2313914.4300000002</v>
      </c>
      <c r="AJ218" s="332">
        <f t="shared" si="204"/>
        <v>2103898.71</v>
      </c>
      <c r="AK218" s="624">
        <f>SUM(AD218:AF218)</f>
        <v>2313914.4300000002</v>
      </c>
      <c r="AL218" s="591">
        <f t="shared" si="200"/>
        <v>0.5340803725943859</v>
      </c>
      <c r="AM218" s="591">
        <v>0.51426878483791416</v>
      </c>
      <c r="AN218" s="591">
        <f t="shared" si="182"/>
        <v>1.9811587756471738E-2</v>
      </c>
      <c r="AO218" s="744">
        <f t="shared" si="183"/>
        <v>0.5340803725943859</v>
      </c>
      <c r="AP218" s="623"/>
      <c r="AQ218" s="745"/>
      <c r="AR218" s="745"/>
      <c r="AS218" s="745"/>
      <c r="AT218" s="331"/>
      <c r="AU218" s="745"/>
      <c r="AV218" s="745"/>
      <c r="AW218" s="746"/>
      <c r="AY218" s="747"/>
      <c r="AZ218" s="455"/>
      <c r="BA218" s="455"/>
      <c r="BB218" s="455"/>
      <c r="BC218" s="455"/>
    </row>
    <row r="219" spans="1:55" s="741" customFormat="1" ht="33" outlineLevel="1">
      <c r="A219" s="14" t="s">
        <v>115</v>
      </c>
      <c r="B219" s="15" t="s">
        <v>1277</v>
      </c>
      <c r="C219" s="16" t="s">
        <v>1106</v>
      </c>
      <c r="D219" s="16" t="s">
        <v>1042</v>
      </c>
      <c r="E219" s="614"/>
      <c r="F219" s="608">
        <f>F220+F224</f>
        <v>12109723.357535999</v>
      </c>
      <c r="G219" s="588"/>
      <c r="H219" s="588">
        <f>H220+H224</f>
        <v>12109723.357535999</v>
      </c>
      <c r="I219" s="588"/>
      <c r="J219" s="588">
        <f>J220+J224</f>
        <v>12109723.357535999</v>
      </c>
      <c r="K219" s="588" t="s">
        <v>885</v>
      </c>
      <c r="L219" s="588"/>
      <c r="M219" s="588"/>
      <c r="N219" s="588">
        <f>N220+N224</f>
        <v>0</v>
      </c>
      <c r="O219" s="588">
        <f>O220+O224</f>
        <v>0</v>
      </c>
      <c r="P219" s="588"/>
      <c r="Q219" s="294">
        <f t="shared" si="184"/>
        <v>12109723.357535999</v>
      </c>
      <c r="R219" s="610">
        <f>Q219/J219</f>
        <v>1</v>
      </c>
      <c r="S219" s="614">
        <v>10449010.720000001</v>
      </c>
      <c r="T219" s="614">
        <f t="shared" ref="T219" si="207">T220+T224</f>
        <v>10742641.33</v>
      </c>
      <c r="U219" s="575">
        <f t="shared" si="195"/>
        <v>0.88710873178739869</v>
      </c>
      <c r="V219" s="575">
        <v>0.90225397537265917</v>
      </c>
      <c r="W219" s="575">
        <f t="shared" si="192"/>
        <v>-1.5145243585260482E-2</v>
      </c>
      <c r="X219" s="612">
        <f t="shared" si="173"/>
        <v>0.88710873178739869</v>
      </c>
      <c r="Y219" s="614">
        <f t="shared" ref="Y219" si="208">Y220+Y224</f>
        <v>10742641.33</v>
      </c>
      <c r="Z219" s="575">
        <f t="shared" si="177"/>
        <v>0.88710873178739869</v>
      </c>
      <c r="AA219" s="749">
        <v>0.90225397537265917</v>
      </c>
      <c r="AB219" s="575">
        <f t="shared" si="178"/>
        <v>-1.5145243585260482E-2</v>
      </c>
      <c r="AC219" s="612">
        <f t="shared" si="179"/>
        <v>0.88710873178739869</v>
      </c>
      <c r="AD219" s="573">
        <f>AD220+AD224</f>
        <v>7800280.2000000002</v>
      </c>
      <c r="AE219" s="573">
        <f t="shared" ref="AE219:AH219" si="209">AE220+AE224</f>
        <v>0</v>
      </c>
      <c r="AF219" s="573">
        <f t="shared" si="209"/>
        <v>1912448.65</v>
      </c>
      <c r="AG219" s="573">
        <f t="shared" si="209"/>
        <v>1642112.0100000009</v>
      </c>
      <c r="AH219" s="573">
        <f t="shared" si="209"/>
        <v>171917.71</v>
      </c>
      <c r="AI219" s="499">
        <f t="shared" si="199"/>
        <v>9540811.1400000006</v>
      </c>
      <c r="AJ219" s="322">
        <f t="shared" si="194"/>
        <v>9442392.2100000009</v>
      </c>
      <c r="AK219" s="17">
        <f>AK220+AK224</f>
        <v>9712728.8500000015</v>
      </c>
      <c r="AL219" s="575">
        <f t="shared" si="200"/>
        <v>0.80206034136656601</v>
      </c>
      <c r="AM219" s="575">
        <v>0.77428528242678529</v>
      </c>
      <c r="AN219" s="575">
        <f t="shared" si="182"/>
        <v>2.7775058939780717E-2</v>
      </c>
      <c r="AO219" s="740">
        <f t="shared" si="183"/>
        <v>0.80206034136656601</v>
      </c>
      <c r="AP219" s="623"/>
      <c r="AQ219" s="745"/>
      <c r="AR219" s="745"/>
      <c r="AS219" s="745"/>
      <c r="AT219" s="331"/>
      <c r="AU219" s="745"/>
      <c r="AV219" s="745"/>
      <c r="AW219" s="746"/>
      <c r="AY219" s="747"/>
      <c r="AZ219" s="753"/>
      <c r="BA219" s="753"/>
      <c r="BB219" s="753"/>
      <c r="BC219" s="753"/>
    </row>
    <row r="220" spans="1:55" s="741" customFormat="1" ht="66" outlineLevel="1">
      <c r="A220" s="19" t="s">
        <v>116</v>
      </c>
      <c r="B220" s="20" t="s">
        <v>1278</v>
      </c>
      <c r="C220" s="21" t="s">
        <v>1106</v>
      </c>
      <c r="D220" s="21" t="s">
        <v>1042</v>
      </c>
      <c r="E220" s="622"/>
      <c r="F220" s="586">
        <f>F221+F222+F223</f>
        <v>12109723.357535999</v>
      </c>
      <c r="G220" s="331"/>
      <c r="H220" s="331">
        <f>H221+H222+H223</f>
        <v>12109723.357535999</v>
      </c>
      <c r="I220" s="331"/>
      <c r="J220" s="331">
        <f>J221+J222+J223</f>
        <v>12109723.357535999</v>
      </c>
      <c r="K220" s="588" t="s">
        <v>885</v>
      </c>
      <c r="L220" s="588"/>
      <c r="M220" s="588"/>
      <c r="N220" s="331">
        <f>N221+N222+N223</f>
        <v>0</v>
      </c>
      <c r="O220" s="331">
        <f>O221+O222+O223</f>
        <v>0</v>
      </c>
      <c r="P220" s="331"/>
      <c r="Q220" s="317">
        <f t="shared" si="184"/>
        <v>12109723.357535999</v>
      </c>
      <c r="R220" s="589">
        <f t="shared" ref="R220:R222" si="210">Q220/J220</f>
        <v>1</v>
      </c>
      <c r="S220" s="757">
        <v>10449010.720000001</v>
      </c>
      <c r="T220" s="757">
        <f t="shared" ref="T220" si="211">T221+T222+T223</f>
        <v>10742641.33</v>
      </c>
      <c r="U220" s="575">
        <f t="shared" si="195"/>
        <v>0.88710873178739869</v>
      </c>
      <c r="V220" s="591">
        <v>0.90225397537265917</v>
      </c>
      <c r="W220" s="575">
        <f t="shared" si="192"/>
        <v>-1.5145243585260482E-2</v>
      </c>
      <c r="X220" s="612">
        <f t="shared" si="173"/>
        <v>0.88710873178739869</v>
      </c>
      <c r="Y220" s="757">
        <f t="shared" ref="Y220" si="212">Y221+Y222+Y223</f>
        <v>10742641.33</v>
      </c>
      <c r="Z220" s="591">
        <f t="shared" si="177"/>
        <v>0.88710873178739869</v>
      </c>
      <c r="AA220" s="592">
        <v>0.90225397537265917</v>
      </c>
      <c r="AB220" s="591">
        <f t="shared" si="178"/>
        <v>-1.5145243585260482E-2</v>
      </c>
      <c r="AC220" s="593">
        <f t="shared" si="179"/>
        <v>0.88710873178739869</v>
      </c>
      <c r="AD220" s="620">
        <f>AD221+AD222+AD223</f>
        <v>7800280.2000000002</v>
      </c>
      <c r="AE220" s="620">
        <f t="shared" ref="AE220:AH220" si="213">AE221+AE222+AE223</f>
        <v>0</v>
      </c>
      <c r="AF220" s="620">
        <f t="shared" si="213"/>
        <v>1912448.65</v>
      </c>
      <c r="AG220" s="620">
        <f t="shared" si="213"/>
        <v>1642112.0100000009</v>
      </c>
      <c r="AH220" s="620">
        <f t="shared" si="213"/>
        <v>171917.71</v>
      </c>
      <c r="AI220" s="620">
        <f>AK220-AH220</f>
        <v>9540811.1400000006</v>
      </c>
      <c r="AJ220" s="332">
        <f t="shared" si="204"/>
        <v>9270474.5</v>
      </c>
      <c r="AK220" s="23">
        <f>AK221+AK222+AK223</f>
        <v>9712728.8500000015</v>
      </c>
      <c r="AL220" s="591">
        <f t="shared" si="200"/>
        <v>0.80206034136656601</v>
      </c>
      <c r="AM220" s="591">
        <v>0.77428528242678529</v>
      </c>
      <c r="AN220" s="591">
        <f t="shared" si="182"/>
        <v>2.7775058939780717E-2</v>
      </c>
      <c r="AO220" s="744">
        <f t="shared" si="183"/>
        <v>0.80206034136656601</v>
      </c>
      <c r="AP220" s="623"/>
      <c r="AQ220" s="745"/>
      <c r="AR220" s="745"/>
      <c r="AS220" s="745"/>
      <c r="AT220" s="331"/>
      <c r="AU220" s="745"/>
      <c r="AV220" s="745"/>
      <c r="AW220" s="746"/>
      <c r="AY220" s="747"/>
      <c r="AZ220" s="753"/>
      <c r="BA220" s="753"/>
      <c r="BB220" s="753"/>
      <c r="BC220" s="753"/>
    </row>
    <row r="221" spans="1:55" s="305" customFormat="1" ht="165" outlineLevel="1">
      <c r="A221" s="327" t="s">
        <v>182</v>
      </c>
      <c r="B221" s="328" t="s">
        <v>1279</v>
      </c>
      <c r="C221" s="329" t="s">
        <v>1106</v>
      </c>
      <c r="D221" s="329" t="s">
        <v>1042</v>
      </c>
      <c r="E221" s="754">
        <v>11049900</v>
      </c>
      <c r="F221" s="594">
        <f>E221*$E$2</f>
        <v>7765913.9195999997</v>
      </c>
      <c r="G221" s="22">
        <v>11049900</v>
      </c>
      <c r="H221" s="22">
        <f>G221*$G$2</f>
        <v>7765913.9195999997</v>
      </c>
      <c r="I221" s="748">
        <v>11049900</v>
      </c>
      <c r="J221" s="331">
        <f>I221*$I$2</f>
        <v>7765913.9195999997</v>
      </c>
      <c r="K221" s="588" t="s">
        <v>885</v>
      </c>
      <c r="L221" s="588"/>
      <c r="M221" s="588"/>
      <c r="N221" s="331">
        <v>0</v>
      </c>
      <c r="O221" s="331">
        <v>0</v>
      </c>
      <c r="P221" s="331"/>
      <c r="Q221" s="317">
        <f t="shared" si="184"/>
        <v>7765913.9195999997</v>
      </c>
      <c r="R221" s="589">
        <f t="shared" si="210"/>
        <v>1</v>
      </c>
      <c r="S221" s="417">
        <v>6924279.4000000004</v>
      </c>
      <c r="T221" s="417">
        <v>7007412.2300000004</v>
      </c>
      <c r="U221" s="575">
        <f t="shared" si="195"/>
        <v>0.90232937198986263</v>
      </c>
      <c r="V221" s="592">
        <v>0.90232937198986263</v>
      </c>
      <c r="W221" s="575">
        <f t="shared" si="192"/>
        <v>0</v>
      </c>
      <c r="X221" s="612">
        <f t="shared" si="173"/>
        <v>0.90232937198986263</v>
      </c>
      <c r="Y221" s="586">
        <v>7007412.2300000004</v>
      </c>
      <c r="Z221" s="591">
        <f t="shared" si="177"/>
        <v>0.90232937198986263</v>
      </c>
      <c r="AA221" s="591">
        <v>0.90232937198986263</v>
      </c>
      <c r="AB221" s="591">
        <f t="shared" si="178"/>
        <v>0</v>
      </c>
      <c r="AC221" s="593">
        <f t="shared" si="179"/>
        <v>0.90232937198986263</v>
      </c>
      <c r="AD221" s="625">
        <v>5412569.1500000004</v>
      </c>
      <c r="AE221" s="22">
        <v>0</v>
      </c>
      <c r="AF221" s="22">
        <v>994844.9</v>
      </c>
      <c r="AG221" s="22">
        <v>854846.6</v>
      </c>
      <c r="AH221" s="606">
        <v>139998.29999999999</v>
      </c>
      <c r="AI221" s="594">
        <f t="shared" si="199"/>
        <v>6267415.7500000009</v>
      </c>
      <c r="AJ221" s="332">
        <f t="shared" si="204"/>
        <v>6127417.4500000002</v>
      </c>
      <c r="AK221" s="624">
        <f>SUM(AD221:AF221)</f>
        <v>6407414.0500000007</v>
      </c>
      <c r="AL221" s="591">
        <f t="shared" si="200"/>
        <v>0.82506889933825445</v>
      </c>
      <c r="AM221" s="591">
        <v>0.81236769108109663</v>
      </c>
      <c r="AN221" s="591">
        <f t="shared" si="182"/>
        <v>1.2701208257157814E-2</v>
      </c>
      <c r="AO221" s="744">
        <f t="shared" si="183"/>
        <v>0.82506889933825445</v>
      </c>
      <c r="AP221" s="623"/>
      <c r="AQ221" s="745"/>
      <c r="AR221" s="745"/>
      <c r="AS221" s="745"/>
      <c r="AT221" s="331"/>
      <c r="AU221" s="745"/>
      <c r="AV221" s="745"/>
      <c r="AW221" s="746"/>
      <c r="AY221" s="747"/>
      <c r="AZ221" s="455"/>
      <c r="BA221" s="455"/>
      <c r="BB221" s="455"/>
      <c r="BC221" s="455"/>
    </row>
    <row r="222" spans="1:55" s="305" customFormat="1" ht="66" outlineLevel="1">
      <c r="A222" s="327" t="s">
        <v>1280</v>
      </c>
      <c r="B222" s="328" t="s">
        <v>1281</v>
      </c>
      <c r="C222" s="329" t="s">
        <v>1106</v>
      </c>
      <c r="D222" s="329" t="s">
        <v>1042</v>
      </c>
      <c r="E222" s="754">
        <v>6180684</v>
      </c>
      <c r="F222" s="594">
        <f>E222*$E$2</f>
        <v>4343809.4379359996</v>
      </c>
      <c r="G222" s="22">
        <v>6180684</v>
      </c>
      <c r="H222" s="22">
        <f>G222*$G$2</f>
        <v>4343809.4379359996</v>
      </c>
      <c r="I222" s="748">
        <v>6180684</v>
      </c>
      <c r="J222" s="331">
        <f>I222*$I$2</f>
        <v>4343809.4379359996</v>
      </c>
      <c r="K222" s="588" t="s">
        <v>885</v>
      </c>
      <c r="L222" s="588"/>
      <c r="M222" s="588"/>
      <c r="N222" s="331">
        <v>0</v>
      </c>
      <c r="O222" s="331">
        <v>0</v>
      </c>
      <c r="P222" s="331"/>
      <c r="Q222" s="317">
        <f t="shared" si="184"/>
        <v>4343809.4379359996</v>
      </c>
      <c r="R222" s="589">
        <f t="shared" si="210"/>
        <v>1</v>
      </c>
      <c r="S222" s="417">
        <v>3524731.32</v>
      </c>
      <c r="T222" s="417">
        <v>3735229.1</v>
      </c>
      <c r="U222" s="575">
        <f t="shared" si="195"/>
        <v>0.85989709110601042</v>
      </c>
      <c r="V222" s="592">
        <v>0.90211918040814754</v>
      </c>
      <c r="W222" s="575">
        <f t="shared" si="192"/>
        <v>-4.2222089302137111E-2</v>
      </c>
      <c r="X222" s="612">
        <f t="shared" si="173"/>
        <v>0.85989709110601042</v>
      </c>
      <c r="Y222" s="586">
        <v>3735229.1</v>
      </c>
      <c r="Z222" s="591">
        <f t="shared" si="177"/>
        <v>0.85989709110601042</v>
      </c>
      <c r="AA222" s="591">
        <v>0.90211918040814754</v>
      </c>
      <c r="AB222" s="591">
        <f t="shared" si="178"/>
        <v>-4.2222089302137111E-2</v>
      </c>
      <c r="AC222" s="593">
        <f t="shared" si="179"/>
        <v>0.85989709110601042</v>
      </c>
      <c r="AD222" s="625">
        <v>2387711.0499999998</v>
      </c>
      <c r="AE222" s="22">
        <v>0</v>
      </c>
      <c r="AF222" s="22">
        <v>917603.75</v>
      </c>
      <c r="AG222" s="22">
        <v>787265.41000000096</v>
      </c>
      <c r="AH222" s="606">
        <v>31919.41</v>
      </c>
      <c r="AI222" s="594">
        <f t="shared" si="199"/>
        <v>3273395.3899999997</v>
      </c>
      <c r="AJ222" s="332">
        <f t="shared" si="204"/>
        <v>3143057.0500000007</v>
      </c>
      <c r="AK222" s="624">
        <f>SUM(AD222:AF222)</f>
        <v>3305314.8</v>
      </c>
      <c r="AL222" s="591">
        <f t="shared" si="200"/>
        <v>0.76092536913188114</v>
      </c>
      <c r="AM222" s="591">
        <v>0.70620110155145277</v>
      </c>
      <c r="AN222" s="591">
        <f t="shared" si="182"/>
        <v>5.4724267580428365E-2</v>
      </c>
      <c r="AO222" s="744">
        <f t="shared" si="183"/>
        <v>0.76092536913188114</v>
      </c>
      <c r="AP222" s="623"/>
      <c r="AQ222" s="745"/>
      <c r="AR222" s="745"/>
      <c r="AS222" s="745"/>
      <c r="AT222" s="331"/>
      <c r="AU222" s="745"/>
      <c r="AV222" s="745"/>
      <c r="AW222" s="746"/>
      <c r="AY222" s="747"/>
      <c r="AZ222" s="455"/>
      <c r="BA222" s="455"/>
      <c r="BB222" s="455"/>
      <c r="BC222" s="455"/>
    </row>
    <row r="223" spans="1:55" s="305" customFormat="1" ht="99" outlineLevel="1">
      <c r="A223" s="327" t="s">
        <v>117</v>
      </c>
      <c r="B223" s="328" t="s">
        <v>1282</v>
      </c>
      <c r="C223" s="329" t="s">
        <v>1106</v>
      </c>
      <c r="D223" s="329" t="s">
        <v>1042</v>
      </c>
      <c r="E223" s="754">
        <v>0</v>
      </c>
      <c r="F223" s="594">
        <f>E223*$E$2</f>
        <v>0</v>
      </c>
      <c r="G223" s="22">
        <v>0</v>
      </c>
      <c r="H223" s="22">
        <f>G223*$G$2</f>
        <v>0</v>
      </c>
      <c r="I223" s="748">
        <v>0</v>
      </c>
      <c r="J223" s="331">
        <f>I223*$I$2</f>
        <v>0</v>
      </c>
      <c r="K223" s="588" t="s">
        <v>885</v>
      </c>
      <c r="L223" s="588"/>
      <c r="M223" s="588"/>
      <c r="N223" s="331">
        <v>0</v>
      </c>
      <c r="O223" s="331">
        <v>0</v>
      </c>
      <c r="P223" s="331"/>
      <c r="Q223" s="317">
        <f t="shared" si="184"/>
        <v>0</v>
      </c>
      <c r="R223" s="589">
        <v>0</v>
      </c>
      <c r="S223" s="417">
        <v>0</v>
      </c>
      <c r="T223" s="417">
        <v>0</v>
      </c>
      <c r="U223" s="575">
        <v>0</v>
      </c>
      <c r="V223" s="592">
        <v>0</v>
      </c>
      <c r="W223" s="575">
        <f t="shared" si="192"/>
        <v>0</v>
      </c>
      <c r="X223" s="612">
        <v>0</v>
      </c>
      <c r="Y223" s="586">
        <v>0</v>
      </c>
      <c r="Z223" s="591">
        <v>0</v>
      </c>
      <c r="AA223" s="592">
        <v>0</v>
      </c>
      <c r="AB223" s="591">
        <v>0</v>
      </c>
      <c r="AC223" s="593">
        <f>IF(Q223=0,0,Y223/Q223)</f>
        <v>0</v>
      </c>
      <c r="AD223" s="606">
        <v>0</v>
      </c>
      <c r="AE223" s="606">
        <v>0</v>
      </c>
      <c r="AF223" s="606">
        <v>0</v>
      </c>
      <c r="AG223" s="606">
        <v>0</v>
      </c>
      <c r="AH223" s="606">
        <v>0</v>
      </c>
      <c r="AI223" s="594">
        <f t="shared" si="199"/>
        <v>0</v>
      </c>
      <c r="AJ223" s="332">
        <f t="shared" si="204"/>
        <v>0</v>
      </c>
      <c r="AK223" s="624">
        <f>SUM(AD223:AF223)</f>
        <v>0</v>
      </c>
      <c r="AL223" s="591">
        <v>0</v>
      </c>
      <c r="AM223" s="591">
        <v>0</v>
      </c>
      <c r="AN223" s="591">
        <v>0</v>
      </c>
      <c r="AO223" s="744">
        <f>IF(Q223=0,0,AK223/Q223)</f>
        <v>0</v>
      </c>
      <c r="AP223" s="623"/>
      <c r="AQ223" s="745"/>
      <c r="AR223" s="745"/>
      <c r="AS223" s="745"/>
      <c r="AT223" s="331"/>
      <c r="AU223" s="745"/>
      <c r="AV223" s="745"/>
      <c r="AW223" s="746"/>
      <c r="AY223" s="747"/>
      <c r="AZ223" s="455"/>
      <c r="BA223" s="455"/>
      <c r="BB223" s="455"/>
      <c r="BC223" s="455"/>
    </row>
    <row r="224" spans="1:55" s="305" customFormat="1" ht="49.5" outlineLevel="1">
      <c r="A224" s="327" t="s">
        <v>118</v>
      </c>
      <c r="B224" s="328" t="s">
        <v>1283</v>
      </c>
      <c r="C224" s="329" t="s">
        <v>1106</v>
      </c>
      <c r="D224" s="329" t="s">
        <v>1042</v>
      </c>
      <c r="E224" s="754">
        <v>0</v>
      </c>
      <c r="F224" s="594">
        <f>E224*$E$2</f>
        <v>0</v>
      </c>
      <c r="G224" s="22">
        <v>0</v>
      </c>
      <c r="H224" s="22">
        <f>G224*$G$2</f>
        <v>0</v>
      </c>
      <c r="I224" s="748">
        <v>0</v>
      </c>
      <c r="J224" s="331">
        <f>I224*$I$2</f>
        <v>0</v>
      </c>
      <c r="K224" s="588" t="s">
        <v>885</v>
      </c>
      <c r="L224" s="588"/>
      <c r="M224" s="588"/>
      <c r="N224" s="331">
        <v>0</v>
      </c>
      <c r="O224" s="331">
        <v>0</v>
      </c>
      <c r="P224" s="331"/>
      <c r="Q224" s="317">
        <f t="shared" si="184"/>
        <v>0</v>
      </c>
      <c r="R224" s="589">
        <v>0</v>
      </c>
      <c r="S224" s="417">
        <v>0</v>
      </c>
      <c r="T224" s="417">
        <v>0</v>
      </c>
      <c r="U224" s="575">
        <v>0</v>
      </c>
      <c r="V224" s="592">
        <v>0</v>
      </c>
      <c r="W224" s="575">
        <f t="shared" si="192"/>
        <v>0</v>
      </c>
      <c r="X224" s="612">
        <v>0</v>
      </c>
      <c r="Y224" s="586">
        <v>0</v>
      </c>
      <c r="Z224" s="591">
        <v>0</v>
      </c>
      <c r="AA224" s="592">
        <v>0</v>
      </c>
      <c r="AB224" s="591">
        <v>0</v>
      </c>
      <c r="AC224" s="593">
        <f>IF(Q224=0,0,Y224/Q224)</f>
        <v>0</v>
      </c>
      <c r="AD224" s="606">
        <v>0</v>
      </c>
      <c r="AE224" s="606">
        <v>0</v>
      </c>
      <c r="AF224" s="606">
        <v>0</v>
      </c>
      <c r="AG224" s="606">
        <v>0</v>
      </c>
      <c r="AH224" s="606">
        <v>0</v>
      </c>
      <c r="AI224" s="594">
        <f t="shared" si="199"/>
        <v>0</v>
      </c>
      <c r="AJ224" s="332">
        <f t="shared" si="204"/>
        <v>0</v>
      </c>
      <c r="AK224" s="624">
        <f>SUM(AD224:AF224)</f>
        <v>0</v>
      </c>
      <c r="AL224" s="591">
        <v>0</v>
      </c>
      <c r="AM224" s="591">
        <v>0</v>
      </c>
      <c r="AN224" s="591">
        <v>0</v>
      </c>
      <c r="AO224" s="744">
        <f>IF(Q224=0,0,AK224/Q224)</f>
        <v>0</v>
      </c>
      <c r="AP224" s="623"/>
      <c r="AQ224" s="745"/>
      <c r="AR224" s="745"/>
      <c r="AS224" s="745"/>
      <c r="AT224" s="331"/>
      <c r="AU224" s="745"/>
      <c r="AV224" s="745"/>
      <c r="AW224" s="746"/>
      <c r="AY224" s="747"/>
      <c r="AZ224" s="455"/>
      <c r="BA224" s="455"/>
      <c r="BB224" s="455"/>
      <c r="BC224" s="455"/>
    </row>
    <row r="225" spans="1:55" s="741" customFormat="1" ht="82.5" outlineLevel="1">
      <c r="A225" s="14" t="s">
        <v>119</v>
      </c>
      <c r="B225" s="15" t="s">
        <v>1284</v>
      </c>
      <c r="C225" s="16" t="s">
        <v>1106</v>
      </c>
      <c r="D225" s="16" t="s">
        <v>821</v>
      </c>
      <c r="E225" s="614"/>
      <c r="F225" s="608">
        <f>F226+F227+F228</f>
        <v>25335213.425843999</v>
      </c>
      <c r="G225" s="588"/>
      <c r="H225" s="588">
        <f>H226+H227+H228</f>
        <v>25335213.425843999</v>
      </c>
      <c r="I225" s="588"/>
      <c r="J225" s="588">
        <f>J226+J227+J228</f>
        <v>25335213.425843999</v>
      </c>
      <c r="K225" s="588" t="s">
        <v>885</v>
      </c>
      <c r="L225" s="588"/>
      <c r="M225" s="588"/>
      <c r="N225" s="588">
        <f>N226+N227+N228</f>
        <v>12000000</v>
      </c>
      <c r="O225" s="588">
        <f>O226+O227+O228</f>
        <v>12000000</v>
      </c>
      <c r="P225" s="588"/>
      <c r="Q225" s="294">
        <f t="shared" si="184"/>
        <v>37335213.425843999</v>
      </c>
      <c r="R225" s="610">
        <f>Q225/J225</f>
        <v>1.473649059050713</v>
      </c>
      <c r="S225" s="614">
        <v>18904757.359999999</v>
      </c>
      <c r="T225" s="614">
        <f t="shared" ref="T225" si="214">T226+T227+T228</f>
        <v>35696258.25</v>
      </c>
      <c r="U225" s="575">
        <f t="shared" si="195"/>
        <v>1.4089582609786457</v>
      </c>
      <c r="V225" s="575">
        <v>1.4090329329369278</v>
      </c>
      <c r="W225" s="575">
        <f t="shared" si="192"/>
        <v>-7.4671958282035433E-5</v>
      </c>
      <c r="X225" s="612">
        <f t="shared" ref="X225:X243" si="215">T225/Q225</f>
        <v>0.95610162563823753</v>
      </c>
      <c r="Y225" s="614">
        <f t="shared" ref="Y225" si="216">Y226+Y227+Y228</f>
        <v>35696258.25</v>
      </c>
      <c r="Z225" s="575">
        <f t="shared" ref="Z225:Z243" si="217">Y225/J225</f>
        <v>1.4089582609786457</v>
      </c>
      <c r="AA225" s="575">
        <v>1.4090329329369278</v>
      </c>
      <c r="AB225" s="575">
        <f t="shared" si="178"/>
        <v>-7.4671958282035433E-5</v>
      </c>
      <c r="AC225" s="612">
        <f t="shared" ref="AC225:AC243" si="218">Y225/Q225</f>
        <v>0.95610162563823753</v>
      </c>
      <c r="AD225" s="573">
        <f>AD226+AD227+AD228</f>
        <v>12225779.289999999</v>
      </c>
      <c r="AE225" s="573">
        <f t="shared" ref="AE225:AH225" si="219">AE226+AE227+AE228</f>
        <v>37443.14</v>
      </c>
      <c r="AF225" s="573">
        <f t="shared" si="219"/>
        <v>5817454.6100000003</v>
      </c>
      <c r="AG225" s="573">
        <f t="shared" si="219"/>
        <v>1471070.03</v>
      </c>
      <c r="AH225" s="573">
        <f t="shared" si="219"/>
        <v>92364.94</v>
      </c>
      <c r="AI225" s="499">
        <f t="shared" si="199"/>
        <v>17988312.099999998</v>
      </c>
      <c r="AJ225" s="322">
        <f t="shared" si="194"/>
        <v>13734292.459999999</v>
      </c>
      <c r="AK225" s="17">
        <f>AK226+AK227+AK228</f>
        <v>18080677.039999999</v>
      </c>
      <c r="AL225" s="575">
        <f t="shared" ref="AL225:AL243" si="220">AK225/J225</f>
        <v>0.71365797224965244</v>
      </c>
      <c r="AM225" s="575">
        <v>0.63267413542485373</v>
      </c>
      <c r="AN225" s="575">
        <f t="shared" si="182"/>
        <v>8.0983836824798705E-2</v>
      </c>
      <c r="AO225" s="740">
        <f t="shared" ref="AO225:AO243" si="221">AK225/Q225</f>
        <v>0.48427946115567888</v>
      </c>
      <c r="AP225" s="623"/>
      <c r="AQ225" s="745"/>
      <c r="AR225" s="745"/>
      <c r="AS225" s="745"/>
      <c r="AT225" s="331"/>
      <c r="AU225" s="745"/>
      <c r="AV225" s="745"/>
      <c r="AW225" s="746"/>
      <c r="AY225" s="747"/>
      <c r="AZ225" s="753"/>
      <c r="BA225" s="753"/>
      <c r="BB225" s="753"/>
      <c r="BC225" s="753"/>
    </row>
    <row r="226" spans="1:55" s="305" customFormat="1" ht="115.5" outlineLevel="1">
      <c r="A226" s="327" t="s">
        <v>120</v>
      </c>
      <c r="B226" s="328" t="s">
        <v>1285</v>
      </c>
      <c r="C226" s="329" t="s">
        <v>1106</v>
      </c>
      <c r="D226" s="329" t="s">
        <v>821</v>
      </c>
      <c r="E226" s="754">
        <v>21186764</v>
      </c>
      <c r="F226" s="594">
        <f>E226*$E$2</f>
        <v>14890142.486256</v>
      </c>
      <c r="G226" s="22">
        <v>21186764</v>
      </c>
      <c r="H226" s="22">
        <f>G226*$G$2</f>
        <v>14890142.486256</v>
      </c>
      <c r="I226" s="748">
        <v>21186764</v>
      </c>
      <c r="J226" s="331">
        <f>I226*$I$2</f>
        <v>14890142.486256</v>
      </c>
      <c r="K226" s="588" t="s">
        <v>885</v>
      </c>
      <c r="L226" s="588"/>
      <c r="M226" s="588"/>
      <c r="N226" s="331">
        <v>0</v>
      </c>
      <c r="O226" s="331">
        <v>0</v>
      </c>
      <c r="P226" s="331"/>
      <c r="Q226" s="317">
        <f t="shared" si="184"/>
        <v>14890142.486256</v>
      </c>
      <c r="R226" s="589">
        <f t="shared" ref="R226:R228" si="222">Q226/J226</f>
        <v>1</v>
      </c>
      <c r="S226" s="417">
        <v>10104222.25</v>
      </c>
      <c r="T226" s="417">
        <v>14886192.25</v>
      </c>
      <c r="U226" s="575">
        <f t="shared" si="195"/>
        <v>0.99973470796134789</v>
      </c>
      <c r="V226" s="592">
        <v>0.99973470796134789</v>
      </c>
      <c r="W226" s="575">
        <f t="shared" si="192"/>
        <v>0</v>
      </c>
      <c r="X226" s="612">
        <f t="shared" si="215"/>
        <v>0.99973470796134789</v>
      </c>
      <c r="Y226" s="586">
        <v>14886192.25</v>
      </c>
      <c r="Z226" s="591">
        <f t="shared" si="217"/>
        <v>0.99973470796134789</v>
      </c>
      <c r="AA226" s="591">
        <v>0.99973470796134789</v>
      </c>
      <c r="AB226" s="591">
        <f t="shared" si="178"/>
        <v>0</v>
      </c>
      <c r="AC226" s="593">
        <f t="shared" si="218"/>
        <v>0.99973470796134789</v>
      </c>
      <c r="AD226" s="625">
        <v>6489699.1600000001</v>
      </c>
      <c r="AE226" s="22">
        <v>0</v>
      </c>
      <c r="AF226" s="22">
        <v>2928628.7</v>
      </c>
      <c r="AG226" s="22">
        <v>1030563.05</v>
      </c>
      <c r="AH226" s="606">
        <v>0</v>
      </c>
      <c r="AI226" s="594">
        <f t="shared" si="199"/>
        <v>9418327.8599999994</v>
      </c>
      <c r="AJ226" s="332">
        <f t="shared" si="204"/>
        <v>7520262.21</v>
      </c>
      <c r="AK226" s="624">
        <f>SUM(AD226:AF226)</f>
        <v>9418327.8599999994</v>
      </c>
      <c r="AL226" s="591">
        <f t="shared" si="220"/>
        <v>0.63252100298525471</v>
      </c>
      <c r="AM226" s="591">
        <v>0.53678025965013487</v>
      </c>
      <c r="AN226" s="591">
        <f t="shared" si="182"/>
        <v>9.5740743335119838E-2</v>
      </c>
      <c r="AO226" s="744">
        <f t="shared" si="221"/>
        <v>0.63252100298525471</v>
      </c>
      <c r="AP226" s="623"/>
      <c r="AQ226" s="745"/>
      <c r="AR226" s="745"/>
      <c r="AS226" s="745"/>
      <c r="AT226" s="331"/>
      <c r="AU226" s="745"/>
      <c r="AV226" s="745"/>
      <c r="AW226" s="746"/>
      <c r="AY226" s="747"/>
      <c r="AZ226" s="455"/>
      <c r="BA226" s="455"/>
      <c r="BB226" s="455"/>
      <c r="BC226" s="455"/>
    </row>
    <row r="227" spans="1:55" s="305" customFormat="1" ht="82.5" outlineLevel="1">
      <c r="A227" s="327" t="s">
        <v>172</v>
      </c>
      <c r="B227" s="328" t="s">
        <v>1286</v>
      </c>
      <c r="C227" s="329" t="s">
        <v>1106</v>
      </c>
      <c r="D227" s="329" t="s">
        <v>821</v>
      </c>
      <c r="E227" s="754">
        <v>9170511</v>
      </c>
      <c r="F227" s="594">
        <f>E227*$E$2</f>
        <v>6445071.8128439998</v>
      </c>
      <c r="G227" s="22">
        <v>9170511</v>
      </c>
      <c r="H227" s="22">
        <f>G227*$G$2</f>
        <v>6445071.8128439998</v>
      </c>
      <c r="I227" s="748">
        <v>9170511</v>
      </c>
      <c r="J227" s="331">
        <f>I227*$I$2</f>
        <v>6445071.8128439998</v>
      </c>
      <c r="K227" s="588" t="s">
        <v>885</v>
      </c>
      <c r="L227" s="588"/>
      <c r="M227" s="588"/>
      <c r="N227" s="331">
        <v>8000000</v>
      </c>
      <c r="O227" s="331">
        <v>8000000</v>
      </c>
      <c r="P227" s="331"/>
      <c r="Q227" s="317">
        <f t="shared" si="184"/>
        <v>14445071.812844001</v>
      </c>
      <c r="R227" s="589">
        <f t="shared" si="222"/>
        <v>2.2412584734986627</v>
      </c>
      <c r="S227" s="417">
        <v>6595305.3799999999</v>
      </c>
      <c r="T227" s="417">
        <v>14188521.73</v>
      </c>
      <c r="U227" s="575">
        <f t="shared" si="195"/>
        <v>2.2014528529728001</v>
      </c>
      <c r="V227" s="592">
        <v>2.2017463842250402</v>
      </c>
      <c r="W227" s="575">
        <f t="shared" si="192"/>
        <v>-2.935312522400757E-4</v>
      </c>
      <c r="X227" s="612">
        <f t="shared" si="215"/>
        <v>0.98223961180892949</v>
      </c>
      <c r="Y227" s="586">
        <v>14188521.73</v>
      </c>
      <c r="Z227" s="591">
        <f t="shared" si="217"/>
        <v>2.2014528529728001</v>
      </c>
      <c r="AA227" s="591">
        <v>2.2017463842250402</v>
      </c>
      <c r="AB227" s="591">
        <f t="shared" si="178"/>
        <v>-2.935312522400757E-4</v>
      </c>
      <c r="AC227" s="593">
        <f t="shared" si="218"/>
        <v>0.98223961180892949</v>
      </c>
      <c r="AD227" s="625">
        <v>3568294.44</v>
      </c>
      <c r="AE227" s="22">
        <v>0</v>
      </c>
      <c r="AF227" s="22">
        <v>2888825.91</v>
      </c>
      <c r="AG227" s="22">
        <v>440506.98</v>
      </c>
      <c r="AH227" s="606">
        <v>87066</v>
      </c>
      <c r="AI227" s="594">
        <f t="shared" si="199"/>
        <v>6370054.3499999996</v>
      </c>
      <c r="AJ227" s="332">
        <f t="shared" si="204"/>
        <v>3921735.42</v>
      </c>
      <c r="AK227" s="624">
        <f>SUM(AD227:AF227)</f>
        <v>6457120.3499999996</v>
      </c>
      <c r="AL227" s="591">
        <f t="shared" si="220"/>
        <v>1.0018694186047685</v>
      </c>
      <c r="AM227" s="591">
        <v>0.91123936560272956</v>
      </c>
      <c r="AN227" s="591">
        <f t="shared" si="182"/>
        <v>9.0630053002038968E-2</v>
      </c>
      <c r="AO227" s="744">
        <f t="shared" si="221"/>
        <v>0.4470119936862188</v>
      </c>
      <c r="AP227" s="623"/>
      <c r="AQ227" s="745"/>
      <c r="AR227" s="745"/>
      <c r="AS227" s="745"/>
      <c r="AT227" s="331"/>
      <c r="AU227" s="745"/>
      <c r="AV227" s="745"/>
      <c r="AW227" s="746"/>
      <c r="AY227" s="747"/>
      <c r="AZ227" s="455"/>
      <c r="BA227" s="455"/>
      <c r="BB227" s="455"/>
      <c r="BC227" s="455"/>
    </row>
    <row r="228" spans="1:55" s="305" customFormat="1" ht="165" outlineLevel="1">
      <c r="A228" s="327" t="s">
        <v>161</v>
      </c>
      <c r="B228" s="328" t="s">
        <v>1287</v>
      </c>
      <c r="C228" s="329" t="s">
        <v>1106</v>
      </c>
      <c r="D228" s="329" t="s">
        <v>821</v>
      </c>
      <c r="E228" s="754">
        <v>5691486</v>
      </c>
      <c r="F228" s="594">
        <f>E228*$E$2</f>
        <v>3999999.1267439998</v>
      </c>
      <c r="G228" s="22">
        <v>5691486</v>
      </c>
      <c r="H228" s="22">
        <f>G228*$G$2</f>
        <v>3999999.1267439998</v>
      </c>
      <c r="I228" s="748">
        <v>5691486</v>
      </c>
      <c r="J228" s="331">
        <f>I228*$I$2</f>
        <v>3999999.1267439998</v>
      </c>
      <c r="K228" s="588" t="s">
        <v>885</v>
      </c>
      <c r="L228" s="588"/>
      <c r="M228" s="588"/>
      <c r="N228" s="331">
        <v>4000000</v>
      </c>
      <c r="O228" s="331">
        <v>4000000</v>
      </c>
      <c r="P228" s="331"/>
      <c r="Q228" s="317">
        <f t="shared" si="184"/>
        <v>7999999.1267440002</v>
      </c>
      <c r="R228" s="589">
        <f t="shared" si="222"/>
        <v>2.0000002183140477</v>
      </c>
      <c r="S228" s="417">
        <v>2205229.73</v>
      </c>
      <c r="T228" s="417">
        <v>6621544.2699999996</v>
      </c>
      <c r="U228" s="575">
        <f t="shared" si="195"/>
        <v>1.6553864288940328</v>
      </c>
      <c r="V228" s="592">
        <v>1.6553864288940328</v>
      </c>
      <c r="W228" s="575">
        <f t="shared" si="192"/>
        <v>0</v>
      </c>
      <c r="X228" s="612">
        <f t="shared" si="215"/>
        <v>0.82769312409849827</v>
      </c>
      <c r="Y228" s="586">
        <v>6621544.2699999996</v>
      </c>
      <c r="Z228" s="591">
        <f t="shared" si="217"/>
        <v>1.6553864288940328</v>
      </c>
      <c r="AA228" s="592">
        <v>1.6553864288940328</v>
      </c>
      <c r="AB228" s="591">
        <f t="shared" si="178"/>
        <v>0</v>
      </c>
      <c r="AC228" s="593">
        <f t="shared" si="218"/>
        <v>0.82769312409849827</v>
      </c>
      <c r="AD228" s="625">
        <v>2167785.69</v>
      </c>
      <c r="AE228" s="22">
        <v>37443.14</v>
      </c>
      <c r="AF228" s="22">
        <v>0</v>
      </c>
      <c r="AG228" s="22">
        <v>0</v>
      </c>
      <c r="AH228" s="606">
        <v>5298.94</v>
      </c>
      <c r="AI228" s="594">
        <f t="shared" si="199"/>
        <v>2199929.89</v>
      </c>
      <c r="AJ228" s="332">
        <f t="shared" si="204"/>
        <v>2199929.89</v>
      </c>
      <c r="AK228" s="624">
        <f>SUM(AD228:AF228)</f>
        <v>2205228.83</v>
      </c>
      <c r="AL228" s="591">
        <f t="shared" si="220"/>
        <v>0.55130732785810799</v>
      </c>
      <c r="AM228" s="591">
        <v>0.54079925556404873</v>
      </c>
      <c r="AN228" s="591">
        <f t="shared" si="182"/>
        <v>1.0508072294059256E-2</v>
      </c>
      <c r="AO228" s="744">
        <f t="shared" si="221"/>
        <v>0.27565363383952374</v>
      </c>
      <c r="AP228" s="623"/>
      <c r="AQ228" s="745"/>
      <c r="AR228" s="745"/>
      <c r="AS228" s="745"/>
      <c r="AT228" s="331"/>
      <c r="AU228" s="745"/>
      <c r="AV228" s="745"/>
      <c r="AW228" s="746"/>
      <c r="AY228" s="747"/>
      <c r="AZ228" s="455"/>
      <c r="BA228" s="455"/>
      <c r="BB228" s="455"/>
      <c r="BC228" s="455"/>
    </row>
    <row r="229" spans="1:55" s="741" customFormat="1" ht="49.5" outlineLevel="1">
      <c r="A229" s="14" t="s">
        <v>121</v>
      </c>
      <c r="B229" s="15" t="s">
        <v>1288</v>
      </c>
      <c r="C229" s="16" t="s">
        <v>1106</v>
      </c>
      <c r="D229" s="16" t="s">
        <v>1042</v>
      </c>
      <c r="E229" s="614"/>
      <c r="F229" s="608">
        <f>F230+F231</f>
        <v>59611651.145351999</v>
      </c>
      <c r="G229" s="588"/>
      <c r="H229" s="588">
        <f>H230+H231</f>
        <v>59611651.145351999</v>
      </c>
      <c r="I229" s="588"/>
      <c r="J229" s="588">
        <f>J230+J231</f>
        <v>59611651.145351999</v>
      </c>
      <c r="K229" s="588" t="s">
        <v>885</v>
      </c>
      <c r="L229" s="588"/>
      <c r="M229" s="588"/>
      <c r="N229" s="588">
        <f>N230+N231</f>
        <v>8000000</v>
      </c>
      <c r="O229" s="588">
        <f>O230+O231</f>
        <v>8000000</v>
      </c>
      <c r="P229" s="588"/>
      <c r="Q229" s="294">
        <f t="shared" si="184"/>
        <v>67611651.145352006</v>
      </c>
      <c r="R229" s="610">
        <f>Q229/J229</f>
        <v>1.1342019529117469</v>
      </c>
      <c r="S229" s="614">
        <v>22019669.369999997</v>
      </c>
      <c r="T229" s="614">
        <f t="shared" ref="T229" si="223">T230+T231</f>
        <v>61410632.619999997</v>
      </c>
      <c r="U229" s="575">
        <f t="shared" si="195"/>
        <v>1.030178353393727</v>
      </c>
      <c r="V229" s="575">
        <v>1.0296503552692788</v>
      </c>
      <c r="W229" s="575">
        <f t="shared" si="192"/>
        <v>5.2799812444814798E-4</v>
      </c>
      <c r="X229" s="612">
        <f t="shared" si="215"/>
        <v>0.90828476423359317</v>
      </c>
      <c r="Y229" s="614">
        <f t="shared" ref="Y229" si="224">Y230+Y231</f>
        <v>60891755.630000003</v>
      </c>
      <c r="Z229" s="575">
        <f t="shared" si="217"/>
        <v>1.0214740652213559</v>
      </c>
      <c r="AA229" s="749">
        <v>1.005936275339617</v>
      </c>
      <c r="AB229" s="575">
        <f t="shared" si="178"/>
        <v>1.5537789881738817E-2</v>
      </c>
      <c r="AC229" s="612">
        <f t="shared" si="218"/>
        <v>0.90061039182572955</v>
      </c>
      <c r="AD229" s="573">
        <f>AD230+AD231</f>
        <v>19611771.300000001</v>
      </c>
      <c r="AE229" s="573">
        <f t="shared" ref="AE229:AH229" si="225">AE230+AE231</f>
        <v>0</v>
      </c>
      <c r="AF229" s="573">
        <f t="shared" si="225"/>
        <v>1964333.8099999998</v>
      </c>
      <c r="AG229" s="573">
        <f t="shared" si="225"/>
        <v>969587.70000000508</v>
      </c>
      <c r="AH229" s="573">
        <f t="shared" si="225"/>
        <v>51586.51</v>
      </c>
      <c r="AI229" s="499">
        <f t="shared" si="199"/>
        <v>21524518.599999998</v>
      </c>
      <c r="AJ229" s="322">
        <f t="shared" si="194"/>
        <v>20581359.000000007</v>
      </c>
      <c r="AK229" s="17">
        <f>AK230+AK231</f>
        <v>21576105.109999999</v>
      </c>
      <c r="AL229" s="575">
        <f t="shared" si="220"/>
        <v>0.36194443024888967</v>
      </c>
      <c r="AM229" s="575">
        <v>0.34611297143391961</v>
      </c>
      <c r="AN229" s="575">
        <f t="shared" si="182"/>
        <v>1.5831458814970056E-2</v>
      </c>
      <c r="AO229" s="740">
        <f t="shared" si="221"/>
        <v>0.31911815115438513</v>
      </c>
      <c r="AP229" s="623"/>
      <c r="AQ229" s="745"/>
      <c r="AR229" s="745"/>
      <c r="AS229" s="745"/>
      <c r="AT229" s="331"/>
      <c r="AU229" s="745"/>
      <c r="AV229" s="745"/>
      <c r="AW229" s="746"/>
      <c r="AY229" s="747"/>
      <c r="AZ229" s="753"/>
      <c r="BA229" s="753"/>
      <c r="BB229" s="753"/>
      <c r="BC229" s="753"/>
    </row>
    <row r="230" spans="1:55" s="305" customFormat="1" ht="82.5" outlineLevel="1">
      <c r="A230" s="327" t="s">
        <v>196</v>
      </c>
      <c r="B230" s="328" t="s">
        <v>1289</v>
      </c>
      <c r="C230" s="329" t="s">
        <v>1106</v>
      </c>
      <c r="D230" s="329" t="s">
        <v>1042</v>
      </c>
      <c r="E230" s="763">
        <v>77916387</v>
      </c>
      <c r="F230" s="594">
        <f>E230*$E$2</f>
        <v>54759948.449147999</v>
      </c>
      <c r="G230" s="743">
        <v>77916387</v>
      </c>
      <c r="H230" s="22">
        <f>G230*$G$2</f>
        <v>54759948.449147999</v>
      </c>
      <c r="I230" s="748">
        <v>77916387</v>
      </c>
      <c r="J230" s="331">
        <f>I230*$I$2</f>
        <v>54759948.449147999</v>
      </c>
      <c r="K230" s="588" t="s">
        <v>885</v>
      </c>
      <c r="L230" s="588"/>
      <c r="M230" s="588"/>
      <c r="N230" s="322">
        <v>8000000</v>
      </c>
      <c r="O230" s="322">
        <f>N230</f>
        <v>8000000</v>
      </c>
      <c r="P230" s="331"/>
      <c r="Q230" s="317">
        <f t="shared" si="184"/>
        <v>62759948.449147999</v>
      </c>
      <c r="R230" s="589">
        <f t="shared" ref="R230:R240" si="226">Q230/J230</f>
        <v>1.1460921755145383</v>
      </c>
      <c r="S230" s="417">
        <v>18455307.699999999</v>
      </c>
      <c r="T230" s="417">
        <v>57524454.409999996</v>
      </c>
      <c r="U230" s="575">
        <f t="shared" si="195"/>
        <v>1.0504840862554721</v>
      </c>
      <c r="V230" s="592">
        <v>1.0499093077742758</v>
      </c>
      <c r="W230" s="575">
        <f t="shared" si="192"/>
        <v>5.7477848119624753E-4</v>
      </c>
      <c r="X230" s="612">
        <f t="shared" si="215"/>
        <v>0.91657905768692394</v>
      </c>
      <c r="Y230" s="586">
        <v>57005577.420000002</v>
      </c>
      <c r="Z230" s="591">
        <f t="shared" si="217"/>
        <v>1.0410086027187804</v>
      </c>
      <c r="AA230" s="592">
        <v>1.0240941728072888</v>
      </c>
      <c r="AB230" s="591">
        <f t="shared" si="178"/>
        <v>1.6914429911491613E-2</v>
      </c>
      <c r="AC230" s="593">
        <f t="shared" si="218"/>
        <v>0.90831141243191837</v>
      </c>
      <c r="AD230" s="625">
        <v>16968727.240000002</v>
      </c>
      <c r="AE230" s="22">
        <v>0</v>
      </c>
      <c r="AF230" s="22">
        <v>1450620.65</v>
      </c>
      <c r="AG230" s="22">
        <v>484011.00000000402</v>
      </c>
      <c r="AH230" s="606">
        <v>14606.72</v>
      </c>
      <c r="AI230" s="594">
        <f t="shared" si="199"/>
        <v>18404741.170000002</v>
      </c>
      <c r="AJ230" s="332">
        <f t="shared" si="204"/>
        <v>17438131.520000007</v>
      </c>
      <c r="AK230" s="624">
        <f>SUM(AD230:AF230)</f>
        <v>18419347.890000001</v>
      </c>
      <c r="AL230" s="591">
        <f t="shared" si="220"/>
        <v>0.33636532560115262</v>
      </c>
      <c r="AM230" s="591">
        <v>0.31913120784305449</v>
      </c>
      <c r="AN230" s="591">
        <f t="shared" si="182"/>
        <v>1.7234117758098133E-2</v>
      </c>
      <c r="AO230" s="744">
        <f t="shared" si="221"/>
        <v>0.29348889451246918</v>
      </c>
      <c r="AP230" s="623"/>
      <c r="AQ230" s="745"/>
      <c r="AR230" s="745"/>
      <c r="AS230" s="745"/>
      <c r="AT230" s="331"/>
      <c r="AU230" s="745"/>
      <c r="AV230" s="745"/>
      <c r="AW230" s="746"/>
      <c r="AY230" s="747"/>
      <c r="AZ230" s="455"/>
      <c r="BA230" s="455"/>
      <c r="BB230" s="455"/>
      <c r="BC230" s="455"/>
    </row>
    <row r="231" spans="1:55" s="305" customFormat="1" ht="85.5" outlineLevel="1">
      <c r="A231" s="327" t="s">
        <v>365</v>
      </c>
      <c r="B231" s="328" t="s">
        <v>1290</v>
      </c>
      <c r="C231" s="329" t="s">
        <v>1106</v>
      </c>
      <c r="D231" s="329" t="s">
        <v>1042</v>
      </c>
      <c r="E231" s="754">
        <v>6903351</v>
      </c>
      <c r="F231" s="594">
        <f>E231*$E$2</f>
        <v>4851702.6962040002</v>
      </c>
      <c r="G231" s="22">
        <v>6903351</v>
      </c>
      <c r="H231" s="22">
        <f>G231*$G$2</f>
        <v>4851702.6962040002</v>
      </c>
      <c r="I231" s="748">
        <v>6903351</v>
      </c>
      <c r="J231" s="331">
        <f>I231*$I$2</f>
        <v>4851702.6962040002</v>
      </c>
      <c r="K231" s="588" t="s">
        <v>885</v>
      </c>
      <c r="L231" s="588"/>
      <c r="M231" s="588"/>
      <c r="N231" s="331">
        <v>0</v>
      </c>
      <c r="O231" s="331">
        <v>0</v>
      </c>
      <c r="P231" s="331"/>
      <c r="Q231" s="317">
        <f t="shared" si="184"/>
        <v>4851702.6962040002</v>
      </c>
      <c r="R231" s="589">
        <f t="shared" si="226"/>
        <v>1</v>
      </c>
      <c r="S231" s="417">
        <v>3564361.67</v>
      </c>
      <c r="T231" s="417">
        <v>3886178.21</v>
      </c>
      <c r="U231" s="575">
        <f t="shared" si="195"/>
        <v>0.80099265213438742</v>
      </c>
      <c r="V231" s="592">
        <v>0.80099265213438742</v>
      </c>
      <c r="W231" s="575">
        <f t="shared" si="192"/>
        <v>0</v>
      </c>
      <c r="X231" s="612">
        <f t="shared" si="215"/>
        <v>0.80099265213438742</v>
      </c>
      <c r="Y231" s="586">
        <v>3886178.21</v>
      </c>
      <c r="Z231" s="591">
        <f t="shared" si="217"/>
        <v>0.80099265213438742</v>
      </c>
      <c r="AA231" s="591">
        <v>0.80099265213438742</v>
      </c>
      <c r="AB231" s="591">
        <f t="shared" si="178"/>
        <v>0</v>
      </c>
      <c r="AC231" s="593">
        <f t="shared" si="218"/>
        <v>0.80099265213438742</v>
      </c>
      <c r="AD231" s="625">
        <v>2643044.06</v>
      </c>
      <c r="AE231" s="22">
        <v>0</v>
      </c>
      <c r="AF231" s="22">
        <v>513713.16</v>
      </c>
      <c r="AG231" s="22">
        <v>485576.700000001</v>
      </c>
      <c r="AH231" s="606">
        <v>36979.79</v>
      </c>
      <c r="AI231" s="594">
        <f t="shared" si="199"/>
        <v>3119777.43</v>
      </c>
      <c r="AJ231" s="332">
        <f t="shared" si="204"/>
        <v>3091640.9700000011</v>
      </c>
      <c r="AK231" s="624">
        <f>SUM(AD231:AF231)</f>
        <v>3156757.22</v>
      </c>
      <c r="AL231" s="591">
        <f t="shared" si="220"/>
        <v>0.65064935295187498</v>
      </c>
      <c r="AM231" s="591">
        <v>0.65064935295187498</v>
      </c>
      <c r="AN231" s="591">
        <f t="shared" si="182"/>
        <v>0</v>
      </c>
      <c r="AO231" s="744">
        <f t="shared" si="221"/>
        <v>0.65064935295187498</v>
      </c>
      <c r="AP231" s="623"/>
      <c r="AQ231" s="745"/>
      <c r="AR231" s="745"/>
      <c r="AS231" s="745"/>
      <c r="AT231" s="331"/>
      <c r="AU231" s="745"/>
      <c r="AV231" s="745"/>
      <c r="AW231" s="746"/>
      <c r="AY231" s="747"/>
      <c r="AZ231" s="455"/>
      <c r="BA231" s="455"/>
      <c r="BB231" s="455"/>
      <c r="BC231" s="455"/>
    </row>
    <row r="232" spans="1:55" s="741" customFormat="1" ht="132">
      <c r="A232" s="14" t="s">
        <v>122</v>
      </c>
      <c r="B232" s="15" t="s">
        <v>1291</v>
      </c>
      <c r="C232" s="16" t="s">
        <v>1202</v>
      </c>
      <c r="D232" s="16" t="s">
        <v>131</v>
      </c>
      <c r="E232" s="614"/>
      <c r="F232" s="608">
        <f>F233+F241</f>
        <v>471307462.12600803</v>
      </c>
      <c r="G232" s="588"/>
      <c r="H232" s="588">
        <f>H233+H241</f>
        <v>471307462.12600803</v>
      </c>
      <c r="I232" s="588"/>
      <c r="J232" s="588">
        <f>J233+J241</f>
        <v>471307462.12600803</v>
      </c>
      <c r="K232" s="588" t="s">
        <v>885</v>
      </c>
      <c r="L232" s="588"/>
      <c r="M232" s="588"/>
      <c r="N232" s="331">
        <f>N233+N241</f>
        <v>3879949</v>
      </c>
      <c r="O232" s="331">
        <f>O233+O241</f>
        <v>3866914</v>
      </c>
      <c r="P232" s="331"/>
      <c r="Q232" s="294">
        <f t="shared" si="184"/>
        <v>475174376.12600803</v>
      </c>
      <c r="R232" s="610">
        <f t="shared" si="226"/>
        <v>1.0082046526116026</v>
      </c>
      <c r="S232" s="614">
        <v>349136301.75999999</v>
      </c>
      <c r="T232" s="614">
        <f t="shared" ref="T232" si="227">T233+T241</f>
        <v>441392907.90000004</v>
      </c>
      <c r="U232" s="575">
        <f t="shared" si="195"/>
        <v>0.93652857926104705</v>
      </c>
      <c r="V232" s="575">
        <v>0.92595456229658057</v>
      </c>
      <c r="W232" s="575">
        <f t="shared" si="192"/>
        <v>1.0574016964466471E-2</v>
      </c>
      <c r="X232" s="612">
        <f t="shared" si="215"/>
        <v>0.92890721822708355</v>
      </c>
      <c r="Y232" s="614">
        <f t="shared" ref="Y232" si="228">Y233+Y241</f>
        <v>424040481.26999998</v>
      </c>
      <c r="Z232" s="575">
        <f t="shared" si="217"/>
        <v>0.89971094316480216</v>
      </c>
      <c r="AA232" s="749">
        <v>0.89544495439617455</v>
      </c>
      <c r="AB232" s="575">
        <f t="shared" si="178"/>
        <v>4.2659887686276043E-3</v>
      </c>
      <c r="AC232" s="612">
        <f t="shared" si="218"/>
        <v>0.89238919978621023</v>
      </c>
      <c r="AD232" s="573">
        <f>AD233+AD241</f>
        <v>188939303.28</v>
      </c>
      <c r="AE232" s="573">
        <f t="shared" ref="AE232:AH232" si="229">AE233+AE241</f>
        <v>10087251.76</v>
      </c>
      <c r="AF232" s="573">
        <f t="shared" si="229"/>
        <v>133484831.08</v>
      </c>
      <c r="AG232" s="573">
        <f t="shared" si="229"/>
        <v>92495375.859999999</v>
      </c>
      <c r="AH232" s="573">
        <f t="shared" si="229"/>
        <v>3374240.5</v>
      </c>
      <c r="AI232" s="499">
        <f t="shared" si="199"/>
        <v>329137145.62</v>
      </c>
      <c r="AJ232" s="322">
        <f t="shared" si="194"/>
        <v>291521930.89999998</v>
      </c>
      <c r="AK232" s="17">
        <f>AK233+AK241</f>
        <v>332511386.12</v>
      </c>
      <c r="AL232" s="575">
        <f t="shared" si="220"/>
        <v>0.70550842674988301</v>
      </c>
      <c r="AM232" s="575">
        <v>0.67942084998091445</v>
      </c>
      <c r="AN232" s="575">
        <f t="shared" si="182"/>
        <v>2.6087576768968557E-2</v>
      </c>
      <c r="AO232" s="740">
        <f t="shared" si="221"/>
        <v>0.69976708094172091</v>
      </c>
      <c r="AP232" s="623"/>
      <c r="AQ232" s="745"/>
      <c r="AR232" s="745"/>
      <c r="AS232" s="745"/>
      <c r="AT232" s="331"/>
      <c r="AU232" s="745"/>
      <c r="AV232" s="745"/>
      <c r="AW232" s="746"/>
      <c r="AY232" s="747"/>
      <c r="AZ232" s="753"/>
      <c r="BA232" s="753"/>
      <c r="BB232" s="753"/>
      <c r="BC232" s="753"/>
    </row>
    <row r="233" spans="1:55" s="741" customFormat="1" ht="66" outlineLevel="1">
      <c r="A233" s="14" t="s">
        <v>123</v>
      </c>
      <c r="B233" s="15" t="s">
        <v>1292</v>
      </c>
      <c r="C233" s="16" t="s">
        <v>1202</v>
      </c>
      <c r="D233" s="16" t="s">
        <v>1097</v>
      </c>
      <c r="E233" s="614"/>
      <c r="F233" s="608">
        <f>F234+F235+F239+F240</f>
        <v>391160713.03180802</v>
      </c>
      <c r="G233" s="588">
        <f>H233/G2</f>
        <v>556571552</v>
      </c>
      <c r="H233" s="588">
        <f>H234+H235+H239+H240</f>
        <v>391160713.03180802</v>
      </c>
      <c r="I233" s="588"/>
      <c r="J233" s="588">
        <f>J234+J235+J239+J240</f>
        <v>391160713.03180802</v>
      </c>
      <c r="K233" s="588" t="s">
        <v>885</v>
      </c>
      <c r="L233" s="588"/>
      <c r="M233" s="588"/>
      <c r="N233" s="588">
        <f>N234+N235+N239+N240</f>
        <v>3879949</v>
      </c>
      <c r="O233" s="588">
        <f>O234+O235+O239+O240</f>
        <v>3866914</v>
      </c>
      <c r="P233" s="588"/>
      <c r="Q233" s="294">
        <f t="shared" si="184"/>
        <v>395027627.03180802</v>
      </c>
      <c r="R233" s="610">
        <f t="shared" si="226"/>
        <v>1.0098857422823175</v>
      </c>
      <c r="S233" s="793">
        <v>311693030.46999997</v>
      </c>
      <c r="T233" s="793">
        <f t="shared" ref="T233" si="230">T234+T235+T239+T240</f>
        <v>361614006.96000004</v>
      </c>
      <c r="U233" s="575">
        <f t="shared" si="195"/>
        <v>0.9244640244087976</v>
      </c>
      <c r="V233" s="575">
        <v>0.91103728003100393</v>
      </c>
      <c r="W233" s="575">
        <f t="shared" si="192"/>
        <v>1.3426744377793676E-2</v>
      </c>
      <c r="X233" s="612">
        <f t="shared" si="215"/>
        <v>0.91541447284871169</v>
      </c>
      <c r="Y233" s="793">
        <f t="shared" ref="Y233" si="231">Y234+Y235+Y239+Y240</f>
        <v>353250864.87</v>
      </c>
      <c r="Z233" s="575">
        <f t="shared" si="217"/>
        <v>0.90308370217454503</v>
      </c>
      <c r="AA233" s="749">
        <v>0.90267604944548052</v>
      </c>
      <c r="AB233" s="575">
        <f t="shared" si="178"/>
        <v>4.0765272906451155E-4</v>
      </c>
      <c r="AC233" s="612">
        <f t="shared" si="218"/>
        <v>0.89424344196958128</v>
      </c>
      <c r="AD233" s="608">
        <f>AD234+AD235+AD239+AD240</f>
        <v>163739526.78</v>
      </c>
      <c r="AE233" s="608">
        <f t="shared" ref="AE233:AH233" si="232">AE234+AE235+AE239+AE240</f>
        <v>727566.69</v>
      </c>
      <c r="AF233" s="608">
        <f t="shared" si="232"/>
        <v>133484831.08</v>
      </c>
      <c r="AG233" s="608">
        <f t="shared" si="232"/>
        <v>87970134.739999995</v>
      </c>
      <c r="AH233" s="608">
        <f t="shared" si="232"/>
        <v>3374240.5</v>
      </c>
      <c r="AI233" s="499">
        <f t="shared" si="199"/>
        <v>294577684.05000001</v>
      </c>
      <c r="AJ233" s="322">
        <f t="shared" si="194"/>
        <v>252437228.20999998</v>
      </c>
      <c r="AK233" s="588">
        <f>AK234+AK235+AK239+AK240</f>
        <v>297951924.55000001</v>
      </c>
      <c r="AL233" s="575">
        <f t="shared" si="220"/>
        <v>0.76171229528813</v>
      </c>
      <c r="AM233" s="575">
        <v>0.7325107632603447</v>
      </c>
      <c r="AN233" s="575">
        <f t="shared" si="182"/>
        <v>2.9201532027785304E-2</v>
      </c>
      <c r="AO233" s="740">
        <f t="shared" si="221"/>
        <v>0.75425591569069828</v>
      </c>
      <c r="AP233" s="623"/>
      <c r="AQ233" s="745"/>
      <c r="AR233" s="745"/>
      <c r="AS233" s="745"/>
      <c r="AT233" s="331"/>
      <c r="AU233" s="745"/>
      <c r="AV233" s="745"/>
      <c r="AW233" s="746"/>
      <c r="AY233" s="747"/>
      <c r="AZ233" s="753"/>
      <c r="BA233" s="753"/>
      <c r="BB233" s="753"/>
      <c r="BC233" s="753"/>
    </row>
    <row r="234" spans="1:55" s="305" customFormat="1" ht="132" outlineLevel="1">
      <c r="A234" s="327" t="s">
        <v>1293</v>
      </c>
      <c r="B234" s="328" t="s">
        <v>1294</v>
      </c>
      <c r="C234" s="329" t="s">
        <v>1202</v>
      </c>
      <c r="D234" s="329" t="s">
        <v>1097</v>
      </c>
      <c r="E234" s="754">
        <v>438976835</v>
      </c>
      <c r="F234" s="594">
        <f>E234*$E$2</f>
        <v>308514675.54534</v>
      </c>
      <c r="G234" s="22">
        <v>438976835</v>
      </c>
      <c r="H234" s="22">
        <f>G234*$G$2</f>
        <v>308514675.54534</v>
      </c>
      <c r="I234" s="748">
        <v>438976835</v>
      </c>
      <c r="J234" s="331">
        <f>I234*$I$2</f>
        <v>308514675.54534</v>
      </c>
      <c r="K234" s="588" t="s">
        <v>885</v>
      </c>
      <c r="L234" s="588"/>
      <c r="M234" s="588"/>
      <c r="N234" s="341">
        <v>3749949</v>
      </c>
      <c r="O234" s="341">
        <f>N234</f>
        <v>3749949</v>
      </c>
      <c r="P234" s="331"/>
      <c r="Q234" s="317">
        <f t="shared" si="184"/>
        <v>312264624.54534</v>
      </c>
      <c r="R234" s="589">
        <f t="shared" si="226"/>
        <v>1.012154848042063</v>
      </c>
      <c r="S234" s="417">
        <v>271450311.63999999</v>
      </c>
      <c r="T234" s="417">
        <v>302839681.13</v>
      </c>
      <c r="U234" s="575">
        <f t="shared" si="195"/>
        <v>0.98160543123172761</v>
      </c>
      <c r="V234" s="592">
        <v>0.96545186222827306</v>
      </c>
      <c r="W234" s="575">
        <f t="shared" si="192"/>
        <v>1.6153569003454549E-2</v>
      </c>
      <c r="X234" s="612">
        <f t="shared" si="215"/>
        <v>0.96981744752847743</v>
      </c>
      <c r="Y234" s="586">
        <v>297749587.26999998</v>
      </c>
      <c r="Z234" s="591">
        <f t="shared" si="217"/>
        <v>0.96510672221244798</v>
      </c>
      <c r="AA234" s="591">
        <v>0.96545186222827306</v>
      </c>
      <c r="AB234" s="591">
        <f>Z234-AA234</f>
        <v>-3.4514001582508502E-4</v>
      </c>
      <c r="AC234" s="593">
        <f t="shared" si="218"/>
        <v>0.95351686955743375</v>
      </c>
      <c r="AD234" s="625">
        <v>138278788.33000001</v>
      </c>
      <c r="AE234" s="22">
        <v>0</v>
      </c>
      <c r="AF234" s="22">
        <v>119907223.44</v>
      </c>
      <c r="AG234" s="22">
        <v>77285118.689999998</v>
      </c>
      <c r="AH234" s="606">
        <v>3257043.17</v>
      </c>
      <c r="AI234" s="594">
        <f t="shared" si="199"/>
        <v>254928968.60000002</v>
      </c>
      <c r="AJ234" s="332">
        <f t="shared" ref="AJ234:AJ247" si="233">AD234+AE234+AG234-AH234</f>
        <v>212306863.85000002</v>
      </c>
      <c r="AK234" s="624">
        <f>SUM(AD234:AF234)</f>
        <v>258186011.77000001</v>
      </c>
      <c r="AL234" s="591">
        <f t="shared" si="220"/>
        <v>0.83686784530953839</v>
      </c>
      <c r="AM234" s="591">
        <v>0.80985749286756725</v>
      </c>
      <c r="AN234" s="591">
        <f t="shared" si="182"/>
        <v>2.7010352441971142E-2</v>
      </c>
      <c r="AO234" s="744">
        <f t="shared" si="221"/>
        <v>0.82681799818317903</v>
      </c>
      <c r="AP234" s="623"/>
      <c r="AQ234" s="745"/>
      <c r="AR234" s="745"/>
      <c r="AS234" s="745"/>
      <c r="AT234" s="331"/>
      <c r="AU234" s="745"/>
      <c r="AV234" s="745"/>
      <c r="AW234" s="746"/>
      <c r="AY234" s="747"/>
      <c r="AZ234" s="455"/>
      <c r="BA234" s="455"/>
      <c r="BB234" s="455"/>
      <c r="BC234" s="455"/>
    </row>
    <row r="235" spans="1:55" s="741" customFormat="1" ht="82.5" outlineLevel="1">
      <c r="A235" s="19" t="s">
        <v>124</v>
      </c>
      <c r="B235" s="20" t="s">
        <v>1295</v>
      </c>
      <c r="C235" s="21" t="s">
        <v>1202</v>
      </c>
      <c r="D235" s="21" t="s">
        <v>1097</v>
      </c>
      <c r="E235" s="622"/>
      <c r="F235" s="586">
        <f>F236+F237+F238</f>
        <v>68412722.265336007</v>
      </c>
      <c r="G235" s="331"/>
      <c r="H235" s="331">
        <f>H236+H237+H238</f>
        <v>68412722.265336007</v>
      </c>
      <c r="I235" s="331"/>
      <c r="J235" s="331">
        <f>J236+J237+J238</f>
        <v>68412722.265336007</v>
      </c>
      <c r="K235" s="588" t="s">
        <v>885</v>
      </c>
      <c r="L235" s="588"/>
      <c r="M235" s="588"/>
      <c r="N235" s="331">
        <f>N236+N237+N238</f>
        <v>0</v>
      </c>
      <c r="O235" s="331">
        <f>O236+O237+O238</f>
        <v>0</v>
      </c>
      <c r="P235" s="331"/>
      <c r="Q235" s="317">
        <f t="shared" si="184"/>
        <v>68412722.265336007</v>
      </c>
      <c r="R235" s="589">
        <f t="shared" si="226"/>
        <v>1</v>
      </c>
      <c r="S235" s="757">
        <v>33587568.549999997</v>
      </c>
      <c r="T235" s="757">
        <f t="shared" ref="T235" si="234">T236+T237+T238</f>
        <v>47355891.109999999</v>
      </c>
      <c r="U235" s="575">
        <f t="shared" si="195"/>
        <v>0.69220883984607529</v>
      </c>
      <c r="V235" s="591">
        <v>0.68924070703636853</v>
      </c>
      <c r="W235" s="575">
        <f t="shared" si="192"/>
        <v>2.9681328097067583E-3</v>
      </c>
      <c r="X235" s="612">
        <f t="shared" si="215"/>
        <v>0.69220883984607529</v>
      </c>
      <c r="Y235" s="757">
        <f t="shared" ref="Y235" si="235">Y236+Y237+Y238</f>
        <v>44082842.879999995</v>
      </c>
      <c r="Z235" s="591">
        <f t="shared" si="217"/>
        <v>0.64436615618110404</v>
      </c>
      <c r="AA235" s="591">
        <v>0.64160316874215273</v>
      </c>
      <c r="AB235" s="591">
        <f t="shared" si="178"/>
        <v>2.7629874389513143E-3</v>
      </c>
      <c r="AC235" s="593">
        <f t="shared" si="218"/>
        <v>0.64436615618110404</v>
      </c>
      <c r="AD235" s="620">
        <f>AD236+AD237+AD238</f>
        <v>19674137.009999998</v>
      </c>
      <c r="AE235" s="620">
        <f t="shared" ref="AE235:AH235" si="236">AE236+AE237+AE238</f>
        <v>727566.69</v>
      </c>
      <c r="AF235" s="620">
        <f t="shared" si="236"/>
        <v>13577607.640000001</v>
      </c>
      <c r="AG235" s="620">
        <f t="shared" si="236"/>
        <v>10685016.049999999</v>
      </c>
      <c r="AH235" s="620">
        <f t="shared" si="236"/>
        <v>117197.33</v>
      </c>
      <c r="AI235" s="620">
        <f t="shared" si="199"/>
        <v>33862114.009999998</v>
      </c>
      <c r="AJ235" s="332">
        <f t="shared" si="233"/>
        <v>30969522.420000002</v>
      </c>
      <c r="AK235" s="22">
        <f>AK236+AK237+AK238</f>
        <v>33979311.339999996</v>
      </c>
      <c r="AL235" s="591">
        <f t="shared" si="220"/>
        <v>0.49668117588147709</v>
      </c>
      <c r="AM235" s="591">
        <v>0.47685590253628546</v>
      </c>
      <c r="AN235" s="591">
        <f t="shared" si="182"/>
        <v>1.982527334519163E-2</v>
      </c>
      <c r="AO235" s="744">
        <f t="shared" si="221"/>
        <v>0.49668117588147709</v>
      </c>
      <c r="AP235" s="623"/>
      <c r="AQ235" s="745"/>
      <c r="AR235" s="745"/>
      <c r="AS235" s="745"/>
      <c r="AT235" s="331"/>
      <c r="AU235" s="745"/>
      <c r="AV235" s="745"/>
      <c r="AW235" s="746"/>
      <c r="AY235" s="747"/>
      <c r="AZ235" s="753"/>
      <c r="BA235" s="753"/>
      <c r="BB235" s="753"/>
      <c r="BC235" s="753"/>
    </row>
    <row r="236" spans="1:55" s="305" customFormat="1" ht="82.5" outlineLevel="1">
      <c r="A236" s="327" t="s">
        <v>368</v>
      </c>
      <c r="B236" s="328" t="s">
        <v>1296</v>
      </c>
      <c r="C236" s="329" t="s">
        <v>1202</v>
      </c>
      <c r="D236" s="329" t="s">
        <v>1097</v>
      </c>
      <c r="E236" s="759">
        <v>16833664</v>
      </c>
      <c r="F236" s="794">
        <f>E236*$E$2</f>
        <v>11830766.393856</v>
      </c>
      <c r="G236" s="748">
        <v>16833664</v>
      </c>
      <c r="H236" s="22">
        <f>G236*$G$2</f>
        <v>11830766.393856</v>
      </c>
      <c r="I236" s="748">
        <v>16833664</v>
      </c>
      <c r="J236" s="331">
        <f>I236*$I$2</f>
        <v>11830766.393856</v>
      </c>
      <c r="K236" s="588" t="s">
        <v>885</v>
      </c>
      <c r="L236" s="588"/>
      <c r="M236" s="588"/>
      <c r="N236" s="331">
        <v>0</v>
      </c>
      <c r="O236" s="331">
        <f>N236</f>
        <v>0</v>
      </c>
      <c r="P236" s="331"/>
      <c r="Q236" s="317">
        <f t="shared" si="184"/>
        <v>11830766.393856</v>
      </c>
      <c r="R236" s="589">
        <f t="shared" si="226"/>
        <v>1</v>
      </c>
      <c r="S236" s="417">
        <v>6140754.0499999998</v>
      </c>
      <c r="T236" s="417">
        <v>11615920.970000001</v>
      </c>
      <c r="U236" s="575">
        <f t="shared" si="195"/>
        <v>0.98184010936370325</v>
      </c>
      <c r="V236" s="592">
        <v>0.98184010936370325</v>
      </c>
      <c r="W236" s="575">
        <f t="shared" si="192"/>
        <v>0</v>
      </c>
      <c r="X236" s="612">
        <f t="shared" si="215"/>
        <v>0.98184010936370325</v>
      </c>
      <c r="Y236" s="586">
        <v>11615920.970000001</v>
      </c>
      <c r="Z236" s="591">
        <f t="shared" si="217"/>
        <v>0.98184010936370325</v>
      </c>
      <c r="AA236" s="592">
        <v>0.98184010936370325</v>
      </c>
      <c r="AB236" s="591">
        <f t="shared" si="178"/>
        <v>0</v>
      </c>
      <c r="AC236" s="593">
        <f t="shared" si="218"/>
        <v>0.98184010936370325</v>
      </c>
      <c r="AD236" s="625">
        <v>3684689.44</v>
      </c>
      <c r="AE236" s="22">
        <v>0</v>
      </c>
      <c r="AF236" s="22">
        <v>2369938.83</v>
      </c>
      <c r="AG236" s="22">
        <v>1887217.54</v>
      </c>
      <c r="AH236" s="606">
        <v>112615.38</v>
      </c>
      <c r="AI236" s="594">
        <f t="shared" si="199"/>
        <v>5942012.8899999997</v>
      </c>
      <c r="AJ236" s="332">
        <f t="shared" si="233"/>
        <v>5459291.6000000006</v>
      </c>
      <c r="AK236" s="624">
        <f>SUM(AD236:AF236)</f>
        <v>6054628.2699999996</v>
      </c>
      <c r="AL236" s="591">
        <f t="shared" si="220"/>
        <v>0.5117697424187424</v>
      </c>
      <c r="AM236" s="591">
        <v>0.50371814061807907</v>
      </c>
      <c r="AN236" s="591">
        <f t="shared" si="182"/>
        <v>8.0516018006633328E-3</v>
      </c>
      <c r="AO236" s="744">
        <f t="shared" si="221"/>
        <v>0.5117697424187424</v>
      </c>
      <c r="AP236" s="623"/>
      <c r="AQ236" s="745"/>
      <c r="AR236" s="745"/>
      <c r="AS236" s="745"/>
      <c r="AT236" s="331"/>
      <c r="AU236" s="745"/>
      <c r="AV236" s="745"/>
      <c r="AW236" s="746"/>
      <c r="AY236" s="747"/>
      <c r="AZ236" s="455"/>
      <c r="BA236" s="455"/>
      <c r="BB236" s="455"/>
      <c r="BC236" s="455"/>
    </row>
    <row r="237" spans="1:55" s="305" customFormat="1" ht="82.5" outlineLevel="1">
      <c r="A237" s="327" t="s">
        <v>148</v>
      </c>
      <c r="B237" s="328" t="s">
        <v>1297</v>
      </c>
      <c r="C237" s="329" t="s">
        <v>1202</v>
      </c>
      <c r="D237" s="329" t="s">
        <v>1097</v>
      </c>
      <c r="E237" s="759">
        <v>39822617</v>
      </c>
      <c r="F237" s="794">
        <f>E237*$E$2</f>
        <v>27987494.518068001</v>
      </c>
      <c r="G237" s="748">
        <v>39822617</v>
      </c>
      <c r="H237" s="22">
        <f>G237*$G$2</f>
        <v>27987494.518068001</v>
      </c>
      <c r="I237" s="748">
        <v>39822617</v>
      </c>
      <c r="J237" s="331">
        <f>I237*$I$2</f>
        <v>27987494.518068001</v>
      </c>
      <c r="K237" s="588" t="s">
        <v>885</v>
      </c>
      <c r="L237" s="588"/>
      <c r="M237" s="588"/>
      <c r="N237" s="331">
        <v>0</v>
      </c>
      <c r="O237" s="331">
        <v>0</v>
      </c>
      <c r="P237" s="331"/>
      <c r="Q237" s="317">
        <f t="shared" si="184"/>
        <v>27987494.518068001</v>
      </c>
      <c r="R237" s="589">
        <f t="shared" si="226"/>
        <v>1</v>
      </c>
      <c r="S237" s="417">
        <v>23073140.84</v>
      </c>
      <c r="T237" s="417">
        <v>27987493.890000001</v>
      </c>
      <c r="U237" s="575">
        <f t="shared" si="195"/>
        <v>0.99999997755897729</v>
      </c>
      <c r="V237" s="592">
        <v>0.99999997755897729</v>
      </c>
      <c r="W237" s="575">
        <f t="shared" si="192"/>
        <v>0</v>
      </c>
      <c r="X237" s="612">
        <f t="shared" si="215"/>
        <v>0.99999997755897729</v>
      </c>
      <c r="Y237" s="586">
        <v>27987493.890000001</v>
      </c>
      <c r="Z237" s="591">
        <f t="shared" si="217"/>
        <v>0.99999997755897729</v>
      </c>
      <c r="AA237" s="591">
        <v>0.99999997755897729</v>
      </c>
      <c r="AB237" s="591">
        <f t="shared" si="178"/>
        <v>0</v>
      </c>
      <c r="AC237" s="593">
        <f t="shared" si="218"/>
        <v>0.99999997755897729</v>
      </c>
      <c r="AD237" s="625">
        <v>12385814.449999999</v>
      </c>
      <c r="AE237" s="22">
        <v>0</v>
      </c>
      <c r="AF237" s="22">
        <v>11207668.810000001</v>
      </c>
      <c r="AG237" s="22">
        <v>8070236.8200000003</v>
      </c>
      <c r="AH237" s="606">
        <v>4581.95</v>
      </c>
      <c r="AI237" s="594">
        <f t="shared" si="199"/>
        <v>23588901.309999999</v>
      </c>
      <c r="AJ237" s="332">
        <f t="shared" si="233"/>
        <v>20451469.32</v>
      </c>
      <c r="AK237" s="624">
        <f>SUM(AD237:AF237)</f>
        <v>23593483.259999998</v>
      </c>
      <c r="AL237" s="591">
        <f t="shared" si="220"/>
        <v>0.84300090687891538</v>
      </c>
      <c r="AM237" s="591">
        <v>0.80364178420757892</v>
      </c>
      <c r="AN237" s="591">
        <f t="shared" si="182"/>
        <v>3.9359122671336455E-2</v>
      </c>
      <c r="AO237" s="744">
        <f t="shared" si="221"/>
        <v>0.84300090687891538</v>
      </c>
      <c r="AP237" s="623"/>
      <c r="AQ237" s="745"/>
      <c r="AR237" s="745"/>
      <c r="AS237" s="745"/>
      <c r="AT237" s="331"/>
      <c r="AU237" s="745"/>
      <c r="AV237" s="745"/>
      <c r="AW237" s="746"/>
      <c r="AY237" s="747"/>
      <c r="AZ237" s="455"/>
      <c r="BA237" s="455"/>
      <c r="BB237" s="455"/>
      <c r="BC237" s="455"/>
    </row>
    <row r="238" spans="1:55" s="305" customFormat="1" ht="66" outlineLevel="1">
      <c r="A238" s="327" t="s">
        <v>1298</v>
      </c>
      <c r="B238" s="328" t="s">
        <v>1299</v>
      </c>
      <c r="C238" s="329" t="s">
        <v>1202</v>
      </c>
      <c r="D238" s="329" t="s">
        <v>1097</v>
      </c>
      <c r="E238" s="754">
        <v>40686253</v>
      </c>
      <c r="F238" s="594">
        <f>E238*$E$2</f>
        <v>28594461.353411999</v>
      </c>
      <c r="G238" s="748">
        <v>40686253</v>
      </c>
      <c r="H238" s="22">
        <f>G238*$G$2</f>
        <v>28594461.353411999</v>
      </c>
      <c r="I238" s="748">
        <v>40686253</v>
      </c>
      <c r="J238" s="331">
        <f>I238*$I$2</f>
        <v>28594461.353411999</v>
      </c>
      <c r="K238" s="588" t="s">
        <v>885</v>
      </c>
      <c r="L238" s="588"/>
      <c r="M238" s="588"/>
      <c r="N238" s="331">
        <v>0</v>
      </c>
      <c r="O238" s="331">
        <v>0</v>
      </c>
      <c r="P238" s="331"/>
      <c r="Q238" s="317">
        <f t="shared" si="184"/>
        <v>28594461.353411999</v>
      </c>
      <c r="R238" s="589">
        <f t="shared" si="226"/>
        <v>1</v>
      </c>
      <c r="S238" s="417">
        <v>4373673.66</v>
      </c>
      <c r="T238" s="417">
        <v>7752476.25</v>
      </c>
      <c r="U238" s="575">
        <f t="shared" si="195"/>
        <v>0.27111810760075555</v>
      </c>
      <c r="V238" s="592">
        <v>0.26835324084240131</v>
      </c>
      <c r="W238" s="575">
        <f t="shared" si="192"/>
        <v>2.7648667583542452E-3</v>
      </c>
      <c r="X238" s="612">
        <f t="shared" si="215"/>
        <v>0.27111810760075555</v>
      </c>
      <c r="Y238" s="586">
        <v>4479428.0199999996</v>
      </c>
      <c r="Z238" s="591">
        <f t="shared" si="217"/>
        <v>0.15665369473607857</v>
      </c>
      <c r="AA238" s="592">
        <v>0.15505613787430317</v>
      </c>
      <c r="AB238" s="591">
        <f t="shared" si="178"/>
        <v>1.597556861775401E-3</v>
      </c>
      <c r="AC238" s="593">
        <f t="shared" si="218"/>
        <v>0.15665369473607857</v>
      </c>
      <c r="AD238" s="625">
        <v>3603633.12</v>
      </c>
      <c r="AE238" s="22">
        <v>727566.69</v>
      </c>
      <c r="AF238" s="22">
        <v>0</v>
      </c>
      <c r="AG238" s="22">
        <v>727561.69000000006</v>
      </c>
      <c r="AH238" s="606">
        <v>0</v>
      </c>
      <c r="AI238" s="594">
        <f t="shared" si="199"/>
        <v>4331199.8100000005</v>
      </c>
      <c r="AJ238" s="332">
        <f t="shared" si="233"/>
        <v>5058761.5000000009</v>
      </c>
      <c r="AK238" s="624">
        <f>SUM(AD238:AF238)</f>
        <v>4331199.8100000005</v>
      </c>
      <c r="AL238" s="591">
        <f t="shared" si="220"/>
        <v>0.15146988629961325</v>
      </c>
      <c r="AM238" s="591">
        <v>0.14926771460196728</v>
      </c>
      <c r="AN238" s="591">
        <f t="shared" si="182"/>
        <v>2.2021716976459715E-3</v>
      </c>
      <c r="AO238" s="744">
        <f t="shared" si="221"/>
        <v>0.15146988629961325</v>
      </c>
      <c r="AP238" s="623"/>
      <c r="AQ238" s="745"/>
      <c r="AR238" s="745"/>
      <c r="AS238" s="745"/>
      <c r="AT238" s="331"/>
      <c r="AU238" s="745"/>
      <c r="AV238" s="745"/>
      <c r="AW238" s="746"/>
      <c r="AY238" s="747"/>
      <c r="AZ238" s="455"/>
      <c r="BA238" s="455"/>
      <c r="BB238" s="455"/>
      <c r="BC238" s="455"/>
    </row>
    <row r="239" spans="1:55" s="305" customFormat="1" ht="82.5" outlineLevel="1">
      <c r="A239" s="327" t="s">
        <v>169</v>
      </c>
      <c r="B239" s="328" t="s">
        <v>1300</v>
      </c>
      <c r="C239" s="329" t="s">
        <v>1202</v>
      </c>
      <c r="D239" s="329" t="s">
        <v>1097</v>
      </c>
      <c r="E239" s="759">
        <v>10052183</v>
      </c>
      <c r="F239" s="794">
        <f>E239*$E$2</f>
        <v>7064714.4211320002</v>
      </c>
      <c r="G239" s="748">
        <v>10052183</v>
      </c>
      <c r="H239" s="22">
        <f>G239*$G$2</f>
        <v>7064714.4211320002</v>
      </c>
      <c r="I239" s="748">
        <v>10052183</v>
      </c>
      <c r="J239" s="331">
        <f>I239*$I$2</f>
        <v>7064714.4211320002</v>
      </c>
      <c r="K239" s="588" t="s">
        <v>885</v>
      </c>
      <c r="L239" s="588"/>
      <c r="M239" s="588"/>
      <c r="N239" s="331">
        <v>0</v>
      </c>
      <c r="O239" s="331">
        <v>0</v>
      </c>
      <c r="P239" s="331"/>
      <c r="Q239" s="317">
        <f t="shared" si="184"/>
        <v>7064714.4211320002</v>
      </c>
      <c r="R239" s="589">
        <f t="shared" si="226"/>
        <v>1</v>
      </c>
      <c r="S239" s="417">
        <v>1948759.5</v>
      </c>
      <c r="T239" s="417">
        <v>4408072</v>
      </c>
      <c r="U239" s="575">
        <f t="shared" si="195"/>
        <v>0.62395614843461455</v>
      </c>
      <c r="V239" s="592">
        <v>0.62395614843461455</v>
      </c>
      <c r="W239" s="575">
        <f t="shared" si="192"/>
        <v>0</v>
      </c>
      <c r="X239" s="612">
        <f t="shared" si="215"/>
        <v>0.62395614843461455</v>
      </c>
      <c r="Y239" s="586">
        <v>4408072</v>
      </c>
      <c r="Z239" s="591">
        <f t="shared" si="217"/>
        <v>0.62395614843461455</v>
      </c>
      <c r="AA239" s="592">
        <v>0.62395614843461455</v>
      </c>
      <c r="AB239" s="591">
        <f t="shared" si="178"/>
        <v>0</v>
      </c>
      <c r="AC239" s="593">
        <f t="shared" si="218"/>
        <v>0.62395614843461455</v>
      </c>
      <c r="AD239" s="625">
        <v>1724685.26</v>
      </c>
      <c r="AE239" s="22">
        <v>0</v>
      </c>
      <c r="AF239" s="22">
        <v>0</v>
      </c>
      <c r="AG239" s="22">
        <v>0</v>
      </c>
      <c r="AH239" s="606">
        <v>0</v>
      </c>
      <c r="AI239" s="594">
        <f t="shared" si="199"/>
        <v>1724685.26</v>
      </c>
      <c r="AJ239" s="332">
        <f t="shared" si="233"/>
        <v>1724685.26</v>
      </c>
      <c r="AK239" s="624">
        <f>SUM(AD239:AF239)</f>
        <v>1724685.26</v>
      </c>
      <c r="AL239" s="591">
        <f t="shared" si="220"/>
        <v>0.24412667762494616</v>
      </c>
      <c r="AM239" s="591">
        <v>8.9270742227531619E-2</v>
      </c>
      <c r="AN239" s="591">
        <f t="shared" si="182"/>
        <v>0.15485593539741455</v>
      </c>
      <c r="AO239" s="744">
        <f t="shared" si="221"/>
        <v>0.24412667762494616</v>
      </c>
      <c r="AP239" s="623"/>
      <c r="AQ239" s="745"/>
      <c r="AR239" s="745"/>
      <c r="AS239" s="745"/>
      <c r="AT239" s="331"/>
      <c r="AU239" s="745"/>
      <c r="AV239" s="745"/>
      <c r="AW239" s="746"/>
      <c r="AY239" s="747"/>
      <c r="AZ239" s="455"/>
      <c r="BA239" s="455"/>
      <c r="BB239" s="455"/>
      <c r="BC239" s="455"/>
    </row>
    <row r="240" spans="1:55" s="305" customFormat="1" ht="82.5" outlineLevel="1">
      <c r="A240" s="327" t="s">
        <v>184</v>
      </c>
      <c r="B240" s="328" t="s">
        <v>1301</v>
      </c>
      <c r="C240" s="329" t="s">
        <v>1202</v>
      </c>
      <c r="D240" s="329" t="s">
        <v>1097</v>
      </c>
      <c r="E240" s="754">
        <v>10200000</v>
      </c>
      <c r="F240" s="594">
        <f>E240*$E$2</f>
        <v>7168600.7999999998</v>
      </c>
      <c r="G240" s="748">
        <v>10200000</v>
      </c>
      <c r="H240" s="22">
        <f>G240*$G$2</f>
        <v>7168600.7999999998</v>
      </c>
      <c r="I240" s="748">
        <v>10200000</v>
      </c>
      <c r="J240" s="331">
        <f>I240*$I$2</f>
        <v>7168600.7999999998</v>
      </c>
      <c r="K240" s="588" t="s">
        <v>885</v>
      </c>
      <c r="L240" s="588"/>
      <c r="M240" s="588"/>
      <c r="N240" s="331">
        <v>130000</v>
      </c>
      <c r="O240" s="331">
        <f>N240*0.899730769230769</f>
        <v>116964.99999999997</v>
      </c>
      <c r="P240" s="331"/>
      <c r="Q240" s="317">
        <f t="shared" si="184"/>
        <v>7285565.7999999998</v>
      </c>
      <c r="R240" s="589">
        <f t="shared" si="226"/>
        <v>1.0163162942481048</v>
      </c>
      <c r="S240" s="417">
        <v>4706390.78</v>
      </c>
      <c r="T240" s="417">
        <v>7010362.7199999997</v>
      </c>
      <c r="U240" s="575">
        <f t="shared" si="195"/>
        <v>0.97792622515679772</v>
      </c>
      <c r="V240" s="592">
        <v>0.97792622515679772</v>
      </c>
      <c r="W240" s="575">
        <f t="shared" si="192"/>
        <v>0</v>
      </c>
      <c r="X240" s="612">
        <f t="shared" si="215"/>
        <v>0.9622262583916269</v>
      </c>
      <c r="Y240" s="586">
        <v>7010362.7199999997</v>
      </c>
      <c r="Z240" s="591">
        <f t="shared" si="217"/>
        <v>0.97792622515679772</v>
      </c>
      <c r="AA240" s="592">
        <v>0.97792622515679772</v>
      </c>
      <c r="AB240" s="591">
        <f>Z240-AA240</f>
        <v>0</v>
      </c>
      <c r="AC240" s="593">
        <f t="shared" si="218"/>
        <v>0.9622262583916269</v>
      </c>
      <c r="AD240" s="625">
        <v>4061916.18</v>
      </c>
      <c r="AE240" s="22">
        <v>0</v>
      </c>
      <c r="AF240" s="22">
        <v>0</v>
      </c>
      <c r="AG240" s="22">
        <v>0</v>
      </c>
      <c r="AH240" s="606"/>
      <c r="AI240" s="594">
        <f t="shared" si="199"/>
        <v>4061916.18</v>
      </c>
      <c r="AJ240" s="332">
        <f t="shared" si="233"/>
        <v>4061916.18</v>
      </c>
      <c r="AK240" s="624">
        <f>SUM(AD240:AF240)</f>
        <v>4061916.18</v>
      </c>
      <c r="AL240" s="591">
        <f t="shared" si="220"/>
        <v>0.56662608134072689</v>
      </c>
      <c r="AM240" s="591">
        <v>0.4879818220593341</v>
      </c>
      <c r="AN240" s="591">
        <f t="shared" si="182"/>
        <v>7.8644259281392792E-2</v>
      </c>
      <c r="AO240" s="744">
        <f t="shared" si="221"/>
        <v>0.55752926972397943</v>
      </c>
      <c r="AP240" s="623"/>
      <c r="AQ240" s="745"/>
      <c r="AR240" s="745"/>
      <c r="AS240" s="745"/>
      <c r="AT240" s="331"/>
      <c r="AU240" s="745"/>
      <c r="AV240" s="745"/>
      <c r="AW240" s="746"/>
      <c r="AY240" s="747"/>
      <c r="AZ240" s="455"/>
      <c r="BA240" s="455"/>
      <c r="BB240" s="455"/>
      <c r="BC240" s="455"/>
    </row>
    <row r="241" spans="1:55" s="741" customFormat="1" ht="49.5" outlineLevel="1">
      <c r="A241" s="14" t="s">
        <v>125</v>
      </c>
      <c r="B241" s="15" t="s">
        <v>1302</v>
      </c>
      <c r="C241" s="16" t="s">
        <v>1202</v>
      </c>
      <c r="D241" s="16" t="s">
        <v>131</v>
      </c>
      <c r="E241" s="614"/>
      <c r="F241" s="608">
        <f>F242+F245+F246+F247</f>
        <v>80146749.0942</v>
      </c>
      <c r="G241" s="588">
        <f>H241/0.702804</f>
        <v>114038550</v>
      </c>
      <c r="H241" s="588">
        <f>H242+H245+H246+H247</f>
        <v>80146749.0942</v>
      </c>
      <c r="I241" s="588"/>
      <c r="J241" s="588">
        <f>J242+J245+J246+J247</f>
        <v>80146749.0942</v>
      </c>
      <c r="K241" s="588" t="s">
        <v>885</v>
      </c>
      <c r="L241" s="588"/>
      <c r="M241" s="588"/>
      <c r="N241" s="588">
        <f>N242+N245+N246+N247</f>
        <v>0</v>
      </c>
      <c r="O241" s="588">
        <f>O242+O245+O246+O247</f>
        <v>0</v>
      </c>
      <c r="P241" s="588"/>
      <c r="Q241" s="294">
        <f t="shared" si="184"/>
        <v>80146749.0942</v>
      </c>
      <c r="R241" s="610">
        <f>Q241/J241</f>
        <v>1</v>
      </c>
      <c r="S241" s="614">
        <v>37443271.289999999</v>
      </c>
      <c r="T241" s="614">
        <f>T243+T245+T246+T247</f>
        <v>79778900.939999998</v>
      </c>
      <c r="U241" s="575">
        <f t="shared" si="195"/>
        <v>0.99541031721988305</v>
      </c>
      <c r="V241" s="575">
        <v>0.99908284316270468</v>
      </c>
      <c r="W241" s="575">
        <f t="shared" si="192"/>
        <v>-3.6725259428216361E-3</v>
      </c>
      <c r="X241" s="612">
        <f t="shared" si="215"/>
        <v>0.99541031721988305</v>
      </c>
      <c r="Y241" s="614">
        <f>Y243+Y245+Y246+Y247</f>
        <v>70789616.400000006</v>
      </c>
      <c r="Z241" s="575">
        <f t="shared" si="217"/>
        <v>0.88325000327583914</v>
      </c>
      <c r="AA241" s="749">
        <v>0.85999630226766</v>
      </c>
      <c r="AB241" s="575">
        <f t="shared" si="178"/>
        <v>2.325370100817914E-2</v>
      </c>
      <c r="AC241" s="612">
        <f t="shared" si="218"/>
        <v>0.88325000327583914</v>
      </c>
      <c r="AD241" s="573">
        <f>AD243+AD245+AD246+AD247</f>
        <v>25199776.5</v>
      </c>
      <c r="AE241" s="573">
        <f t="shared" ref="AE241:AH241" si="237">AE243+AE245+AE246+AE247</f>
        <v>9359685.0700000003</v>
      </c>
      <c r="AF241" s="573">
        <f t="shared" si="237"/>
        <v>0</v>
      </c>
      <c r="AG241" s="573">
        <f>AG242+AG245+AG246+AG247</f>
        <v>4525241.1199999992</v>
      </c>
      <c r="AH241" s="573">
        <f t="shared" si="237"/>
        <v>0</v>
      </c>
      <c r="AI241" s="573">
        <f t="shared" si="199"/>
        <v>34559461.57</v>
      </c>
      <c r="AJ241" s="322">
        <f t="shared" ref="AJ241:AJ258" si="238">AD241+AE241+AG241</f>
        <v>39084702.689999998</v>
      </c>
      <c r="AK241" s="17">
        <f>AK243+AK245+AK246+AK247</f>
        <v>34559461.57</v>
      </c>
      <c r="AL241" s="575">
        <f t="shared" si="220"/>
        <v>0.43120228781058534</v>
      </c>
      <c r="AM241" s="575">
        <v>0.41916070203054995</v>
      </c>
      <c r="AN241" s="575">
        <f t="shared" si="182"/>
        <v>1.2041585780035391E-2</v>
      </c>
      <c r="AO241" s="740">
        <f t="shared" si="221"/>
        <v>0.43120228781058534</v>
      </c>
      <c r="AP241" s="623"/>
      <c r="AQ241" s="745"/>
      <c r="AR241" s="745"/>
      <c r="AS241" s="745"/>
      <c r="AT241" s="331"/>
      <c r="AU241" s="745"/>
      <c r="AV241" s="745"/>
      <c r="AW241" s="746"/>
      <c r="AY241" s="747"/>
      <c r="AZ241" s="753"/>
      <c r="BA241" s="753"/>
      <c r="BB241" s="753"/>
      <c r="BC241" s="753"/>
    </row>
    <row r="242" spans="1:55" s="741" customFormat="1" ht="99" outlineLevel="1">
      <c r="A242" s="327" t="s">
        <v>382</v>
      </c>
      <c r="B242" s="328" t="s">
        <v>1303</v>
      </c>
      <c r="C242" s="329" t="s">
        <v>1202</v>
      </c>
      <c r="D242" s="329" t="s">
        <v>1042</v>
      </c>
      <c r="E242" s="622"/>
      <c r="F242" s="620">
        <f>F243+F244</f>
        <v>59351012.767931998</v>
      </c>
      <c r="G242" s="23"/>
      <c r="H242" s="23">
        <f t="shared" ref="H242" si="239">H243+H244</f>
        <v>59351012.767931998</v>
      </c>
      <c r="I242" s="23"/>
      <c r="J242" s="23">
        <f>J243+J244</f>
        <v>59351012.767931998</v>
      </c>
      <c r="K242" s="588" t="s">
        <v>885</v>
      </c>
      <c r="L242" s="588"/>
      <c r="M242" s="588"/>
      <c r="N242" s="23">
        <f>N243+N244</f>
        <v>0</v>
      </c>
      <c r="O242" s="23">
        <f>O243+O244</f>
        <v>0</v>
      </c>
      <c r="P242" s="23"/>
      <c r="Q242" s="317">
        <f t="shared" si="184"/>
        <v>59351012.767931998</v>
      </c>
      <c r="R242" s="589">
        <f t="shared" ref="R242:R243" si="240">Q242/J242</f>
        <v>1</v>
      </c>
      <c r="S242" s="622">
        <v>23630122.91</v>
      </c>
      <c r="T242" s="622">
        <f t="shared" ref="T242" si="241">T243+T244</f>
        <v>58983165.030000001</v>
      </c>
      <c r="U242" s="575">
        <f t="shared" si="195"/>
        <v>0.99380216577987779</v>
      </c>
      <c r="V242" s="592">
        <v>0.9987598885804696</v>
      </c>
      <c r="W242" s="575">
        <f t="shared" si="192"/>
        <v>-4.9577228005918128E-3</v>
      </c>
      <c r="X242" s="612">
        <f t="shared" si="215"/>
        <v>0.99380216577987779</v>
      </c>
      <c r="Y242" s="622">
        <f t="shared" ref="Y242" si="242">Y243+Y244</f>
        <v>49993880.490000002</v>
      </c>
      <c r="Z242" s="591">
        <f t="shared" si="217"/>
        <v>0.84234250029533186</v>
      </c>
      <c r="AA242" s="592">
        <v>0.81069631970587053</v>
      </c>
      <c r="AB242" s="591">
        <f t="shared" si="178"/>
        <v>3.1646180589461337E-2</v>
      </c>
      <c r="AC242" s="593">
        <f t="shared" si="218"/>
        <v>0.84234250029533186</v>
      </c>
      <c r="AD242" s="620">
        <f t="shared" ref="AD242:AH242" si="243">AD243+AD244</f>
        <v>15195062.440000001</v>
      </c>
      <c r="AE242" s="620">
        <f t="shared" si="243"/>
        <v>5995100.2599999998</v>
      </c>
      <c r="AF242" s="620">
        <f t="shared" si="243"/>
        <v>0</v>
      </c>
      <c r="AG242" s="620">
        <f t="shared" si="243"/>
        <v>3046515.2199999997</v>
      </c>
      <c r="AH242" s="620">
        <f t="shared" si="243"/>
        <v>0</v>
      </c>
      <c r="AI242" s="620">
        <f t="shared" si="199"/>
        <v>21190162.700000003</v>
      </c>
      <c r="AJ242" s="332">
        <f t="shared" si="233"/>
        <v>24236677.920000002</v>
      </c>
      <c r="AK242" s="624">
        <f t="shared" ref="AK242:AK247" si="244">SUM(AD242:AF242)</f>
        <v>21190162.700000003</v>
      </c>
      <c r="AL242" s="591">
        <f t="shared" si="220"/>
        <v>0.35703118972637449</v>
      </c>
      <c r="AM242" s="591">
        <v>0.34037934539030057</v>
      </c>
      <c r="AN242" s="591">
        <f t="shared" si="182"/>
        <v>1.6651844336073918E-2</v>
      </c>
      <c r="AO242" s="744">
        <f t="shared" si="221"/>
        <v>0.35703118972637449</v>
      </c>
      <c r="AP242" s="623"/>
      <c r="AQ242" s="745"/>
      <c r="AR242" s="745"/>
      <c r="AS242" s="745"/>
      <c r="AT242" s="331"/>
      <c r="AU242" s="745"/>
      <c r="AV242" s="745"/>
      <c r="AW242" s="746"/>
      <c r="AY242" s="747"/>
      <c r="AZ242" s="753"/>
      <c r="BA242" s="753"/>
      <c r="BB242" s="753"/>
      <c r="BC242" s="753"/>
    </row>
    <row r="243" spans="1:55" s="305" customFormat="1" ht="115.5" outlineLevel="1">
      <c r="A243" s="327" t="s">
        <v>1304</v>
      </c>
      <c r="B243" s="328" t="s">
        <v>1305</v>
      </c>
      <c r="C243" s="329" t="s">
        <v>1202</v>
      </c>
      <c r="D243" s="329" t="s">
        <v>1042</v>
      </c>
      <c r="E243" s="754">
        <v>84448883</v>
      </c>
      <c r="F243" s="594">
        <f>E243*$E$2</f>
        <v>59351012.767931998</v>
      </c>
      <c r="G243" s="748">
        <v>84448883</v>
      </c>
      <c r="H243" s="22">
        <f>G243*$G$2</f>
        <v>59351012.767931998</v>
      </c>
      <c r="I243" s="748">
        <v>84448883</v>
      </c>
      <c r="J243" s="331">
        <f>I243*$I$2</f>
        <v>59351012.767931998</v>
      </c>
      <c r="K243" s="588" t="s">
        <v>885</v>
      </c>
      <c r="L243" s="588"/>
      <c r="M243" s="588"/>
      <c r="N243" s="331">
        <v>0</v>
      </c>
      <c r="O243" s="331">
        <v>0</v>
      </c>
      <c r="P243" s="331"/>
      <c r="Q243" s="317">
        <f t="shared" si="184"/>
        <v>59351012.767931998</v>
      </c>
      <c r="R243" s="589">
        <f t="shared" si="240"/>
        <v>1</v>
      </c>
      <c r="S243" s="417">
        <v>23630122.91</v>
      </c>
      <c r="T243" s="417">
        <v>58983165.030000001</v>
      </c>
      <c r="U243" s="575">
        <f t="shared" si="195"/>
        <v>0.99380216577987779</v>
      </c>
      <c r="V243" s="592">
        <v>0.9987598885804696</v>
      </c>
      <c r="W243" s="575">
        <f t="shared" si="192"/>
        <v>-4.9577228005918128E-3</v>
      </c>
      <c r="X243" s="612">
        <f t="shared" si="215"/>
        <v>0.99380216577987779</v>
      </c>
      <c r="Y243" s="586">
        <v>49993880.490000002</v>
      </c>
      <c r="Z243" s="591">
        <f t="shared" si="217"/>
        <v>0.84234250029533186</v>
      </c>
      <c r="AA243" s="592">
        <v>0.81069631970587053</v>
      </c>
      <c r="AB243" s="591">
        <f t="shared" si="178"/>
        <v>3.1646180589461337E-2</v>
      </c>
      <c r="AC243" s="593">
        <f t="shared" si="218"/>
        <v>0.84234250029533186</v>
      </c>
      <c r="AD243" s="625">
        <v>15195062.440000001</v>
      </c>
      <c r="AE243" s="22">
        <v>5995100.2599999998</v>
      </c>
      <c r="AF243" s="22">
        <v>0</v>
      </c>
      <c r="AG243" s="22">
        <v>3046515.2199999997</v>
      </c>
      <c r="AH243" s="606">
        <v>0</v>
      </c>
      <c r="AI243" s="594">
        <f t="shared" si="199"/>
        <v>21190162.700000003</v>
      </c>
      <c r="AJ243" s="332">
        <f t="shared" si="233"/>
        <v>24236677.920000002</v>
      </c>
      <c r="AK243" s="624">
        <f>SUM(AD243:AF243)</f>
        <v>21190162.700000003</v>
      </c>
      <c r="AL243" s="591">
        <f t="shared" si="220"/>
        <v>0.35703118972637449</v>
      </c>
      <c r="AM243" s="591">
        <v>0.34037934539030057</v>
      </c>
      <c r="AN243" s="591">
        <f t="shared" si="182"/>
        <v>1.6651844336073918E-2</v>
      </c>
      <c r="AO243" s="744">
        <f t="shared" si="221"/>
        <v>0.35703118972637449</v>
      </c>
      <c r="AP243" s="623"/>
      <c r="AQ243" s="745"/>
      <c r="AR243" s="745"/>
      <c r="AS243" s="745"/>
      <c r="AT243" s="331"/>
      <c r="AU243" s="745"/>
      <c r="AV243" s="745"/>
      <c r="AW243" s="746"/>
      <c r="AY243" s="747"/>
      <c r="AZ243" s="455"/>
      <c r="BA243" s="455"/>
      <c r="BB243" s="455"/>
      <c r="BC243" s="455"/>
    </row>
    <row r="244" spans="1:55" s="305" customFormat="1" ht="99" outlineLevel="1">
      <c r="A244" s="327" t="s">
        <v>158</v>
      </c>
      <c r="B244" s="328" t="s">
        <v>1306</v>
      </c>
      <c r="C244" s="329" t="s">
        <v>1202</v>
      </c>
      <c r="D244" s="329" t="s">
        <v>1042</v>
      </c>
      <c r="E244" s="754">
        <v>0</v>
      </c>
      <c r="F244" s="594">
        <f>E244*$E$2</f>
        <v>0</v>
      </c>
      <c r="G244" s="748">
        <v>0</v>
      </c>
      <c r="H244" s="22">
        <f>G244*$G$2</f>
        <v>0</v>
      </c>
      <c r="I244" s="748">
        <v>0</v>
      </c>
      <c r="J244" s="331">
        <f>I244*$I$2</f>
        <v>0</v>
      </c>
      <c r="K244" s="588" t="s">
        <v>885</v>
      </c>
      <c r="L244" s="588"/>
      <c r="M244" s="588"/>
      <c r="N244" s="331">
        <v>0</v>
      </c>
      <c r="O244" s="331">
        <v>0</v>
      </c>
      <c r="P244" s="331"/>
      <c r="Q244" s="317">
        <f t="shared" si="184"/>
        <v>0</v>
      </c>
      <c r="R244" s="589">
        <v>0</v>
      </c>
      <c r="S244" s="417">
        <v>0</v>
      </c>
      <c r="T244" s="417">
        <v>0</v>
      </c>
      <c r="U244" s="575">
        <v>0</v>
      </c>
      <c r="V244" s="592">
        <v>0</v>
      </c>
      <c r="W244" s="575">
        <f t="shared" si="192"/>
        <v>0</v>
      </c>
      <c r="X244" s="612">
        <v>0</v>
      </c>
      <c r="Y244" s="586">
        <v>0</v>
      </c>
      <c r="Z244" s="591">
        <v>0</v>
      </c>
      <c r="AA244" s="592">
        <v>0</v>
      </c>
      <c r="AB244" s="591">
        <v>0</v>
      </c>
      <c r="AC244" s="593">
        <f>IF(Q244=0,0,Y244/Q244)</f>
        <v>0</v>
      </c>
      <c r="AD244" s="625">
        <v>0</v>
      </c>
      <c r="AE244" s="625">
        <v>0</v>
      </c>
      <c r="AF244" s="625">
        <v>0</v>
      </c>
      <c r="AG244" s="625">
        <v>0</v>
      </c>
      <c r="AH244" s="625">
        <v>0</v>
      </c>
      <c r="AI244" s="594">
        <v>0</v>
      </c>
      <c r="AJ244" s="332">
        <f t="shared" si="233"/>
        <v>0</v>
      </c>
      <c r="AK244" s="624">
        <f t="shared" si="244"/>
        <v>0</v>
      </c>
      <c r="AL244" s="591">
        <v>0</v>
      </c>
      <c r="AM244" s="591">
        <v>0</v>
      </c>
      <c r="AN244" s="591">
        <v>0</v>
      </c>
      <c r="AO244" s="744">
        <f>IF(Q244=0,0,AK244/Q244)</f>
        <v>0</v>
      </c>
      <c r="AP244" s="623"/>
      <c r="AQ244" s="745"/>
      <c r="AR244" s="745"/>
      <c r="AS244" s="745"/>
      <c r="AT244" s="331"/>
      <c r="AU244" s="745"/>
      <c r="AV244" s="745"/>
      <c r="AW244" s="746"/>
      <c r="AY244" s="747"/>
      <c r="AZ244" s="455"/>
      <c r="BA244" s="455"/>
      <c r="BB244" s="455"/>
      <c r="BC244" s="455"/>
    </row>
    <row r="245" spans="1:55" s="305" customFormat="1" ht="115.5" outlineLevel="1">
      <c r="A245" s="327" t="s">
        <v>143</v>
      </c>
      <c r="B245" s="328" t="s">
        <v>1307</v>
      </c>
      <c r="C245" s="329" t="s">
        <v>1202</v>
      </c>
      <c r="D245" s="329" t="s">
        <v>1042</v>
      </c>
      <c r="E245" s="759">
        <v>29589667</v>
      </c>
      <c r="F245" s="794">
        <f>E245*$E$2</f>
        <v>20795736.326267999</v>
      </c>
      <c r="G245" s="748">
        <v>29589667</v>
      </c>
      <c r="H245" s="22">
        <f>G245*$G$2</f>
        <v>20795736.326267999</v>
      </c>
      <c r="I245" s="748">
        <v>29589667</v>
      </c>
      <c r="J245" s="331">
        <f>I245*$I$2</f>
        <v>20795736.326267999</v>
      </c>
      <c r="K245" s="588" t="s">
        <v>885</v>
      </c>
      <c r="L245" s="588"/>
      <c r="M245" s="588"/>
      <c r="N245" s="331">
        <v>0</v>
      </c>
      <c r="O245" s="331">
        <v>0</v>
      </c>
      <c r="P245" s="331"/>
      <c r="Q245" s="317">
        <f t="shared" si="184"/>
        <v>20795736.326267999</v>
      </c>
      <c r="R245" s="589">
        <f>Q245/J245</f>
        <v>1</v>
      </c>
      <c r="S245" s="417">
        <v>13813148.380000001</v>
      </c>
      <c r="T245" s="417">
        <v>20795735.91</v>
      </c>
      <c r="U245" s="575">
        <f t="shared" si="195"/>
        <v>0.99999997998301227</v>
      </c>
      <c r="V245" s="592">
        <v>0.99999997998301227</v>
      </c>
      <c r="W245" s="575">
        <f t="shared" si="192"/>
        <v>0</v>
      </c>
      <c r="X245" s="612">
        <f>T245/Q245</f>
        <v>0.99999997998301227</v>
      </c>
      <c r="Y245" s="586">
        <v>20795735.91</v>
      </c>
      <c r="Z245" s="591">
        <f>Y245/J245</f>
        <v>0.99999997998301227</v>
      </c>
      <c r="AA245" s="591">
        <v>0.99999997998301227</v>
      </c>
      <c r="AB245" s="591">
        <f t="shared" si="178"/>
        <v>0</v>
      </c>
      <c r="AC245" s="593">
        <f>Y245/Q245</f>
        <v>0.99999997998301227</v>
      </c>
      <c r="AD245" s="625">
        <v>10004714.059999999</v>
      </c>
      <c r="AE245" s="22">
        <v>3364584.81</v>
      </c>
      <c r="AF245" s="22">
        <v>0</v>
      </c>
      <c r="AG245" s="22">
        <v>1478725.8999999994</v>
      </c>
      <c r="AH245" s="606">
        <v>0</v>
      </c>
      <c r="AI245" s="594">
        <f t="shared" ref="AI245:AI259" si="245">AK245-AH245</f>
        <v>13369298.869999999</v>
      </c>
      <c r="AJ245" s="332">
        <f t="shared" si="233"/>
        <v>14848024.77</v>
      </c>
      <c r="AK245" s="624">
        <f>SUM(AD245:AF245)</f>
        <v>13369298.869999999</v>
      </c>
      <c r="AL245" s="591">
        <f>AK245/J245</f>
        <v>0.64288653502077042</v>
      </c>
      <c r="AM245" s="591">
        <v>0.64288653502077042</v>
      </c>
      <c r="AN245" s="591">
        <f t="shared" si="182"/>
        <v>0</v>
      </c>
      <c r="AO245" s="744">
        <f>AK245/Q245</f>
        <v>0.64288653502077042</v>
      </c>
      <c r="AP245" s="623"/>
      <c r="AQ245" s="745"/>
      <c r="AR245" s="745"/>
      <c r="AS245" s="745"/>
      <c r="AT245" s="331"/>
      <c r="AU245" s="745"/>
      <c r="AV245" s="745"/>
      <c r="AW245" s="746"/>
      <c r="AY245" s="747"/>
      <c r="AZ245" s="455"/>
      <c r="BA245" s="455"/>
      <c r="BB245" s="455"/>
      <c r="BC245" s="455"/>
    </row>
    <row r="246" spans="1:55" s="305" customFormat="1" ht="49.5" outlineLevel="1">
      <c r="A246" s="327" t="s">
        <v>126</v>
      </c>
      <c r="B246" s="328" t="s">
        <v>1308</v>
      </c>
      <c r="C246" s="329" t="s">
        <v>1202</v>
      </c>
      <c r="D246" s="329" t="s">
        <v>1042</v>
      </c>
      <c r="E246" s="754">
        <v>0</v>
      </c>
      <c r="F246" s="594">
        <f>E246*$E$2</f>
        <v>0</v>
      </c>
      <c r="G246" s="748">
        <v>0</v>
      </c>
      <c r="H246" s="22">
        <f>G246*$G$2</f>
        <v>0</v>
      </c>
      <c r="I246" s="748">
        <v>0</v>
      </c>
      <c r="J246" s="331">
        <f>I246*$I$2</f>
        <v>0</v>
      </c>
      <c r="K246" s="588" t="s">
        <v>885</v>
      </c>
      <c r="L246" s="588"/>
      <c r="M246" s="588"/>
      <c r="N246" s="331">
        <v>0</v>
      </c>
      <c r="O246" s="331">
        <v>0</v>
      </c>
      <c r="P246" s="331"/>
      <c r="Q246" s="317">
        <f t="shared" si="184"/>
        <v>0</v>
      </c>
      <c r="R246" s="589">
        <v>0</v>
      </c>
      <c r="S246" s="417">
        <v>0</v>
      </c>
      <c r="T246" s="417">
        <v>0</v>
      </c>
      <c r="U246" s="575">
        <v>0</v>
      </c>
      <c r="V246" s="592">
        <v>0</v>
      </c>
      <c r="W246" s="575">
        <f t="shared" si="192"/>
        <v>0</v>
      </c>
      <c r="X246" s="612">
        <v>0</v>
      </c>
      <c r="Y246" s="586">
        <v>0</v>
      </c>
      <c r="Z246" s="591">
        <v>0</v>
      </c>
      <c r="AA246" s="592">
        <v>0</v>
      </c>
      <c r="AB246" s="591">
        <v>0</v>
      </c>
      <c r="AC246" s="593">
        <f>IF(Q246=0,0,Y246/Q246)</f>
        <v>0</v>
      </c>
      <c r="AD246" s="625">
        <v>0</v>
      </c>
      <c r="AE246" s="625">
        <v>0</v>
      </c>
      <c r="AF246" s="625">
        <v>0</v>
      </c>
      <c r="AG246" s="625">
        <v>0</v>
      </c>
      <c r="AH246" s="625">
        <v>0</v>
      </c>
      <c r="AI246" s="594">
        <f t="shared" si="245"/>
        <v>0</v>
      </c>
      <c r="AJ246" s="332">
        <f t="shared" si="233"/>
        <v>0</v>
      </c>
      <c r="AK246" s="624">
        <f t="shared" si="244"/>
        <v>0</v>
      </c>
      <c r="AL246" s="591">
        <v>0</v>
      </c>
      <c r="AM246" s="591">
        <v>0</v>
      </c>
      <c r="AN246" s="591">
        <v>0</v>
      </c>
      <c r="AO246" s="744">
        <f>IF(Q246=0,0,AK246/Q246)</f>
        <v>0</v>
      </c>
      <c r="AP246" s="623"/>
      <c r="AQ246" s="745"/>
      <c r="AR246" s="745"/>
      <c r="AS246" s="745"/>
      <c r="AT246" s="331"/>
      <c r="AU246" s="745"/>
      <c r="AV246" s="745"/>
      <c r="AW246" s="746"/>
      <c r="AY246" s="747"/>
      <c r="AZ246" s="455"/>
      <c r="BA246" s="455"/>
      <c r="BB246" s="455"/>
      <c r="BC246" s="455"/>
    </row>
    <row r="247" spans="1:55" s="305" customFormat="1" ht="99" outlineLevel="1">
      <c r="A247" s="327" t="s">
        <v>127</v>
      </c>
      <c r="B247" s="328" t="s">
        <v>1309</v>
      </c>
      <c r="C247" s="329" t="s">
        <v>1202</v>
      </c>
      <c r="D247" s="329" t="s">
        <v>1042</v>
      </c>
      <c r="E247" s="754">
        <v>0</v>
      </c>
      <c r="F247" s="594">
        <f>E247*$E$2</f>
        <v>0</v>
      </c>
      <c r="G247" s="748">
        <v>0</v>
      </c>
      <c r="H247" s="22">
        <f>G247*$G$2</f>
        <v>0</v>
      </c>
      <c r="I247" s="748">
        <v>0</v>
      </c>
      <c r="J247" s="331">
        <f>I247*$I$2</f>
        <v>0</v>
      </c>
      <c r="K247" s="588" t="s">
        <v>885</v>
      </c>
      <c r="L247" s="588"/>
      <c r="M247" s="588"/>
      <c r="N247" s="331">
        <v>0</v>
      </c>
      <c r="O247" s="331">
        <v>0</v>
      </c>
      <c r="P247" s="331"/>
      <c r="Q247" s="317">
        <f t="shared" si="184"/>
        <v>0</v>
      </c>
      <c r="R247" s="589">
        <v>0</v>
      </c>
      <c r="S247" s="417">
        <v>0</v>
      </c>
      <c r="T247" s="417">
        <v>0</v>
      </c>
      <c r="U247" s="575">
        <v>0</v>
      </c>
      <c r="V247" s="592">
        <v>0</v>
      </c>
      <c r="W247" s="575">
        <f t="shared" si="192"/>
        <v>0</v>
      </c>
      <c r="X247" s="612">
        <v>0</v>
      </c>
      <c r="Y247" s="586">
        <v>0</v>
      </c>
      <c r="Z247" s="591">
        <v>0</v>
      </c>
      <c r="AA247" s="592">
        <v>0</v>
      </c>
      <c r="AB247" s="591">
        <v>0</v>
      </c>
      <c r="AC247" s="593">
        <f>IF(Q247=0,0,Y247/Q247)</f>
        <v>0</v>
      </c>
      <c r="AD247" s="625">
        <v>0</v>
      </c>
      <c r="AE247" s="22">
        <v>0</v>
      </c>
      <c r="AF247" s="22">
        <v>0</v>
      </c>
      <c r="AG247" s="22">
        <v>0</v>
      </c>
      <c r="AH247" s="606">
        <v>0</v>
      </c>
      <c r="AI247" s="594">
        <f t="shared" si="245"/>
        <v>0</v>
      </c>
      <c r="AJ247" s="332">
        <f t="shared" si="233"/>
        <v>0</v>
      </c>
      <c r="AK247" s="624">
        <f t="shared" si="244"/>
        <v>0</v>
      </c>
      <c r="AL247" s="591">
        <v>0</v>
      </c>
      <c r="AM247" s="591">
        <v>0</v>
      </c>
      <c r="AN247" s="591">
        <v>0</v>
      </c>
      <c r="AO247" s="744">
        <f>IF(Q247=0,0,AK247/Q247)</f>
        <v>0</v>
      </c>
      <c r="AP247" s="623"/>
      <c r="AQ247" s="745"/>
      <c r="AR247" s="745"/>
      <c r="AS247" s="745"/>
      <c r="AT247" s="331"/>
      <c r="AU247" s="745"/>
      <c r="AV247" s="745"/>
      <c r="AW247" s="746"/>
      <c r="AY247" s="747"/>
      <c r="AZ247" s="455"/>
      <c r="BA247" s="455"/>
      <c r="BB247" s="455"/>
      <c r="BC247" s="455"/>
    </row>
    <row r="248" spans="1:55" s="741" customFormat="1" ht="49.5">
      <c r="A248" s="14" t="s">
        <v>128</v>
      </c>
      <c r="B248" s="15" t="s">
        <v>1310</v>
      </c>
      <c r="C248" s="16" t="s">
        <v>1106</v>
      </c>
      <c r="D248" s="16" t="s">
        <v>131</v>
      </c>
      <c r="E248" s="614"/>
      <c r="F248" s="608">
        <f>F249+F252</f>
        <v>192923990.024028</v>
      </c>
      <c r="G248" s="588"/>
      <c r="H248" s="588">
        <f>H249+H252</f>
        <v>192923990.024028</v>
      </c>
      <c r="I248" s="588"/>
      <c r="J248" s="588">
        <f>J249+J252</f>
        <v>192923990.024028</v>
      </c>
      <c r="K248" s="588" t="s">
        <v>885</v>
      </c>
      <c r="L248" s="588"/>
      <c r="M248" s="588"/>
      <c r="N248" s="588">
        <f>N249+N252</f>
        <v>50787563</v>
      </c>
      <c r="O248" s="588">
        <f>O249+O252</f>
        <v>50787563</v>
      </c>
      <c r="P248" s="588"/>
      <c r="Q248" s="294">
        <f t="shared" si="184"/>
        <v>243711553.024028</v>
      </c>
      <c r="R248" s="610">
        <f t="shared" ref="R248:R259" si="246">Q248/J248</f>
        <v>1.2632516722968179</v>
      </c>
      <c r="S248" s="614">
        <v>195187329.09999999</v>
      </c>
      <c r="T248" s="614">
        <f t="shared" ref="T248" si="247">T249+T252</f>
        <v>232362975.78999999</v>
      </c>
      <c r="U248" s="575">
        <f t="shared" si="195"/>
        <v>1.2044275870567471</v>
      </c>
      <c r="V248" s="575">
        <v>1.183994108205781</v>
      </c>
      <c r="W248" s="575">
        <f t="shared" si="192"/>
        <v>2.0433478850966136E-2</v>
      </c>
      <c r="X248" s="612">
        <f t="shared" ref="X248:X259" si="248">T248/Q248</f>
        <v>0.95343438957565896</v>
      </c>
      <c r="Y248" s="614">
        <f t="shared" ref="Y248" si="249">Y249+Y252</f>
        <v>229362975.78999999</v>
      </c>
      <c r="Z248" s="575">
        <f>Y248/J248</f>
        <v>1.188877421420911</v>
      </c>
      <c r="AA248" s="749">
        <v>1.1568305192226414</v>
      </c>
      <c r="AB248" s="575">
        <f t="shared" si="178"/>
        <v>3.2046902198269667E-2</v>
      </c>
      <c r="AC248" s="612">
        <f t="shared" ref="AC248:AC259" si="250">Y248/Q248</f>
        <v>0.94112475565484022</v>
      </c>
      <c r="AD248" s="573">
        <f>AD249+AD252</f>
        <v>75655468.189999998</v>
      </c>
      <c r="AE248" s="573">
        <f t="shared" ref="AE248:AH248" si="251">AE249+AE252</f>
        <v>0</v>
      </c>
      <c r="AF248" s="573">
        <f t="shared" si="251"/>
        <v>111949762.84999999</v>
      </c>
      <c r="AG248" s="573">
        <f t="shared" si="251"/>
        <v>71958275.719999999</v>
      </c>
      <c r="AH248" s="573">
        <f t="shared" si="251"/>
        <v>4125187.61</v>
      </c>
      <c r="AI248" s="573">
        <f t="shared" si="245"/>
        <v>183480043.42999998</v>
      </c>
      <c r="AJ248" s="322">
        <f t="shared" si="238"/>
        <v>147613743.91</v>
      </c>
      <c r="AK248" s="17">
        <f>AK249+AK252</f>
        <v>187605231.03999999</v>
      </c>
      <c r="AL248" s="575">
        <f>AK248/J248</f>
        <v>0.97243080560709128</v>
      </c>
      <c r="AM248" s="575">
        <v>0.94119862297781043</v>
      </c>
      <c r="AN248" s="575">
        <f t="shared" si="182"/>
        <v>3.1232182629280847E-2</v>
      </c>
      <c r="AO248" s="740">
        <f t="shared" ref="AO248:AO259" si="252">AK248/Q248</f>
        <v>0.76978390524434281</v>
      </c>
      <c r="AP248" s="623"/>
      <c r="AQ248" s="745"/>
      <c r="AR248" s="745"/>
      <c r="AS248" s="745"/>
      <c r="AT248" s="331"/>
      <c r="AU248" s="745"/>
      <c r="AV248" s="745"/>
      <c r="AW248" s="746"/>
      <c r="AY248" s="747"/>
      <c r="AZ248" s="753"/>
      <c r="BA248" s="753"/>
      <c r="BB248" s="753"/>
      <c r="BC248" s="753"/>
    </row>
    <row r="249" spans="1:55" s="741" customFormat="1" ht="99" outlineLevel="1">
      <c r="A249" s="14" t="s">
        <v>129</v>
      </c>
      <c r="B249" s="15" t="s">
        <v>1311</v>
      </c>
      <c r="C249" s="16" t="s">
        <v>1106</v>
      </c>
      <c r="D249" s="16" t="s">
        <v>131</v>
      </c>
      <c r="E249" s="614"/>
      <c r="F249" s="608">
        <f>F250+F251</f>
        <v>184862251.14194399</v>
      </c>
      <c r="G249" s="588"/>
      <c r="H249" s="588">
        <f>H250+H251</f>
        <v>184862251.14194399</v>
      </c>
      <c r="I249" s="588"/>
      <c r="J249" s="588">
        <f>J250+J251</f>
        <v>184862251.14194399</v>
      </c>
      <c r="K249" s="588" t="s">
        <v>885</v>
      </c>
      <c r="L249" s="588"/>
      <c r="M249" s="588"/>
      <c r="N249" s="588">
        <f>N250+N251</f>
        <v>29935543</v>
      </c>
      <c r="O249" s="588">
        <f>O250+O251</f>
        <v>29935543</v>
      </c>
      <c r="P249" s="588"/>
      <c r="Q249" s="294">
        <f t="shared" si="184"/>
        <v>214797794.14194399</v>
      </c>
      <c r="R249" s="610">
        <f t="shared" si="246"/>
        <v>1.1619343203660026</v>
      </c>
      <c r="S249" s="614">
        <v>181279071.09999999</v>
      </c>
      <c r="T249" s="614">
        <f t="shared" ref="T249" si="253">T250+T251</f>
        <v>207841733.44</v>
      </c>
      <c r="U249" s="575">
        <f t="shared" si="195"/>
        <v>1.1243059746168054</v>
      </c>
      <c r="V249" s="575">
        <v>1.1076965293080259</v>
      </c>
      <c r="W249" s="575">
        <f t="shared" si="192"/>
        <v>1.6609445308779502E-2</v>
      </c>
      <c r="X249" s="612">
        <f t="shared" si="248"/>
        <v>0.96761577217433037</v>
      </c>
      <c r="Y249" s="614">
        <f t="shared" ref="Y249" si="254">Y250+Y251</f>
        <v>204841733.44</v>
      </c>
      <c r="Z249" s="575">
        <f>Y249/J249</f>
        <v>1.1080776749965846</v>
      </c>
      <c r="AA249" s="749">
        <v>1.1076965293080259</v>
      </c>
      <c r="AB249" s="575">
        <f t="shared" si="178"/>
        <v>3.8114568855873721E-4</v>
      </c>
      <c r="AC249" s="612">
        <f t="shared" si="250"/>
        <v>0.95364914829914516</v>
      </c>
      <c r="AD249" s="573">
        <f>AD250+AD251</f>
        <v>72833781.799999997</v>
      </c>
      <c r="AE249" s="573">
        <f t="shared" ref="AE249:AH249" si="255">AE250+AE251</f>
        <v>0</v>
      </c>
      <c r="AF249" s="573">
        <f t="shared" si="255"/>
        <v>101141245.22</v>
      </c>
      <c r="AG249" s="573">
        <f t="shared" si="255"/>
        <v>68962403.370000005</v>
      </c>
      <c r="AH249" s="573">
        <f t="shared" si="255"/>
        <v>4125187.61</v>
      </c>
      <c r="AI249" s="573">
        <f t="shared" si="245"/>
        <v>169849839.40999997</v>
      </c>
      <c r="AJ249" s="322">
        <f t="shared" si="238"/>
        <v>141796185.17000002</v>
      </c>
      <c r="AK249" s="17">
        <f>AK250+AK251</f>
        <v>173975027.01999998</v>
      </c>
      <c r="AL249" s="575">
        <f>AK249/J249</f>
        <v>0.94110628830553189</v>
      </c>
      <c r="AM249" s="575">
        <v>0.91307588778843951</v>
      </c>
      <c r="AN249" s="575">
        <f t="shared" si="182"/>
        <v>2.803040051709238E-2</v>
      </c>
      <c r="AO249" s="740">
        <f t="shared" si="252"/>
        <v>0.80994792202117649</v>
      </c>
      <c r="AP249" s="623"/>
      <c r="AQ249" s="745"/>
      <c r="AR249" s="745"/>
      <c r="AS249" s="745"/>
      <c r="AT249" s="331"/>
      <c r="AU249" s="745"/>
      <c r="AV249" s="745"/>
      <c r="AW249" s="746"/>
      <c r="AY249" s="747"/>
      <c r="AZ249" s="753"/>
      <c r="BA249" s="753"/>
      <c r="BB249" s="753"/>
      <c r="BC249" s="753"/>
    </row>
    <row r="250" spans="1:55" s="305" customFormat="1" ht="132" outlineLevel="1">
      <c r="A250" s="327" t="s">
        <v>377</v>
      </c>
      <c r="B250" s="328" t="s">
        <v>1312</v>
      </c>
      <c r="C250" s="329" t="s">
        <v>1106</v>
      </c>
      <c r="D250" s="329" t="s">
        <v>1097</v>
      </c>
      <c r="E250" s="754">
        <v>253035286</v>
      </c>
      <c r="F250" s="594">
        <f>E250*$E$2</f>
        <v>177834211.14194399</v>
      </c>
      <c r="G250" s="748">
        <v>253035286</v>
      </c>
      <c r="H250" s="22">
        <f>G250*$G$2</f>
        <v>177834211.14194399</v>
      </c>
      <c r="I250" s="748">
        <v>253035286</v>
      </c>
      <c r="J250" s="331">
        <f>I250*$I$2</f>
        <v>177834211.14194399</v>
      </c>
      <c r="K250" s="588" t="s">
        <v>885</v>
      </c>
      <c r="L250" s="588"/>
      <c r="M250" s="588"/>
      <c r="N250" s="331">
        <v>29935543</v>
      </c>
      <c r="O250" s="331">
        <f>N250</f>
        <v>29935543</v>
      </c>
      <c r="P250" s="331"/>
      <c r="Q250" s="317">
        <f t="shared" si="184"/>
        <v>207769754.14194399</v>
      </c>
      <c r="R250" s="589">
        <f t="shared" si="246"/>
        <v>1.1683339938236406</v>
      </c>
      <c r="S250" s="417">
        <v>178488892.90000001</v>
      </c>
      <c r="T250" s="417">
        <v>200813693.44</v>
      </c>
      <c r="U250" s="575">
        <f t="shared" si="195"/>
        <v>1.1292185690846301</v>
      </c>
      <c r="V250" s="592">
        <v>1.1119527155107687</v>
      </c>
      <c r="W250" s="575">
        <f t="shared" si="192"/>
        <v>1.7265853573861456E-2</v>
      </c>
      <c r="X250" s="612">
        <f t="shared" si="248"/>
        <v>0.96652034012038268</v>
      </c>
      <c r="Y250" s="586">
        <v>197813693.44</v>
      </c>
      <c r="Z250" s="591">
        <f>Y250/J250</f>
        <v>1.1123489241454714</v>
      </c>
      <c r="AA250" s="591">
        <v>1.1119527155107687</v>
      </c>
      <c r="AB250" s="591">
        <f t="shared" si="178"/>
        <v>3.962086347026883E-4</v>
      </c>
      <c r="AC250" s="593">
        <f t="shared" si="250"/>
        <v>0.95208127986163849</v>
      </c>
      <c r="AD250" s="625">
        <v>71092260.560000002</v>
      </c>
      <c r="AE250" s="22">
        <v>0</v>
      </c>
      <c r="AF250" s="22">
        <v>100164551.27</v>
      </c>
      <c r="AG250" s="22">
        <v>68750306.510000005</v>
      </c>
      <c r="AH250" s="606">
        <v>4125187.61</v>
      </c>
      <c r="AI250" s="594">
        <f t="shared" si="245"/>
        <v>167131624.21999997</v>
      </c>
      <c r="AJ250" s="332">
        <f t="shared" ref="AJ250:AJ253" si="256">AD250+AE250+AG250-AH250</f>
        <v>135717379.45999998</v>
      </c>
      <c r="AK250" s="624">
        <f>SUM(AD250:AF250)</f>
        <v>171256811.82999998</v>
      </c>
      <c r="AL250" s="591">
        <f>AK250/J250</f>
        <v>0.96301386966147895</v>
      </c>
      <c r="AM250" s="591">
        <v>0.93387570267591502</v>
      </c>
      <c r="AN250" s="591">
        <f t="shared" si="182"/>
        <v>2.9138166985563929E-2</v>
      </c>
      <c r="AO250" s="744">
        <f t="shared" si="252"/>
        <v>0.82426247524459639</v>
      </c>
      <c r="AP250" s="623"/>
      <c r="AQ250" s="745"/>
      <c r="AR250" s="745"/>
      <c r="AS250" s="745"/>
      <c r="AT250" s="331"/>
      <c r="AU250" s="745"/>
      <c r="AV250" s="745"/>
      <c r="AW250" s="746"/>
      <c r="AY250" s="747"/>
      <c r="AZ250" s="455"/>
      <c r="BA250" s="455"/>
      <c r="BB250" s="455"/>
      <c r="BC250" s="455"/>
    </row>
    <row r="251" spans="1:55" s="305" customFormat="1" ht="49.5" outlineLevel="1">
      <c r="A251" s="327" t="s">
        <v>130</v>
      </c>
      <c r="B251" s="328" t="s">
        <v>1313</v>
      </c>
      <c r="C251" s="329" t="s">
        <v>1106</v>
      </c>
      <c r="D251" s="329" t="s">
        <v>1097</v>
      </c>
      <c r="E251" s="754">
        <v>10000000</v>
      </c>
      <c r="F251" s="594">
        <f>E251*$E$2</f>
        <v>7028040</v>
      </c>
      <c r="G251" s="748">
        <v>10000000</v>
      </c>
      <c r="H251" s="22">
        <f>G251*$G$2</f>
        <v>7028040</v>
      </c>
      <c r="I251" s="748">
        <v>10000000</v>
      </c>
      <c r="J251" s="331">
        <f>I251*$I$2</f>
        <v>7028040</v>
      </c>
      <c r="K251" s="588" t="s">
        <v>885</v>
      </c>
      <c r="L251" s="588"/>
      <c r="M251" s="588"/>
      <c r="N251" s="331">
        <v>0</v>
      </c>
      <c r="O251" s="331"/>
      <c r="P251" s="331"/>
      <c r="Q251" s="317">
        <f t="shared" si="184"/>
        <v>7028040</v>
      </c>
      <c r="R251" s="589">
        <f t="shared" si="246"/>
        <v>1</v>
      </c>
      <c r="S251" s="417">
        <v>2790178.2</v>
      </c>
      <c r="T251" s="417">
        <v>7028040</v>
      </c>
      <c r="U251" s="575">
        <f t="shared" si="195"/>
        <v>1</v>
      </c>
      <c r="V251" s="592">
        <v>1</v>
      </c>
      <c r="W251" s="575">
        <f t="shared" si="192"/>
        <v>0</v>
      </c>
      <c r="X251" s="612">
        <f t="shared" si="248"/>
        <v>1</v>
      </c>
      <c r="Y251" s="586">
        <v>7028040</v>
      </c>
      <c r="Z251" s="591">
        <f>Y251/J251</f>
        <v>1</v>
      </c>
      <c r="AA251" s="591">
        <v>1</v>
      </c>
      <c r="AB251" s="591">
        <f t="shared" si="178"/>
        <v>0</v>
      </c>
      <c r="AC251" s="593">
        <f t="shared" si="250"/>
        <v>1</v>
      </c>
      <c r="AD251" s="625">
        <v>1741521.24</v>
      </c>
      <c r="AE251" s="22">
        <v>0</v>
      </c>
      <c r="AF251" s="22">
        <v>976693.95</v>
      </c>
      <c r="AG251" s="22">
        <v>212096.86</v>
      </c>
      <c r="AH251" s="606">
        <v>0</v>
      </c>
      <c r="AI251" s="594">
        <f t="shared" si="245"/>
        <v>2718215.19</v>
      </c>
      <c r="AJ251" s="332">
        <f t="shared" si="256"/>
        <v>1953618.1</v>
      </c>
      <c r="AK251" s="624">
        <f>SUM(AD251:AF251)</f>
        <v>2718215.19</v>
      </c>
      <c r="AL251" s="591">
        <f>AK251/J251</f>
        <v>0.38676717690849793</v>
      </c>
      <c r="AM251" s="591">
        <v>0.38676717690849793</v>
      </c>
      <c r="AN251" s="591">
        <f t="shared" si="182"/>
        <v>0</v>
      </c>
      <c r="AO251" s="744">
        <f t="shared" si="252"/>
        <v>0.38676717690849793</v>
      </c>
      <c r="AP251" s="623"/>
      <c r="AQ251" s="745"/>
      <c r="AR251" s="745"/>
      <c r="AS251" s="745"/>
      <c r="AT251" s="331"/>
      <c r="AU251" s="745"/>
      <c r="AV251" s="745"/>
      <c r="AW251" s="746"/>
      <c r="AY251" s="747"/>
      <c r="AZ251" s="455"/>
      <c r="BA251" s="455"/>
      <c r="BB251" s="455"/>
      <c r="BC251" s="455"/>
    </row>
    <row r="252" spans="1:55" s="741" customFormat="1" ht="82.5" outlineLevel="1">
      <c r="A252" s="14" t="s">
        <v>132</v>
      </c>
      <c r="B252" s="15" t="s">
        <v>1314</v>
      </c>
      <c r="C252" s="16" t="s">
        <v>1106</v>
      </c>
      <c r="D252" s="16" t="s">
        <v>134</v>
      </c>
      <c r="E252" s="614"/>
      <c r="F252" s="608">
        <f>F253</f>
        <v>8061738.8820839999</v>
      </c>
      <c r="G252" s="588"/>
      <c r="H252" s="588">
        <f>H253</f>
        <v>8061738.8820839999</v>
      </c>
      <c r="I252" s="588"/>
      <c r="J252" s="588">
        <f>J253</f>
        <v>8061738.8820839999</v>
      </c>
      <c r="K252" s="588" t="s">
        <v>885</v>
      </c>
      <c r="L252" s="588"/>
      <c r="M252" s="588"/>
      <c r="N252" s="322">
        <f>N253</f>
        <v>20852020</v>
      </c>
      <c r="O252" s="322">
        <f>O253</f>
        <v>20852020</v>
      </c>
      <c r="P252" s="322"/>
      <c r="Q252" s="294">
        <f t="shared" si="184"/>
        <v>28913758.882084001</v>
      </c>
      <c r="R252" s="610">
        <f t="shared" si="246"/>
        <v>3.5865412295032866</v>
      </c>
      <c r="S252" s="614">
        <v>13908258</v>
      </c>
      <c r="T252" s="614">
        <f t="shared" ref="T252:AN252" si="257">T253</f>
        <v>24521242.350000001</v>
      </c>
      <c r="U252" s="575">
        <f t="shared" si="195"/>
        <v>3.0416815414965583</v>
      </c>
      <c r="V252" s="575">
        <v>2.933559853018517</v>
      </c>
      <c r="W252" s="575">
        <f t="shared" si="192"/>
        <v>0.10812168847804138</v>
      </c>
      <c r="X252" s="612">
        <f t="shared" si="248"/>
        <v>0.84808213452987746</v>
      </c>
      <c r="Y252" s="614">
        <f t="shared" si="257"/>
        <v>24521242.350000001</v>
      </c>
      <c r="Z252" s="575">
        <f t="shared" si="257"/>
        <v>3.0416815414965583</v>
      </c>
      <c r="AA252" s="749">
        <v>2.28351300250017</v>
      </c>
      <c r="AB252" s="575">
        <f t="shared" si="178"/>
        <v>0.75816853899638836</v>
      </c>
      <c r="AC252" s="612">
        <f t="shared" si="250"/>
        <v>0.84808213452987746</v>
      </c>
      <c r="AD252" s="573">
        <f t="shared" ref="AD252:AH252" si="258">AD253</f>
        <v>2821686.3899999997</v>
      </c>
      <c r="AE252" s="573">
        <f t="shared" si="258"/>
        <v>0</v>
      </c>
      <c r="AF252" s="573">
        <f t="shared" si="258"/>
        <v>10808517.630000001</v>
      </c>
      <c r="AG252" s="573">
        <f t="shared" si="258"/>
        <v>2995872.35</v>
      </c>
      <c r="AH252" s="573">
        <f t="shared" si="258"/>
        <v>0</v>
      </c>
      <c r="AI252" s="573">
        <f t="shared" si="245"/>
        <v>13630204.02</v>
      </c>
      <c r="AJ252" s="322">
        <f t="shared" si="238"/>
        <v>5817558.7400000002</v>
      </c>
      <c r="AK252" s="17">
        <f t="shared" si="257"/>
        <v>13630204.02</v>
      </c>
      <c r="AL252" s="575">
        <f t="shared" si="257"/>
        <v>1.6907275489027651</v>
      </c>
      <c r="AM252" s="575">
        <v>1.5860758897086258</v>
      </c>
      <c r="AN252" s="575">
        <f t="shared" si="257"/>
        <v>0.10465165919413932</v>
      </c>
      <c r="AO252" s="740">
        <f t="shared" si="252"/>
        <v>0.47140892595759182</v>
      </c>
      <c r="AP252" s="750"/>
      <c r="AQ252" s="751"/>
      <c r="AR252" s="751"/>
      <c r="AS252" s="751"/>
      <c r="AT252" s="588"/>
      <c r="AU252" s="751"/>
      <c r="AV252" s="751"/>
      <c r="AW252" s="752"/>
      <c r="AY252" s="747"/>
      <c r="AZ252" s="753"/>
      <c r="BA252" s="753"/>
      <c r="BB252" s="753"/>
      <c r="BC252" s="753"/>
    </row>
    <row r="253" spans="1:55" s="305" customFormat="1" ht="82.5" outlineLevel="1">
      <c r="A253" s="327" t="s">
        <v>133</v>
      </c>
      <c r="B253" s="328" t="s">
        <v>1315</v>
      </c>
      <c r="C253" s="329" t="s">
        <v>1106</v>
      </c>
      <c r="D253" s="329" t="s">
        <v>1097</v>
      </c>
      <c r="E253" s="606">
        <v>11470821</v>
      </c>
      <c r="F253" s="594">
        <f>E253*$E$2</f>
        <v>8061738.8820839999</v>
      </c>
      <c r="G253" s="22">
        <v>11470821</v>
      </c>
      <c r="H253" s="22">
        <f>G253*$G$2</f>
        <v>8061738.8820839999</v>
      </c>
      <c r="I253" s="748">
        <v>11470821</v>
      </c>
      <c r="J253" s="331">
        <f>I253*$I$2</f>
        <v>8061738.8820839999</v>
      </c>
      <c r="K253" s="588" t="s">
        <v>885</v>
      </c>
      <c r="L253" s="588"/>
      <c r="M253" s="588"/>
      <c r="N253" s="341">
        <v>20852020</v>
      </c>
      <c r="O253" s="341">
        <f>N253</f>
        <v>20852020</v>
      </c>
      <c r="P253" s="331"/>
      <c r="Q253" s="317">
        <f t="shared" si="184"/>
        <v>28913758.882084001</v>
      </c>
      <c r="R253" s="589">
        <f t="shared" si="246"/>
        <v>3.5865412295032866</v>
      </c>
      <c r="S253" s="417">
        <v>13908258</v>
      </c>
      <c r="T253" s="417">
        <v>24521242.350000001</v>
      </c>
      <c r="U253" s="575">
        <f t="shared" si="195"/>
        <v>3.0416815414965583</v>
      </c>
      <c r="V253" s="592">
        <v>2.933559853018517</v>
      </c>
      <c r="W253" s="575">
        <f t="shared" si="192"/>
        <v>0.10812168847804138</v>
      </c>
      <c r="X253" s="612">
        <f t="shared" si="248"/>
        <v>0.84808213452987746</v>
      </c>
      <c r="Y253" s="586">
        <v>24521242.350000001</v>
      </c>
      <c r="Z253" s="591">
        <f t="shared" ref="Z253:Z259" si="259">Y253/J253</f>
        <v>3.0416815414965583</v>
      </c>
      <c r="AA253" s="592">
        <v>2.28351300250017</v>
      </c>
      <c r="AB253" s="591">
        <f t="shared" si="178"/>
        <v>0.75816853899638836</v>
      </c>
      <c r="AC253" s="593">
        <f t="shared" si="250"/>
        <v>0.84808213452987746</v>
      </c>
      <c r="AD253" s="625">
        <v>2821686.3899999997</v>
      </c>
      <c r="AE253" s="22">
        <v>0</v>
      </c>
      <c r="AF253" s="22">
        <v>10808517.630000001</v>
      </c>
      <c r="AG253" s="22">
        <v>2995872.35</v>
      </c>
      <c r="AH253" s="606">
        <v>0</v>
      </c>
      <c r="AI253" s="594">
        <f t="shared" si="245"/>
        <v>13630204.02</v>
      </c>
      <c r="AJ253" s="332">
        <f t="shared" si="256"/>
        <v>5817558.7400000002</v>
      </c>
      <c r="AK253" s="624">
        <f>SUM(AD253:AF253)</f>
        <v>13630204.02</v>
      </c>
      <c r="AL253" s="591">
        <f t="shared" ref="AL253:AL259" si="260">AK253/J253</f>
        <v>1.6907275489027651</v>
      </c>
      <c r="AM253" s="591">
        <v>1.5860758897086258</v>
      </c>
      <c r="AN253" s="591">
        <f t="shared" si="182"/>
        <v>0.10465165919413932</v>
      </c>
      <c r="AO253" s="744">
        <f t="shared" si="252"/>
        <v>0.47140892595759182</v>
      </c>
      <c r="AP253" s="623"/>
      <c r="AQ253" s="745"/>
      <c r="AR253" s="745"/>
      <c r="AS253" s="745"/>
      <c r="AT253" s="331"/>
      <c r="AU253" s="745"/>
      <c r="AV253" s="745"/>
      <c r="AW253" s="746"/>
      <c r="AY253" s="747"/>
      <c r="AZ253" s="455"/>
      <c r="BA253" s="455"/>
      <c r="BB253" s="455"/>
      <c r="BC253" s="455"/>
    </row>
    <row r="254" spans="1:55" s="741" customFormat="1" ht="66">
      <c r="A254" s="14" t="s">
        <v>1316</v>
      </c>
      <c r="B254" s="15" t="s">
        <v>1317</v>
      </c>
      <c r="C254" s="16" t="s">
        <v>1106</v>
      </c>
      <c r="D254" s="16"/>
      <c r="E254" s="614"/>
      <c r="F254" s="608">
        <f t="shared" ref="F254:T255" si="261">F255</f>
        <v>40488570.066179998</v>
      </c>
      <c r="G254" s="588"/>
      <c r="H254" s="588">
        <f t="shared" si="261"/>
        <v>40488570.066179998</v>
      </c>
      <c r="I254" s="588"/>
      <c r="J254" s="588">
        <f t="shared" si="261"/>
        <v>40488570.066179998</v>
      </c>
      <c r="K254" s="588" t="s">
        <v>885</v>
      </c>
      <c r="L254" s="588"/>
      <c r="M254" s="588"/>
      <c r="N254" s="588">
        <f t="shared" si="261"/>
        <v>0</v>
      </c>
      <c r="O254" s="588">
        <f t="shared" si="261"/>
        <v>0</v>
      </c>
      <c r="P254" s="588"/>
      <c r="Q254" s="294">
        <f t="shared" si="184"/>
        <v>40488570.066179998</v>
      </c>
      <c r="R254" s="610">
        <f t="shared" si="246"/>
        <v>1</v>
      </c>
      <c r="S254" s="611">
        <v>28357055.625600003</v>
      </c>
      <c r="T254" s="611">
        <f t="shared" si="261"/>
        <v>40322109.299999997</v>
      </c>
      <c r="U254" s="575">
        <f t="shared" si="195"/>
        <v>0.99588869733092789</v>
      </c>
      <c r="V254" s="575">
        <v>0.99093692946971934</v>
      </c>
      <c r="W254" s="575">
        <f t="shared" si="192"/>
        <v>4.9517678612085447E-3</v>
      </c>
      <c r="X254" s="612">
        <f t="shared" si="248"/>
        <v>0.99588869733092789</v>
      </c>
      <c r="Y254" s="573">
        <f>Y255</f>
        <v>40322109.299999997</v>
      </c>
      <c r="Z254" s="575">
        <f t="shared" si="259"/>
        <v>0.99588869733092789</v>
      </c>
      <c r="AA254" s="575">
        <v>0.99093692946971934</v>
      </c>
      <c r="AB254" s="575">
        <f t="shared" si="178"/>
        <v>4.9517678612085447E-3</v>
      </c>
      <c r="AC254" s="612">
        <f t="shared" si="250"/>
        <v>0.99588869733092789</v>
      </c>
      <c r="AD254" s="613">
        <f t="shared" ref="AD254:AH255" si="262">AD255</f>
        <v>23718414.620000001</v>
      </c>
      <c r="AE254" s="17">
        <f t="shared" si="262"/>
        <v>0</v>
      </c>
      <c r="AF254" s="17">
        <f t="shared" si="262"/>
        <v>0</v>
      </c>
      <c r="AG254" s="17">
        <f t="shared" si="262"/>
        <v>0</v>
      </c>
      <c r="AH254" s="614">
        <f t="shared" si="262"/>
        <v>373.85</v>
      </c>
      <c r="AI254" s="573">
        <f t="shared" si="245"/>
        <v>23718040.77</v>
      </c>
      <c r="AJ254" s="322">
        <f t="shared" si="238"/>
        <v>23718414.620000001</v>
      </c>
      <c r="AK254" s="17">
        <f>AK255</f>
        <v>23718414.620000001</v>
      </c>
      <c r="AL254" s="575">
        <f t="shared" si="260"/>
        <v>0.58580519344672866</v>
      </c>
      <c r="AM254" s="575">
        <v>0.57001437423639434</v>
      </c>
      <c r="AN254" s="653">
        <f t="shared" si="182"/>
        <v>1.5790819210334317E-2</v>
      </c>
      <c r="AO254" s="740">
        <f t="shared" si="252"/>
        <v>0.58580519344672866</v>
      </c>
      <c r="AP254" s="613">
        <f>AP255</f>
        <v>7331927.46</v>
      </c>
      <c r="AQ254" s="745">
        <f t="shared" ref="AQ254:AQ259" si="263">AP254/J254</f>
        <v>0.18108635222275585</v>
      </c>
      <c r="AR254" s="751">
        <v>0.18108635222275585</v>
      </c>
      <c r="AS254" s="495">
        <f t="shared" ref="AS254:AS259" si="264">AQ254-AR254</f>
        <v>0</v>
      </c>
      <c r="AT254" s="588"/>
      <c r="AU254" s="751"/>
      <c r="AV254" s="751"/>
      <c r="AW254" s="752"/>
      <c r="AY254" s="795"/>
    </row>
    <row r="255" spans="1:55" s="741" customFormat="1" ht="132">
      <c r="A255" s="14" t="s">
        <v>153</v>
      </c>
      <c r="B255" s="15" t="s">
        <v>1318</v>
      </c>
      <c r="C255" s="16" t="s">
        <v>1106</v>
      </c>
      <c r="D255" s="16" t="s">
        <v>131</v>
      </c>
      <c r="E255" s="614"/>
      <c r="F255" s="608">
        <f t="shared" si="261"/>
        <v>40488570.066179998</v>
      </c>
      <c r="G255" s="588"/>
      <c r="H255" s="588">
        <f t="shared" si="261"/>
        <v>40488570.066179998</v>
      </c>
      <c r="I255" s="588"/>
      <c r="J255" s="588">
        <f t="shared" si="261"/>
        <v>40488570.066179998</v>
      </c>
      <c r="K255" s="588" t="s">
        <v>885</v>
      </c>
      <c r="L255" s="588"/>
      <c r="M255" s="588"/>
      <c r="N255" s="588">
        <f t="shared" si="261"/>
        <v>0</v>
      </c>
      <c r="O255" s="588">
        <f t="shared" si="261"/>
        <v>0</v>
      </c>
      <c r="P255" s="588"/>
      <c r="Q255" s="294">
        <f t="shared" si="184"/>
        <v>40488570.066179998</v>
      </c>
      <c r="R255" s="610">
        <f t="shared" si="246"/>
        <v>1</v>
      </c>
      <c r="S255" s="611">
        <v>28357055.625600003</v>
      </c>
      <c r="T255" s="611">
        <f t="shared" si="261"/>
        <v>40322109.299999997</v>
      </c>
      <c r="U255" s="575">
        <f t="shared" si="195"/>
        <v>0.99588869733092789</v>
      </c>
      <c r="V255" s="575">
        <v>0.99093692946971934</v>
      </c>
      <c r="W255" s="575">
        <f t="shared" si="192"/>
        <v>4.9517678612085447E-3</v>
      </c>
      <c r="X255" s="612">
        <f t="shared" si="248"/>
        <v>0.99588869733092789</v>
      </c>
      <c r="Y255" s="573">
        <f>Y256</f>
        <v>40322109.299999997</v>
      </c>
      <c r="Z255" s="575">
        <f t="shared" si="259"/>
        <v>0.99588869733092789</v>
      </c>
      <c r="AA255" s="749">
        <v>0.99093692946971934</v>
      </c>
      <c r="AB255" s="575">
        <f t="shared" si="178"/>
        <v>4.9517678612085447E-3</v>
      </c>
      <c r="AC255" s="612">
        <f t="shared" si="250"/>
        <v>0.99588869733092789</v>
      </c>
      <c r="AD255" s="613">
        <f t="shared" si="262"/>
        <v>23718414.620000001</v>
      </c>
      <c r="AE255" s="17">
        <f t="shared" si="262"/>
        <v>0</v>
      </c>
      <c r="AF255" s="17">
        <f t="shared" si="262"/>
        <v>0</v>
      </c>
      <c r="AG255" s="17">
        <f t="shared" si="262"/>
        <v>0</v>
      </c>
      <c r="AH255" s="614">
        <f>AH256</f>
        <v>373.85</v>
      </c>
      <c r="AI255" s="573">
        <f t="shared" si="245"/>
        <v>23718040.77</v>
      </c>
      <c r="AJ255" s="322">
        <f t="shared" si="238"/>
        <v>23718414.620000001</v>
      </c>
      <c r="AK255" s="17">
        <f>AK256</f>
        <v>23718414.620000001</v>
      </c>
      <c r="AL255" s="575">
        <f t="shared" si="260"/>
        <v>0.58580519344672866</v>
      </c>
      <c r="AM255" s="575">
        <v>0.57001437423639434</v>
      </c>
      <c r="AN255" s="653">
        <f t="shared" si="182"/>
        <v>1.5790819210334317E-2</v>
      </c>
      <c r="AO255" s="740">
        <f t="shared" si="252"/>
        <v>0.58580519344672866</v>
      </c>
      <c r="AP255" s="750">
        <f>AP256</f>
        <v>7331927.46</v>
      </c>
      <c r="AQ255" s="745">
        <f t="shared" si="263"/>
        <v>0.18108635222275585</v>
      </c>
      <c r="AR255" s="745">
        <v>0.18108635222275585</v>
      </c>
      <c r="AS255" s="495">
        <f t="shared" si="264"/>
        <v>0</v>
      </c>
      <c r="AT255" s="588"/>
      <c r="AU255" s="751"/>
      <c r="AV255" s="751"/>
      <c r="AW255" s="752"/>
      <c r="AY255" s="795"/>
    </row>
    <row r="256" spans="1:55" s="305" customFormat="1" ht="49.5">
      <c r="A256" s="327" t="s">
        <v>1319</v>
      </c>
      <c r="B256" s="328" t="s">
        <v>1320</v>
      </c>
      <c r="C256" s="329" t="s">
        <v>1106</v>
      </c>
      <c r="D256" s="329" t="s">
        <v>813</v>
      </c>
      <c r="E256" s="754">
        <v>57610045</v>
      </c>
      <c r="F256" s="594">
        <f>E256*$E$2</f>
        <v>40488570.066179998</v>
      </c>
      <c r="G256" s="748">
        <v>57610045</v>
      </c>
      <c r="H256" s="22">
        <f>G256*$G$2</f>
        <v>40488570.066179998</v>
      </c>
      <c r="I256" s="748">
        <v>57610045</v>
      </c>
      <c r="J256" s="331">
        <f>I256*$I$2</f>
        <v>40488570.066179998</v>
      </c>
      <c r="K256" s="588" t="s">
        <v>885</v>
      </c>
      <c r="L256" s="588"/>
      <c r="M256" s="588"/>
      <c r="N256" s="331">
        <v>0</v>
      </c>
      <c r="O256" s="331">
        <v>0</v>
      </c>
      <c r="P256" s="331"/>
      <c r="Q256" s="317">
        <f t="shared" si="184"/>
        <v>40488570.066179998</v>
      </c>
      <c r="R256" s="660">
        <f t="shared" si="246"/>
        <v>1</v>
      </c>
      <c r="S256" s="590">
        <v>28357055.625600003</v>
      </c>
      <c r="T256" s="586">
        <v>40322109.299999997</v>
      </c>
      <c r="U256" s="591">
        <f t="shared" si="195"/>
        <v>0.99588869733092789</v>
      </c>
      <c r="V256" s="592">
        <v>0.99093692946971934</v>
      </c>
      <c r="W256" s="591">
        <f t="shared" si="192"/>
        <v>4.9517678612085447E-3</v>
      </c>
      <c r="X256" s="593">
        <f t="shared" si="248"/>
        <v>0.99588869733092789</v>
      </c>
      <c r="Y256" s="594">
        <v>40322109.299999997</v>
      </c>
      <c r="Z256" s="591">
        <f t="shared" si="259"/>
        <v>0.99588869733092789</v>
      </c>
      <c r="AA256" s="591">
        <v>0.99093692946971934</v>
      </c>
      <c r="AB256" s="591">
        <f t="shared" si="178"/>
        <v>4.9517678612085447E-3</v>
      </c>
      <c r="AC256" s="593">
        <f t="shared" si="250"/>
        <v>0.99588869733092789</v>
      </c>
      <c r="AD256" s="796">
        <v>23718414.620000001</v>
      </c>
      <c r="AE256" s="797">
        <v>0</v>
      </c>
      <c r="AF256" s="22">
        <v>0</v>
      </c>
      <c r="AG256" s="22">
        <v>0</v>
      </c>
      <c r="AH256" s="606">
        <v>373.85</v>
      </c>
      <c r="AI256" s="594">
        <f t="shared" si="245"/>
        <v>23718040.77</v>
      </c>
      <c r="AJ256" s="332">
        <f t="shared" ref="AJ256" si="265">AD256+AE256+AG256-AH256</f>
        <v>23718040.77</v>
      </c>
      <c r="AK256" s="624">
        <f>SUM(AD256:AF256)</f>
        <v>23718414.620000001</v>
      </c>
      <c r="AL256" s="591">
        <f t="shared" si="260"/>
        <v>0.58580519344672866</v>
      </c>
      <c r="AM256" s="591">
        <v>0.57001437423639434</v>
      </c>
      <c r="AN256" s="666">
        <f t="shared" si="182"/>
        <v>1.5790819210334317E-2</v>
      </c>
      <c r="AO256" s="744">
        <f t="shared" si="252"/>
        <v>0.58580519344672866</v>
      </c>
      <c r="AP256" s="798">
        <v>7331927.46</v>
      </c>
      <c r="AQ256" s="799">
        <f t="shared" si="263"/>
        <v>0.18108635222275585</v>
      </c>
      <c r="AR256" s="799">
        <v>0.18108635222275585</v>
      </c>
      <c r="AS256" s="800">
        <f t="shared" si="264"/>
        <v>0</v>
      </c>
      <c r="AT256" s="331"/>
      <c r="AU256" s="745"/>
      <c r="AV256" s="745"/>
      <c r="AW256" s="746"/>
      <c r="AY256" s="795"/>
    </row>
    <row r="257" spans="1:51" s="741" customFormat="1" ht="49.5">
      <c r="A257" s="14" t="s">
        <v>1321</v>
      </c>
      <c r="B257" s="15" t="s">
        <v>1322</v>
      </c>
      <c r="C257" s="16" t="s">
        <v>1202</v>
      </c>
      <c r="D257" s="16"/>
      <c r="E257" s="614"/>
      <c r="F257" s="608">
        <f t="shared" ref="F257:T258" si="266">F258</f>
        <v>8574208.7999999989</v>
      </c>
      <c r="G257" s="588"/>
      <c r="H257" s="588">
        <f t="shared" si="266"/>
        <v>8574208.7999999989</v>
      </c>
      <c r="I257" s="588"/>
      <c r="J257" s="588">
        <f t="shared" si="266"/>
        <v>8574208.7999999989</v>
      </c>
      <c r="K257" s="588" t="s">
        <v>885</v>
      </c>
      <c r="L257" s="588"/>
      <c r="M257" s="588"/>
      <c r="N257" s="588">
        <f t="shared" si="266"/>
        <v>0</v>
      </c>
      <c r="O257" s="588">
        <f t="shared" si="266"/>
        <v>0</v>
      </c>
      <c r="P257" s="588"/>
      <c r="Q257" s="294">
        <f t="shared" si="184"/>
        <v>8574208.7999999989</v>
      </c>
      <c r="R257" s="491">
        <f t="shared" si="246"/>
        <v>1</v>
      </c>
      <c r="S257" s="611">
        <v>5998607.9208000004</v>
      </c>
      <c r="T257" s="573">
        <f t="shared" si="266"/>
        <v>7696477.6200000001</v>
      </c>
      <c r="U257" s="575">
        <f t="shared" si="195"/>
        <v>0.8976312333331562</v>
      </c>
      <c r="V257" s="575">
        <v>0.8893585574916254</v>
      </c>
      <c r="W257" s="575">
        <f t="shared" si="192"/>
        <v>8.2726758415307966E-3</v>
      </c>
      <c r="X257" s="612">
        <f t="shared" si="248"/>
        <v>0.8976312333331562</v>
      </c>
      <c r="Y257" s="573">
        <f>Y258</f>
        <v>7696477.6200000001</v>
      </c>
      <c r="Z257" s="575">
        <f t="shared" si="259"/>
        <v>0.8976312333331562</v>
      </c>
      <c r="AA257" s="575">
        <v>0.8893585574916254</v>
      </c>
      <c r="AB257" s="575">
        <f t="shared" si="178"/>
        <v>8.2726758415307966E-3</v>
      </c>
      <c r="AC257" s="612">
        <f t="shared" si="250"/>
        <v>0.8976312333331562</v>
      </c>
      <c r="AD257" s="613">
        <f t="shared" ref="AD257:AH258" si="267">AD258</f>
        <v>3964921.27</v>
      </c>
      <c r="AE257" s="17">
        <f t="shared" si="267"/>
        <v>0</v>
      </c>
      <c r="AF257" s="17">
        <f t="shared" si="267"/>
        <v>0</v>
      </c>
      <c r="AG257" s="17">
        <f t="shared" si="267"/>
        <v>0</v>
      </c>
      <c r="AH257" s="614">
        <f t="shared" si="267"/>
        <v>121.63</v>
      </c>
      <c r="AI257" s="499">
        <f t="shared" si="245"/>
        <v>3964799.64</v>
      </c>
      <c r="AJ257" s="322">
        <f t="shared" si="238"/>
        <v>3964921.27</v>
      </c>
      <c r="AK257" s="17">
        <f>AK258</f>
        <v>3964921.27</v>
      </c>
      <c r="AL257" s="575">
        <f t="shared" si="260"/>
        <v>0.46242415626733985</v>
      </c>
      <c r="AM257" s="575">
        <v>0.4515726104080881</v>
      </c>
      <c r="AN257" s="653">
        <f t="shared" si="182"/>
        <v>1.0851545859251743E-2</v>
      </c>
      <c r="AO257" s="740">
        <f t="shared" si="252"/>
        <v>0.46242415626733985</v>
      </c>
      <c r="AP257" s="750">
        <f>AP258</f>
        <v>963653.28</v>
      </c>
      <c r="AQ257" s="745">
        <f t="shared" si="263"/>
        <v>0.11238976125703869</v>
      </c>
      <c r="AR257" s="745">
        <v>0.11238976125703869</v>
      </c>
      <c r="AS257" s="800">
        <f t="shared" si="264"/>
        <v>0</v>
      </c>
      <c r="AT257" s="588"/>
      <c r="AU257" s="751"/>
      <c r="AV257" s="751"/>
      <c r="AW257" s="752"/>
      <c r="AY257" s="795"/>
    </row>
    <row r="258" spans="1:51" s="741" customFormat="1" ht="66">
      <c r="A258" s="14" t="s">
        <v>152</v>
      </c>
      <c r="B258" s="15" t="s">
        <v>1323</v>
      </c>
      <c r="C258" s="16" t="s">
        <v>1202</v>
      </c>
      <c r="D258" s="16" t="s">
        <v>131</v>
      </c>
      <c r="E258" s="614"/>
      <c r="F258" s="608">
        <f t="shared" si="266"/>
        <v>8574208.7999999989</v>
      </c>
      <c r="G258" s="588"/>
      <c r="H258" s="588">
        <f t="shared" si="266"/>
        <v>8574208.7999999989</v>
      </c>
      <c r="I258" s="588"/>
      <c r="J258" s="588">
        <f t="shared" si="266"/>
        <v>8574208.7999999989</v>
      </c>
      <c r="K258" s="588" t="s">
        <v>885</v>
      </c>
      <c r="L258" s="588"/>
      <c r="M258" s="588"/>
      <c r="N258" s="588">
        <f t="shared" si="266"/>
        <v>0</v>
      </c>
      <c r="O258" s="588">
        <f t="shared" si="266"/>
        <v>0</v>
      </c>
      <c r="P258" s="588"/>
      <c r="Q258" s="294">
        <f t="shared" si="184"/>
        <v>8574208.7999999989</v>
      </c>
      <c r="R258" s="491">
        <f t="shared" si="246"/>
        <v>1</v>
      </c>
      <c r="S258" s="611">
        <v>5998607.9208000004</v>
      </c>
      <c r="T258" s="573">
        <f t="shared" si="266"/>
        <v>7696477.6200000001</v>
      </c>
      <c r="U258" s="575">
        <f t="shared" si="195"/>
        <v>0.8976312333331562</v>
      </c>
      <c r="V258" s="575">
        <v>0.8893585574916254</v>
      </c>
      <c r="W258" s="575">
        <f t="shared" si="192"/>
        <v>8.2726758415307966E-3</v>
      </c>
      <c r="X258" s="612">
        <f t="shared" si="248"/>
        <v>0.8976312333331562</v>
      </c>
      <c r="Y258" s="573">
        <f>Y259</f>
        <v>7696477.6200000001</v>
      </c>
      <c r="Z258" s="575">
        <f t="shared" si="259"/>
        <v>0.8976312333331562</v>
      </c>
      <c r="AA258" s="749">
        <v>0.8893585574916254</v>
      </c>
      <c r="AB258" s="575">
        <f t="shared" si="178"/>
        <v>8.2726758415307966E-3</v>
      </c>
      <c r="AC258" s="612">
        <f t="shared" si="250"/>
        <v>0.8976312333331562</v>
      </c>
      <c r="AD258" s="613">
        <f t="shared" si="267"/>
        <v>3964921.27</v>
      </c>
      <c r="AE258" s="17">
        <f t="shared" si="267"/>
        <v>0</v>
      </c>
      <c r="AF258" s="17">
        <f t="shared" si="267"/>
        <v>0</v>
      </c>
      <c r="AG258" s="17">
        <f t="shared" si="267"/>
        <v>0</v>
      </c>
      <c r="AH258" s="614">
        <f t="shared" si="267"/>
        <v>121.63</v>
      </c>
      <c r="AI258" s="499">
        <f t="shared" si="245"/>
        <v>3964799.64</v>
      </c>
      <c r="AJ258" s="322">
        <f t="shared" si="238"/>
        <v>3964921.27</v>
      </c>
      <c r="AK258" s="17">
        <f>AK259</f>
        <v>3964921.27</v>
      </c>
      <c r="AL258" s="575">
        <f t="shared" si="260"/>
        <v>0.46242415626733985</v>
      </c>
      <c r="AM258" s="575">
        <v>0.4515726104080881</v>
      </c>
      <c r="AN258" s="653">
        <f t="shared" si="182"/>
        <v>1.0851545859251743E-2</v>
      </c>
      <c r="AO258" s="740">
        <f t="shared" si="252"/>
        <v>0.46242415626733985</v>
      </c>
      <c r="AP258" s="750">
        <f>AP259</f>
        <v>963653.28</v>
      </c>
      <c r="AQ258" s="745">
        <f t="shared" si="263"/>
        <v>0.11238976125703869</v>
      </c>
      <c r="AR258" s="745">
        <v>0.11238976125703869</v>
      </c>
      <c r="AS258" s="800">
        <f t="shared" si="264"/>
        <v>0</v>
      </c>
      <c r="AT258" s="588"/>
      <c r="AU258" s="751"/>
      <c r="AV258" s="751"/>
      <c r="AW258" s="752"/>
      <c r="AY258" s="795"/>
    </row>
    <row r="259" spans="1:51" s="305" customFormat="1" ht="49.5">
      <c r="A259" s="327" t="s">
        <v>1324</v>
      </c>
      <c r="B259" s="328" t="s">
        <v>1325</v>
      </c>
      <c r="C259" s="329" t="s">
        <v>1202</v>
      </c>
      <c r="D259" s="329" t="s">
        <v>813</v>
      </c>
      <c r="E259" s="754">
        <v>12200000</v>
      </c>
      <c r="F259" s="594">
        <f>E259*$E$2</f>
        <v>8574208.7999999989</v>
      </c>
      <c r="G259" s="748">
        <v>12200000</v>
      </c>
      <c r="H259" s="22">
        <f>G259*$G$2</f>
        <v>8574208.7999999989</v>
      </c>
      <c r="I259" s="748">
        <v>12200000</v>
      </c>
      <c r="J259" s="331">
        <f>I259*$I$2</f>
        <v>8574208.7999999989</v>
      </c>
      <c r="K259" s="588" t="s">
        <v>885</v>
      </c>
      <c r="L259" s="588"/>
      <c r="M259" s="588"/>
      <c r="N259" s="331">
        <v>0</v>
      </c>
      <c r="O259" s="331">
        <v>0</v>
      </c>
      <c r="P259" s="331"/>
      <c r="Q259" s="317">
        <f t="shared" si="184"/>
        <v>8574208.7999999989</v>
      </c>
      <c r="R259" s="660">
        <f t="shared" si="246"/>
        <v>1</v>
      </c>
      <c r="S259" s="590">
        <v>5998607.9208000004</v>
      </c>
      <c r="T259" s="586">
        <v>7696477.6200000001</v>
      </c>
      <c r="U259" s="591">
        <f t="shared" si="195"/>
        <v>0.8976312333331562</v>
      </c>
      <c r="V259" s="592">
        <v>0.8893585574916254</v>
      </c>
      <c r="W259" s="591">
        <f t="shared" si="192"/>
        <v>8.2726758415307966E-3</v>
      </c>
      <c r="X259" s="593">
        <f t="shared" si="248"/>
        <v>0.8976312333331562</v>
      </c>
      <c r="Y259" s="594">
        <v>7696477.6200000001</v>
      </c>
      <c r="Z259" s="591">
        <f t="shared" si="259"/>
        <v>0.8976312333331562</v>
      </c>
      <c r="AA259" s="591">
        <v>0.8893585574916254</v>
      </c>
      <c r="AB259" s="591">
        <f t="shared" si="178"/>
        <v>8.2726758415307966E-3</v>
      </c>
      <c r="AC259" s="593">
        <f t="shared" si="250"/>
        <v>0.8976312333331562</v>
      </c>
      <c r="AD259" s="796">
        <v>3964921.27</v>
      </c>
      <c r="AE259" s="797">
        <v>0</v>
      </c>
      <c r="AF259" s="22">
        <v>0</v>
      </c>
      <c r="AG259" s="22">
        <v>0</v>
      </c>
      <c r="AH259" s="606">
        <v>121.63</v>
      </c>
      <c r="AI259" s="594">
        <f t="shared" si="245"/>
        <v>3964799.64</v>
      </c>
      <c r="AJ259" s="332">
        <f t="shared" ref="AJ259" si="268">AD259+AE259+AG259-AH259</f>
        <v>3964799.64</v>
      </c>
      <c r="AK259" s="624">
        <f>SUM(AD259:AF259)</f>
        <v>3964921.27</v>
      </c>
      <c r="AL259" s="591">
        <f t="shared" si="260"/>
        <v>0.46242415626733985</v>
      </c>
      <c r="AM259" s="591">
        <v>0.4515726104080881</v>
      </c>
      <c r="AN259" s="666">
        <f t="shared" si="182"/>
        <v>1.0851545859251743E-2</v>
      </c>
      <c r="AO259" s="744">
        <f t="shared" si="252"/>
        <v>0.46242415626733985</v>
      </c>
      <c r="AP259" s="798">
        <v>963653.28</v>
      </c>
      <c r="AQ259" s="799">
        <f t="shared" si="263"/>
        <v>0.11238976125703869</v>
      </c>
      <c r="AR259" s="799">
        <v>0.11238976125703869</v>
      </c>
      <c r="AS259" s="799">
        <f t="shared" si="264"/>
        <v>0</v>
      </c>
      <c r="AT259" s="331"/>
      <c r="AU259" s="745">
        <f>AT259/J259</f>
        <v>0</v>
      </c>
      <c r="AV259" s="745">
        <v>0</v>
      </c>
      <c r="AW259" s="746">
        <f>AU259-AV259</f>
        <v>0</v>
      </c>
      <c r="AY259" s="795"/>
    </row>
    <row r="260" spans="1:51" ht="18" thickBot="1">
      <c r="A260" s="1081" t="s">
        <v>1326</v>
      </c>
      <c r="B260" s="1081"/>
      <c r="C260" s="1081"/>
      <c r="D260" s="1081"/>
      <c r="E260" s="801"/>
      <c r="F260" s="802"/>
      <c r="G260" s="803"/>
      <c r="H260" s="804"/>
      <c r="I260" s="803"/>
      <c r="J260" s="805"/>
      <c r="K260" s="805"/>
      <c r="L260" s="805"/>
      <c r="M260" s="805"/>
      <c r="N260" s="805"/>
      <c r="O260" s="805"/>
      <c r="P260" s="805"/>
      <c r="Q260" s="805"/>
      <c r="R260" s="805"/>
      <c r="S260" s="806"/>
      <c r="T260" s="807"/>
      <c r="U260" s="808"/>
      <c r="V260" s="809"/>
      <c r="W260" s="810"/>
      <c r="X260" s="811"/>
      <c r="Y260" s="812"/>
      <c r="Z260" s="808"/>
      <c r="AA260" s="809"/>
      <c r="AB260" s="810"/>
      <c r="AC260" s="811"/>
      <c r="AD260" s="813"/>
      <c r="AE260" s="814"/>
      <c r="AF260" s="814"/>
      <c r="AG260" s="815"/>
      <c r="AH260" s="816"/>
      <c r="AI260" s="817"/>
      <c r="AJ260" s="818"/>
      <c r="AK260" s="819"/>
      <c r="AL260" s="808"/>
      <c r="AM260" s="808"/>
      <c r="AN260" s="810"/>
      <c r="AO260" s="811"/>
      <c r="AP260" s="820"/>
      <c r="AQ260" s="668"/>
      <c r="AR260" s="668"/>
      <c r="AS260" s="668"/>
      <c r="AT260" s="434"/>
      <c r="AU260" s="601"/>
      <c r="AV260" s="601"/>
      <c r="AW260" s="601"/>
      <c r="AY260" s="721"/>
    </row>
    <row r="261" spans="1:51" s="821" customFormat="1">
      <c r="B261" s="822"/>
      <c r="F261" s="823"/>
      <c r="J261" s="823"/>
      <c r="K261" s="823"/>
      <c r="L261" s="823"/>
      <c r="M261" s="823"/>
      <c r="N261" s="823"/>
      <c r="O261" s="823"/>
      <c r="P261" s="823"/>
      <c r="Q261" s="823"/>
      <c r="R261" s="823"/>
      <c r="S261" s="823"/>
      <c r="T261" s="824"/>
      <c r="U261" s="825"/>
      <c r="V261" s="825"/>
      <c r="W261" s="826"/>
      <c r="X261" s="825"/>
      <c r="Y261" s="824"/>
      <c r="Z261" s="825"/>
      <c r="AA261" s="825"/>
      <c r="AB261" s="827"/>
      <c r="AC261" s="825"/>
      <c r="AD261" s="825"/>
      <c r="AE261" s="825"/>
      <c r="AF261" s="825"/>
      <c r="AG261" s="825"/>
      <c r="AH261" s="825"/>
      <c r="AI261" s="825"/>
      <c r="AJ261" s="825"/>
      <c r="AK261" s="823"/>
      <c r="AL261" s="825"/>
      <c r="AM261" s="825"/>
      <c r="AN261" s="827"/>
      <c r="AO261" s="825"/>
      <c r="AP261" s="823"/>
      <c r="AQ261" s="825"/>
      <c r="AR261" s="825"/>
      <c r="AS261" s="825"/>
      <c r="AT261" s="823"/>
      <c r="AU261" s="825"/>
      <c r="AV261" s="825"/>
      <c r="AW261" s="825"/>
    </row>
    <row r="262" spans="1:51" s="821" customFormat="1" ht="20.25">
      <c r="A262" s="828" t="s">
        <v>1327</v>
      </c>
      <c r="B262" s="829"/>
      <c r="C262" s="830"/>
      <c r="D262" s="830"/>
      <c r="E262" s="830"/>
      <c r="F262" s="830"/>
      <c r="G262" s="830"/>
      <c r="H262" s="830"/>
      <c r="I262" s="830"/>
      <c r="J262" s="831"/>
      <c r="K262" s="831"/>
      <c r="L262" s="831"/>
      <c r="M262" s="831"/>
      <c r="N262" s="831"/>
      <c r="O262" s="831"/>
      <c r="P262" s="831"/>
      <c r="Q262" s="831"/>
      <c r="R262" s="831"/>
      <c r="S262" s="832"/>
      <c r="T262" s="833"/>
      <c r="U262" s="833"/>
      <c r="V262" s="833"/>
      <c r="W262" s="833"/>
      <c r="X262" s="833"/>
      <c r="Y262" s="833"/>
      <c r="Z262" s="834"/>
      <c r="AA262" s="834"/>
      <c r="AB262" s="835"/>
      <c r="AC262" s="834"/>
      <c r="AD262" s="834"/>
      <c r="AE262" s="834"/>
      <c r="AF262" s="834"/>
      <c r="AG262" s="834"/>
      <c r="AH262" s="834"/>
      <c r="AI262" s="834"/>
      <c r="AJ262" s="834"/>
      <c r="AK262" s="836"/>
      <c r="AL262" s="834"/>
      <c r="AM262" s="837"/>
      <c r="AN262" s="838"/>
      <c r="AO262" s="837"/>
      <c r="AP262" s="837"/>
      <c r="AQ262" s="837"/>
      <c r="AR262" s="837"/>
      <c r="AS262" s="837"/>
      <c r="AT262" s="837"/>
      <c r="AU262" s="837"/>
      <c r="AV262" s="837"/>
      <c r="AW262" s="837"/>
    </row>
    <row r="263" spans="1:51" s="821" customFormat="1" ht="33.75">
      <c r="A263" s="839">
        <v>2</v>
      </c>
      <c r="B263" s="829" t="s">
        <v>1328</v>
      </c>
      <c r="C263" s="830"/>
      <c r="D263" s="830"/>
      <c r="E263" s="830"/>
      <c r="F263" s="830"/>
      <c r="G263" s="830"/>
      <c r="H263" s="830"/>
      <c r="I263" s="830"/>
      <c r="J263" s="831"/>
      <c r="K263" s="831"/>
      <c r="L263" s="831"/>
      <c r="M263" s="831"/>
      <c r="N263" s="831"/>
      <c r="O263" s="831"/>
      <c r="P263" s="831"/>
      <c r="Q263" s="831"/>
      <c r="R263" s="831"/>
      <c r="S263" s="840"/>
      <c r="T263" s="833"/>
      <c r="U263" s="841"/>
      <c r="V263" s="841"/>
      <c r="W263" s="835"/>
      <c r="X263" s="834"/>
      <c r="Y263" s="833"/>
      <c r="Z263" s="834"/>
      <c r="AA263" s="834"/>
      <c r="AB263" s="835"/>
      <c r="AC263" s="834"/>
      <c r="AD263" s="842"/>
      <c r="AE263" s="834"/>
      <c r="AF263" s="834"/>
      <c r="AG263" s="834"/>
      <c r="AH263" s="834"/>
      <c r="AI263" s="834"/>
      <c r="AJ263" s="834"/>
      <c r="AK263" s="836"/>
      <c r="AL263" s="834"/>
      <c r="AM263" s="837"/>
      <c r="AN263" s="838"/>
      <c r="AO263" s="837"/>
      <c r="AP263" s="837"/>
      <c r="AQ263" s="837"/>
      <c r="AR263" s="837"/>
      <c r="AS263" s="837"/>
      <c r="AT263" s="837"/>
      <c r="AU263" s="837"/>
      <c r="AV263" s="837"/>
      <c r="AW263" s="837"/>
    </row>
    <row r="264" spans="1:51" s="821" customFormat="1">
      <c r="A264" s="828"/>
      <c r="B264" s="829" t="s">
        <v>1329</v>
      </c>
      <c r="C264" s="830"/>
      <c r="D264" s="830"/>
      <c r="E264" s="830"/>
      <c r="F264" s="830"/>
      <c r="G264" s="830"/>
      <c r="H264" s="830"/>
      <c r="I264" s="830"/>
      <c r="J264" s="831"/>
      <c r="K264" s="831"/>
      <c r="L264" s="831"/>
      <c r="M264" s="831"/>
      <c r="N264" s="831"/>
      <c r="O264" s="831"/>
      <c r="P264" s="831"/>
      <c r="Q264" s="831"/>
      <c r="R264" s="831"/>
      <c r="S264" s="840"/>
      <c r="T264" s="833"/>
      <c r="U264" s="841"/>
      <c r="V264" s="841"/>
      <c r="W264" s="835"/>
      <c r="X264" s="834"/>
      <c r="Y264" s="833"/>
      <c r="Z264" s="834"/>
      <c r="AA264" s="834"/>
      <c r="AB264" s="835"/>
      <c r="AC264" s="834"/>
      <c r="AD264" s="834"/>
      <c r="AE264" s="834"/>
      <c r="AF264" s="834"/>
      <c r="AG264" s="834"/>
      <c r="AH264" s="834"/>
      <c r="AI264" s="834"/>
      <c r="AJ264" s="834"/>
      <c r="AK264" s="836"/>
      <c r="AL264" s="834"/>
      <c r="AM264" s="837"/>
      <c r="AN264" s="838"/>
      <c r="AO264" s="837"/>
      <c r="AP264" s="837"/>
      <c r="AQ264" s="837"/>
      <c r="AR264" s="837"/>
      <c r="AS264" s="837"/>
      <c r="AT264" s="837"/>
      <c r="AU264" s="837"/>
      <c r="AV264" s="837"/>
      <c r="AW264" s="837"/>
    </row>
    <row r="265" spans="1:51" s="821" customFormat="1">
      <c r="A265" s="828"/>
      <c r="B265" s="829" t="s">
        <v>1330</v>
      </c>
      <c r="C265" s="830"/>
      <c r="D265" s="830"/>
      <c r="E265" s="830"/>
      <c r="F265" s="830"/>
      <c r="G265" s="830"/>
      <c r="H265" s="830"/>
      <c r="I265" s="830"/>
      <c r="J265" s="831"/>
      <c r="K265" s="831"/>
      <c r="L265" s="831"/>
      <c r="M265" s="831"/>
      <c r="N265" s="831"/>
      <c r="O265" s="831"/>
      <c r="P265" s="831"/>
      <c r="Q265" s="831"/>
      <c r="R265" s="831"/>
      <c r="S265" s="840"/>
      <c r="T265" s="833"/>
      <c r="U265" s="841"/>
      <c r="V265" s="841"/>
      <c r="W265" s="835"/>
      <c r="X265" s="834"/>
      <c r="Y265" s="833"/>
      <c r="Z265" s="834"/>
      <c r="AA265" s="834"/>
      <c r="AB265" s="835"/>
      <c r="AC265" s="834"/>
      <c r="AD265" s="834"/>
      <c r="AE265" s="834"/>
      <c r="AF265" s="834"/>
      <c r="AG265" s="834"/>
      <c r="AH265" s="834"/>
      <c r="AI265" s="834"/>
      <c r="AJ265" s="834"/>
      <c r="AK265" s="836"/>
      <c r="AL265" s="834"/>
      <c r="AM265" s="837"/>
      <c r="AN265" s="838"/>
      <c r="AO265" s="837"/>
      <c r="AP265" s="837"/>
      <c r="AQ265" s="837"/>
      <c r="AR265" s="837"/>
      <c r="AS265" s="837"/>
      <c r="AT265" s="837"/>
      <c r="AU265" s="837"/>
      <c r="AV265" s="837"/>
      <c r="AW265" s="837"/>
    </row>
    <row r="266" spans="1:51" s="821" customFormat="1">
      <c r="A266" s="828"/>
      <c r="B266" s="829" t="s">
        <v>1331</v>
      </c>
      <c r="C266" s="830"/>
      <c r="D266" s="830"/>
      <c r="E266" s="830"/>
      <c r="F266" s="830"/>
      <c r="G266" s="830"/>
      <c r="H266" s="830"/>
      <c r="I266" s="830"/>
      <c r="J266" s="831"/>
      <c r="K266" s="831"/>
      <c r="L266" s="831"/>
      <c r="M266" s="831"/>
      <c r="N266" s="831"/>
      <c r="O266" s="831"/>
      <c r="P266" s="831"/>
      <c r="Q266" s="831"/>
      <c r="R266" s="831"/>
      <c r="S266" s="831"/>
      <c r="T266" s="833"/>
      <c r="U266" s="841"/>
      <c r="V266" s="841"/>
      <c r="W266" s="835"/>
      <c r="X266" s="834"/>
      <c r="Y266" s="833"/>
      <c r="Z266" s="834"/>
      <c r="AA266" s="834"/>
      <c r="AB266" s="835"/>
      <c r="AC266" s="834"/>
      <c r="AD266" s="834"/>
      <c r="AE266" s="834"/>
      <c r="AF266" s="834"/>
      <c r="AG266" s="834"/>
      <c r="AH266" s="834"/>
      <c r="AI266" s="834"/>
      <c r="AJ266" s="834"/>
      <c r="AK266" s="836"/>
      <c r="AL266" s="834"/>
      <c r="AM266" s="837"/>
      <c r="AN266" s="838"/>
      <c r="AO266" s="837"/>
      <c r="AP266" s="837"/>
      <c r="AQ266" s="837"/>
      <c r="AR266" s="837"/>
      <c r="AS266" s="837"/>
      <c r="AT266" s="837"/>
      <c r="AU266" s="837"/>
      <c r="AV266" s="837"/>
      <c r="AW266" s="837"/>
    </row>
    <row r="267" spans="1:51" s="821" customFormat="1" ht="50.25">
      <c r="A267" s="828"/>
      <c r="B267" s="829" t="s">
        <v>1332</v>
      </c>
      <c r="C267" s="830"/>
      <c r="D267" s="830"/>
      <c r="E267" s="830"/>
      <c r="F267" s="830"/>
      <c r="G267" s="830"/>
      <c r="H267" s="830"/>
      <c r="I267" s="830"/>
      <c r="J267" s="831"/>
      <c r="K267" s="831"/>
      <c r="L267" s="831"/>
      <c r="M267" s="831"/>
      <c r="N267" s="831"/>
      <c r="O267" s="831"/>
      <c r="P267" s="831"/>
      <c r="Q267" s="831"/>
      <c r="R267" s="831"/>
      <c r="S267" s="831"/>
      <c r="T267" s="833"/>
      <c r="U267" s="841"/>
      <c r="V267" s="841"/>
      <c r="W267" s="835"/>
      <c r="X267" s="834"/>
      <c r="Y267" s="833"/>
      <c r="Z267" s="834"/>
      <c r="AA267" s="834"/>
      <c r="AB267" s="835"/>
      <c r="AC267" s="834"/>
      <c r="AD267" s="834"/>
      <c r="AE267" s="834"/>
      <c r="AF267" s="834"/>
      <c r="AG267" s="834"/>
      <c r="AH267" s="834"/>
      <c r="AI267" s="834"/>
      <c r="AJ267" s="834"/>
      <c r="AK267" s="836"/>
      <c r="AL267" s="834"/>
      <c r="AM267" s="837"/>
      <c r="AN267" s="838"/>
      <c r="AO267" s="837"/>
      <c r="AP267" s="837"/>
      <c r="AQ267" s="837"/>
      <c r="AR267" s="837"/>
      <c r="AS267" s="837"/>
      <c r="AT267" s="837"/>
      <c r="AU267" s="837"/>
      <c r="AV267" s="837"/>
      <c r="AW267" s="837"/>
    </row>
    <row r="268" spans="1:51" s="821" customFormat="1">
      <c r="A268" s="828"/>
      <c r="B268" s="829" t="s">
        <v>1333</v>
      </c>
      <c r="C268" s="830"/>
      <c r="D268" s="830"/>
      <c r="E268" s="830"/>
      <c r="F268" s="830"/>
      <c r="G268" s="830"/>
      <c r="H268" s="830"/>
      <c r="I268" s="830"/>
      <c r="J268" s="831"/>
      <c r="K268" s="831"/>
      <c r="L268" s="831"/>
      <c r="M268" s="831"/>
      <c r="N268" s="831"/>
      <c r="O268" s="831"/>
      <c r="P268" s="831"/>
      <c r="Q268" s="831"/>
      <c r="R268" s="831"/>
      <c r="S268" s="831"/>
      <c r="T268" s="833"/>
      <c r="U268" s="843"/>
      <c r="V268" s="843"/>
      <c r="W268" s="833"/>
      <c r="X268" s="843"/>
      <c r="Y268" s="833"/>
      <c r="Z268" s="843"/>
      <c r="AA268" s="843"/>
      <c r="AB268" s="833"/>
      <c r="AC268" s="843"/>
      <c r="AD268" s="843"/>
      <c r="AE268" s="843"/>
      <c r="AF268" s="843"/>
      <c r="AG268" s="843"/>
      <c r="AH268" s="843"/>
      <c r="AI268" s="843"/>
      <c r="AJ268" s="843"/>
      <c r="AK268" s="843"/>
      <c r="AL268" s="834"/>
      <c r="AM268" s="837"/>
      <c r="AN268" s="838"/>
      <c r="AO268" s="837"/>
      <c r="AP268" s="837"/>
      <c r="AQ268" s="837"/>
      <c r="AR268" s="837"/>
      <c r="AS268" s="837"/>
      <c r="AT268" s="837"/>
      <c r="AU268" s="837"/>
      <c r="AV268" s="837"/>
      <c r="AW268" s="837"/>
    </row>
    <row r="269" spans="1:51" s="821" customFormat="1">
      <c r="A269" s="828"/>
      <c r="B269" s="829" t="s">
        <v>1334</v>
      </c>
      <c r="C269" s="830"/>
      <c r="D269" s="830"/>
      <c r="E269" s="830"/>
      <c r="F269" s="830"/>
      <c r="G269" s="830"/>
      <c r="H269" s="830"/>
      <c r="I269" s="830"/>
      <c r="J269" s="831"/>
      <c r="K269" s="831"/>
      <c r="L269" s="831"/>
      <c r="M269" s="831"/>
      <c r="N269" s="831"/>
      <c r="O269" s="831"/>
      <c r="P269" s="831"/>
      <c r="Q269" s="831"/>
      <c r="R269" s="831"/>
      <c r="S269" s="831"/>
      <c r="T269" s="833"/>
      <c r="U269" s="841"/>
      <c r="V269" s="841"/>
      <c r="W269" s="835"/>
      <c r="X269" s="834"/>
      <c r="Y269" s="833"/>
      <c r="Z269" s="834"/>
      <c r="AA269" s="834"/>
      <c r="AB269" s="835"/>
      <c r="AC269" s="834"/>
      <c r="AD269" s="834"/>
      <c r="AE269" s="834"/>
      <c r="AF269" s="834"/>
      <c r="AG269" s="834"/>
      <c r="AH269" s="834"/>
      <c r="AI269" s="834"/>
      <c r="AJ269" s="834"/>
      <c r="AK269" s="836"/>
      <c r="AL269" s="834"/>
      <c r="AM269" s="837"/>
      <c r="AN269" s="838"/>
      <c r="AO269" s="837"/>
      <c r="AP269" s="837"/>
      <c r="AQ269" s="837"/>
      <c r="AR269" s="837"/>
      <c r="AS269" s="837"/>
      <c r="AT269" s="837"/>
      <c r="AU269" s="837"/>
      <c r="AV269" s="837"/>
      <c r="AW269" s="837"/>
    </row>
    <row r="270" spans="1:51" s="821" customFormat="1">
      <c r="A270" s="828"/>
      <c r="B270" s="829" t="s">
        <v>1335</v>
      </c>
      <c r="C270" s="830"/>
      <c r="D270" s="830"/>
      <c r="E270" s="830"/>
      <c r="F270" s="830"/>
      <c r="G270" s="830"/>
      <c r="H270" s="830"/>
      <c r="I270" s="830"/>
      <c r="J270" s="831"/>
      <c r="K270" s="831"/>
      <c r="L270" s="831"/>
      <c r="M270" s="831"/>
      <c r="N270" s="831"/>
      <c r="O270" s="831"/>
      <c r="P270" s="831"/>
      <c r="Q270" s="831"/>
      <c r="R270" s="831"/>
      <c r="S270" s="831"/>
      <c r="T270" s="833"/>
      <c r="U270" s="841"/>
      <c r="V270" s="841"/>
      <c r="W270" s="835"/>
      <c r="X270" s="834"/>
      <c r="Y270" s="833"/>
      <c r="Z270" s="834"/>
      <c r="AA270" s="834"/>
      <c r="AB270" s="835"/>
      <c r="AC270" s="834"/>
      <c r="AD270" s="834"/>
      <c r="AE270" s="834"/>
      <c r="AF270" s="834"/>
      <c r="AG270" s="834"/>
      <c r="AH270" s="834"/>
      <c r="AI270" s="834"/>
      <c r="AJ270" s="834"/>
      <c r="AK270" s="836"/>
      <c r="AL270" s="834"/>
      <c r="AM270" s="837"/>
      <c r="AN270" s="838"/>
      <c r="AO270" s="837"/>
      <c r="AP270" s="837"/>
      <c r="AQ270" s="837"/>
      <c r="AR270" s="837"/>
      <c r="AS270" s="837"/>
      <c r="AT270" s="837"/>
      <c r="AU270" s="837"/>
      <c r="AV270" s="837"/>
      <c r="AW270" s="837"/>
    </row>
    <row r="271" spans="1:51" s="821" customFormat="1">
      <c r="A271" s="1082" t="s">
        <v>1336</v>
      </c>
      <c r="B271" s="1082"/>
      <c r="C271" s="1082"/>
      <c r="D271" s="1082"/>
      <c r="E271" s="1082"/>
      <c r="F271" s="1082"/>
      <c r="G271" s="1082"/>
      <c r="H271" s="1082"/>
      <c r="I271" s="1082"/>
      <c r="J271" s="1082"/>
      <c r="K271" s="1082"/>
      <c r="L271" s="1082"/>
      <c r="M271" s="1082"/>
      <c r="N271" s="1082"/>
      <c r="O271" s="1082"/>
      <c r="P271" s="1082"/>
      <c r="Q271" s="1082"/>
      <c r="R271" s="1082"/>
      <c r="S271" s="1082"/>
      <c r="T271" s="1082"/>
      <c r="U271" s="1082"/>
      <c r="V271" s="1082"/>
      <c r="W271" s="1082"/>
      <c r="X271" s="1082"/>
      <c r="Y271" s="1082"/>
      <c r="Z271" s="1082"/>
      <c r="AA271" s="1082"/>
      <c r="AB271" s="1082"/>
      <c r="AC271" s="1082"/>
      <c r="AD271" s="1082"/>
      <c r="AE271" s="1082"/>
      <c r="AF271" s="1082"/>
      <c r="AG271" s="1082"/>
      <c r="AH271" s="1082"/>
      <c r="AI271" s="1082"/>
      <c r="AJ271" s="1082"/>
      <c r="AK271" s="1082"/>
      <c r="AL271" s="1082"/>
      <c r="AM271" s="1082"/>
      <c r="AN271" s="1082"/>
      <c r="AO271" s="844"/>
      <c r="AP271" s="845"/>
      <c r="AQ271" s="845"/>
      <c r="AR271" s="837"/>
      <c r="AS271" s="837"/>
      <c r="AT271" s="837"/>
      <c r="AU271" s="837"/>
      <c r="AV271" s="837"/>
      <c r="AW271" s="837"/>
    </row>
    <row r="272" spans="1:51" s="821" customFormat="1">
      <c r="A272" s="1082" t="s">
        <v>1337</v>
      </c>
      <c r="B272" s="1082"/>
      <c r="C272" s="1082"/>
      <c r="D272" s="1082"/>
      <c r="E272" s="1082"/>
      <c r="F272" s="1082"/>
      <c r="G272" s="1082"/>
      <c r="H272" s="1082"/>
      <c r="I272" s="1082"/>
      <c r="J272" s="1082"/>
      <c r="K272" s="1082"/>
      <c r="L272" s="1082"/>
      <c r="M272" s="1082"/>
      <c r="N272" s="1082"/>
      <c r="O272" s="1082"/>
      <c r="P272" s="1082"/>
      <c r="Q272" s="1082"/>
      <c r="R272" s="1082"/>
      <c r="S272" s="1082"/>
      <c r="T272" s="1082"/>
      <c r="U272" s="1082"/>
      <c r="V272" s="1082"/>
      <c r="W272" s="1082"/>
      <c r="X272" s="1082"/>
      <c r="Y272" s="1082"/>
      <c r="Z272" s="1082"/>
      <c r="AA272" s="1082"/>
      <c r="AB272" s="1082"/>
      <c r="AC272" s="1082"/>
      <c r="AD272" s="1082"/>
      <c r="AE272" s="1082"/>
      <c r="AF272" s="1082"/>
      <c r="AG272" s="1082"/>
      <c r="AH272" s="1082"/>
      <c r="AI272" s="1082"/>
      <c r="AJ272" s="1082"/>
      <c r="AK272" s="1082"/>
      <c r="AL272" s="1082"/>
      <c r="AM272" s="1082"/>
      <c r="AN272" s="1082"/>
      <c r="AO272" s="844"/>
      <c r="AP272" s="846"/>
      <c r="AQ272" s="846"/>
      <c r="AR272" s="846"/>
      <c r="AS272" s="846"/>
      <c r="AT272" s="846"/>
      <c r="AU272" s="846"/>
      <c r="AV272" s="846"/>
      <c r="AW272" s="846"/>
    </row>
    <row r="273" spans="1:49" s="821" customFormat="1">
      <c r="B273" s="846"/>
      <c r="C273" s="846"/>
      <c r="D273" s="846"/>
      <c r="E273" s="846"/>
      <c r="F273" s="846"/>
      <c r="G273" s="846"/>
      <c r="H273" s="846"/>
      <c r="I273" s="846"/>
      <c r="J273" s="846"/>
      <c r="K273" s="846"/>
      <c r="L273" s="846"/>
      <c r="M273" s="846"/>
      <c r="N273" s="846"/>
      <c r="O273" s="846"/>
      <c r="P273" s="846"/>
      <c r="Q273" s="846"/>
      <c r="R273" s="846"/>
      <c r="S273" s="846"/>
      <c r="T273" s="847"/>
      <c r="U273" s="846"/>
      <c r="V273" s="846"/>
      <c r="W273" s="847"/>
      <c r="X273" s="846"/>
      <c r="Y273" s="847"/>
      <c r="Z273" s="846"/>
      <c r="AA273" s="846"/>
      <c r="AB273" s="847"/>
      <c r="AC273" s="846"/>
      <c r="AD273" s="846"/>
      <c r="AE273" s="846"/>
      <c r="AF273" s="846"/>
      <c r="AG273" s="846"/>
      <c r="AH273" s="846"/>
      <c r="AI273" s="846"/>
      <c r="AJ273" s="846"/>
      <c r="AK273" s="846"/>
      <c r="AL273" s="846"/>
      <c r="AM273" s="846"/>
      <c r="AN273" s="847"/>
      <c r="AO273" s="846"/>
      <c r="AP273" s="846"/>
      <c r="AQ273" s="846"/>
      <c r="AR273" s="846"/>
      <c r="AS273" s="846"/>
      <c r="AT273" s="846"/>
      <c r="AU273" s="846"/>
      <c r="AV273" s="846"/>
      <c r="AW273" s="846"/>
    </row>
    <row r="274" spans="1:49" s="821" customFormat="1">
      <c r="W274" s="848"/>
      <c r="AB274" s="848"/>
      <c r="AN274" s="848"/>
      <c r="AO274" s="844"/>
      <c r="AP274" s="846"/>
      <c r="AQ274" s="846"/>
      <c r="AR274" s="846"/>
      <c r="AS274" s="846"/>
      <c r="AT274" s="846"/>
      <c r="AU274" s="846"/>
      <c r="AV274" s="846"/>
      <c r="AW274" s="846"/>
    </row>
    <row r="275" spans="1:49" s="821" customFormat="1">
      <c r="A275" s="1080" t="s">
        <v>1338</v>
      </c>
      <c r="B275" s="1080"/>
      <c r="C275" s="1080"/>
      <c r="D275" s="1080"/>
      <c r="E275" s="1080"/>
      <c r="F275" s="1080"/>
      <c r="G275" s="1080"/>
      <c r="H275" s="1080"/>
      <c r="I275" s="1080"/>
      <c r="J275" s="1080"/>
      <c r="K275" s="1080"/>
      <c r="L275" s="1080"/>
      <c r="M275" s="1080"/>
      <c r="N275" s="1080"/>
      <c r="O275" s="1080"/>
      <c r="P275" s="1080"/>
      <c r="Q275" s="1080"/>
      <c r="R275" s="1080"/>
      <c r="S275" s="1080"/>
      <c r="T275" s="1080"/>
      <c r="U275" s="1080"/>
      <c r="V275" s="1080"/>
      <c r="W275" s="1080"/>
      <c r="X275" s="1080"/>
      <c r="Y275" s="1080"/>
      <c r="Z275" s="1080"/>
      <c r="AA275" s="1080"/>
      <c r="AB275" s="1080"/>
      <c r="AC275" s="1080"/>
      <c r="AD275" s="1080"/>
      <c r="AE275" s="1080"/>
      <c r="AF275" s="1080"/>
      <c r="AG275" s="1080"/>
      <c r="AH275" s="1080"/>
      <c r="AI275" s="1080"/>
      <c r="AJ275" s="1080"/>
      <c r="AK275" s="1080"/>
      <c r="AL275" s="1080"/>
      <c r="AM275" s="1080"/>
      <c r="AN275" s="1080"/>
      <c r="AO275" s="849"/>
      <c r="AP275" s="847"/>
      <c r="AQ275" s="846"/>
      <c r="AR275" s="846"/>
      <c r="AS275" s="846"/>
      <c r="AT275" s="846"/>
      <c r="AU275" s="846"/>
      <c r="AV275" s="846"/>
      <c r="AW275" s="846"/>
    </row>
    <row r="276" spans="1:49" s="821" customFormat="1">
      <c r="A276" s="1080" t="s">
        <v>1339</v>
      </c>
      <c r="B276" s="1080"/>
      <c r="C276" s="1080"/>
      <c r="D276" s="1080"/>
      <c r="E276" s="1080"/>
      <c r="F276" s="1080"/>
      <c r="G276" s="1080"/>
      <c r="H276" s="1080"/>
      <c r="I276" s="1080"/>
      <c r="J276" s="1080"/>
      <c r="K276" s="1080"/>
      <c r="L276" s="1080"/>
      <c r="M276" s="1080"/>
      <c r="N276" s="1080"/>
      <c r="O276" s="1080"/>
      <c r="P276" s="1080"/>
      <c r="Q276" s="1080"/>
      <c r="R276" s="1080"/>
      <c r="S276" s="1080"/>
      <c r="T276" s="1080"/>
      <c r="U276" s="1080"/>
      <c r="V276" s="1080"/>
      <c r="W276" s="1080"/>
      <c r="X276" s="1080"/>
      <c r="Y276" s="1080"/>
      <c r="Z276" s="1080"/>
      <c r="AA276" s="1080"/>
      <c r="AB276" s="1080"/>
      <c r="AC276" s="1080"/>
      <c r="AD276" s="1080"/>
      <c r="AE276" s="1080"/>
      <c r="AF276" s="1080"/>
      <c r="AG276" s="1080"/>
      <c r="AH276" s="1080"/>
      <c r="AI276" s="1080"/>
      <c r="AJ276" s="1080"/>
      <c r="AK276" s="1080"/>
      <c r="AL276" s="1080"/>
      <c r="AM276" s="1080"/>
      <c r="AN276" s="1080"/>
      <c r="AO276" s="1080"/>
      <c r="AP276" s="1080"/>
      <c r="AQ276" s="846"/>
      <c r="AR276" s="846"/>
      <c r="AS276" s="846"/>
      <c r="AT276" s="846"/>
      <c r="AU276" s="846"/>
      <c r="AV276" s="846"/>
      <c r="AW276" s="846"/>
    </row>
    <row r="277" spans="1:49" s="821" customFormat="1">
      <c r="A277" s="1080" t="s">
        <v>1340</v>
      </c>
      <c r="B277" s="1083"/>
      <c r="C277" s="1083"/>
      <c r="D277" s="1083"/>
      <c r="E277" s="1083"/>
      <c r="F277" s="1083"/>
      <c r="G277" s="1083"/>
      <c r="H277" s="1083"/>
      <c r="I277" s="1083"/>
      <c r="J277" s="1083"/>
      <c r="K277" s="1083"/>
      <c r="L277" s="1083"/>
      <c r="M277" s="1083"/>
      <c r="N277" s="1083"/>
      <c r="O277" s="1083"/>
      <c r="P277" s="1083"/>
      <c r="Q277" s="1083"/>
      <c r="R277" s="1083"/>
      <c r="S277" s="1083"/>
      <c r="T277" s="1083"/>
      <c r="U277" s="1083"/>
      <c r="V277" s="1083"/>
      <c r="W277" s="1083"/>
      <c r="X277" s="1083"/>
      <c r="Y277" s="1083"/>
      <c r="Z277" s="1083"/>
      <c r="AA277" s="1083"/>
      <c r="AB277" s="1083"/>
      <c r="AC277" s="1083"/>
      <c r="AD277" s="1083"/>
      <c r="AE277" s="1083"/>
      <c r="AF277" s="849"/>
      <c r="AG277" s="849"/>
      <c r="AH277" s="849"/>
      <c r="AI277" s="849"/>
      <c r="AJ277" s="849"/>
      <c r="AK277" s="849"/>
      <c r="AL277" s="849"/>
      <c r="AM277" s="849"/>
      <c r="AN277" s="849"/>
      <c r="AO277" s="849"/>
      <c r="AP277" s="847"/>
      <c r="AQ277" s="846"/>
      <c r="AR277" s="846"/>
      <c r="AS277" s="846"/>
      <c r="AT277" s="846"/>
      <c r="AU277" s="846"/>
      <c r="AV277" s="846"/>
      <c r="AW277" s="846"/>
    </row>
    <row r="278" spans="1:49" s="821" customFormat="1">
      <c r="A278" s="1084" t="s">
        <v>1341</v>
      </c>
      <c r="B278" s="1084"/>
      <c r="C278" s="1084"/>
      <c r="D278" s="1084"/>
      <c r="E278" s="1084"/>
      <c r="F278" s="1084"/>
      <c r="G278" s="1084"/>
      <c r="H278" s="1084"/>
      <c r="I278" s="1084"/>
      <c r="J278" s="1084"/>
      <c r="K278" s="1084"/>
      <c r="L278" s="1084"/>
      <c r="M278" s="1084"/>
      <c r="N278" s="1084"/>
      <c r="O278" s="1084"/>
      <c r="P278" s="1084"/>
      <c r="Q278" s="1084"/>
      <c r="R278" s="1084"/>
      <c r="S278" s="1084"/>
      <c r="T278" s="1084"/>
      <c r="U278" s="1084"/>
      <c r="V278" s="1084"/>
      <c r="W278" s="1084"/>
      <c r="X278" s="1084"/>
      <c r="Y278" s="1084"/>
      <c r="Z278" s="1084"/>
      <c r="AA278" s="1084"/>
      <c r="AB278" s="1084"/>
      <c r="AC278" s="1084"/>
      <c r="AD278" s="1084"/>
      <c r="AE278" s="1084"/>
      <c r="AF278" s="849"/>
      <c r="AG278" s="849"/>
      <c r="AH278" s="849"/>
      <c r="AI278" s="849"/>
      <c r="AJ278" s="849"/>
      <c r="AK278" s="849"/>
      <c r="AL278" s="849"/>
      <c r="AM278" s="849"/>
      <c r="AN278" s="849"/>
      <c r="AO278" s="849"/>
      <c r="AP278" s="847"/>
      <c r="AQ278" s="846"/>
      <c r="AR278" s="846"/>
      <c r="AS278" s="846"/>
      <c r="AT278" s="846"/>
      <c r="AU278" s="846"/>
      <c r="AV278" s="846"/>
      <c r="AW278" s="846"/>
    </row>
    <row r="279" spans="1:49" s="821" customFormat="1">
      <c r="A279" s="1084" t="s">
        <v>1342</v>
      </c>
      <c r="B279" s="1084"/>
      <c r="C279" s="1084"/>
      <c r="D279" s="1084"/>
      <c r="E279" s="1084"/>
      <c r="F279" s="1084"/>
      <c r="G279" s="1084"/>
      <c r="H279" s="1084"/>
      <c r="I279" s="1084"/>
      <c r="J279" s="1084"/>
      <c r="K279" s="1084"/>
      <c r="L279" s="1084"/>
      <c r="M279" s="1084"/>
      <c r="N279" s="1084"/>
      <c r="O279" s="1084"/>
      <c r="P279" s="1084"/>
      <c r="Q279" s="1084"/>
      <c r="R279" s="1084"/>
      <c r="S279" s="1084"/>
      <c r="T279" s="1084"/>
      <c r="U279" s="1084"/>
      <c r="V279" s="1084"/>
      <c r="W279" s="1084"/>
      <c r="X279" s="1084"/>
      <c r="Y279" s="847"/>
      <c r="Z279" s="847"/>
      <c r="AA279" s="847"/>
      <c r="AB279" s="847"/>
      <c r="AC279" s="847"/>
      <c r="AD279" s="847"/>
      <c r="AE279" s="847"/>
      <c r="AF279" s="849"/>
      <c r="AG279" s="849"/>
      <c r="AH279" s="849"/>
      <c r="AI279" s="849"/>
      <c r="AJ279" s="849"/>
      <c r="AK279" s="849"/>
      <c r="AL279" s="849"/>
      <c r="AM279" s="849"/>
      <c r="AN279" s="849"/>
      <c r="AO279" s="849"/>
      <c r="AP279" s="847"/>
      <c r="AQ279" s="846"/>
      <c r="AR279" s="846"/>
      <c r="AS279" s="846"/>
      <c r="AT279" s="846"/>
      <c r="AU279" s="846"/>
      <c r="AV279" s="846"/>
      <c r="AW279" s="846"/>
    </row>
    <row r="280" spans="1:49" s="821" customFormat="1">
      <c r="A280" s="1084" t="s">
        <v>1343</v>
      </c>
      <c r="B280" s="1084"/>
      <c r="C280" s="1084"/>
      <c r="D280" s="1084"/>
      <c r="E280" s="1084"/>
      <c r="F280" s="1084"/>
      <c r="G280" s="1084"/>
      <c r="H280" s="1084"/>
      <c r="I280" s="1084"/>
      <c r="J280" s="1084"/>
      <c r="K280" s="1084"/>
      <c r="L280" s="1084"/>
      <c r="M280" s="1084"/>
      <c r="N280" s="1084"/>
      <c r="O280" s="1084"/>
      <c r="P280" s="1084"/>
      <c r="Q280" s="1084"/>
      <c r="R280" s="1084"/>
      <c r="S280" s="1084"/>
      <c r="T280" s="1084"/>
      <c r="U280" s="1084"/>
      <c r="V280" s="1084"/>
      <c r="W280" s="1084"/>
      <c r="X280" s="1084"/>
      <c r="Y280" s="1084"/>
      <c r="Z280" s="847"/>
      <c r="AA280" s="847"/>
      <c r="AB280" s="847"/>
      <c r="AC280" s="847"/>
      <c r="AD280" s="847"/>
      <c r="AE280" s="847"/>
      <c r="AF280" s="849"/>
      <c r="AG280" s="849"/>
      <c r="AH280" s="849"/>
      <c r="AI280" s="849"/>
      <c r="AJ280" s="849"/>
      <c r="AK280" s="849"/>
      <c r="AL280" s="849"/>
      <c r="AM280" s="849"/>
      <c r="AN280" s="849"/>
      <c r="AO280" s="849"/>
      <c r="AP280" s="847"/>
      <c r="AQ280" s="846"/>
      <c r="AR280" s="846"/>
      <c r="AS280" s="846"/>
      <c r="AT280" s="846"/>
      <c r="AU280" s="846"/>
      <c r="AV280" s="846"/>
      <c r="AW280" s="846"/>
    </row>
    <row r="281" spans="1:49" s="821" customFormat="1">
      <c r="A281" s="847"/>
      <c r="B281" s="847"/>
      <c r="C281" s="847"/>
      <c r="D281" s="847"/>
      <c r="E281" s="847"/>
      <c r="F281" s="847"/>
      <c r="G281" s="847"/>
      <c r="H281" s="847"/>
      <c r="I281" s="847"/>
      <c r="J281" s="847"/>
      <c r="K281" s="847"/>
      <c r="L281" s="847"/>
      <c r="M281" s="847"/>
      <c r="N281" s="847"/>
      <c r="O281" s="847"/>
      <c r="P281" s="847"/>
      <c r="Q281" s="847"/>
      <c r="R281" s="847"/>
      <c r="S281" s="847"/>
      <c r="T281" s="847"/>
      <c r="U281" s="847"/>
      <c r="V281" s="847"/>
      <c r="W281" s="847"/>
      <c r="X281" s="847"/>
      <c r="Y281" s="847"/>
      <c r="Z281" s="847"/>
      <c r="AA281" s="847"/>
      <c r="AB281" s="847"/>
      <c r="AC281" s="847"/>
      <c r="AD281" s="847"/>
      <c r="AE281" s="847"/>
      <c r="AF281" s="849"/>
      <c r="AG281" s="849"/>
      <c r="AH281" s="849"/>
      <c r="AI281" s="849"/>
      <c r="AJ281" s="849"/>
      <c r="AK281" s="849"/>
      <c r="AL281" s="849"/>
      <c r="AM281" s="849"/>
      <c r="AN281" s="849"/>
      <c r="AO281" s="849"/>
      <c r="AP281" s="847"/>
      <c r="AQ281" s="846"/>
      <c r="AR281" s="846"/>
      <c r="AS281" s="846"/>
      <c r="AT281" s="846"/>
      <c r="AU281" s="846"/>
      <c r="AV281" s="846"/>
      <c r="AW281" s="846"/>
    </row>
    <row r="282" spans="1:49" s="821" customFormat="1">
      <c r="A282" s="1080"/>
      <c r="B282" s="1080"/>
      <c r="C282" s="1080"/>
      <c r="D282" s="1080"/>
      <c r="E282" s="1080"/>
      <c r="F282" s="1080"/>
      <c r="G282" s="1080"/>
      <c r="H282" s="1080"/>
      <c r="I282" s="1080"/>
      <c r="J282" s="1080"/>
      <c r="K282" s="1080"/>
      <c r="L282" s="1080"/>
      <c r="M282" s="1080"/>
      <c r="N282" s="1080"/>
      <c r="O282" s="1080"/>
      <c r="P282" s="1080"/>
      <c r="Q282" s="1080"/>
      <c r="R282" s="1080"/>
      <c r="S282" s="1080"/>
      <c r="T282" s="1080"/>
      <c r="U282" s="1080"/>
      <c r="V282" s="1080"/>
      <c r="W282" s="1080"/>
      <c r="X282" s="1080"/>
      <c r="Y282" s="1080"/>
      <c r="Z282" s="1080"/>
      <c r="AA282" s="1080"/>
      <c r="AB282" s="1080"/>
      <c r="AC282" s="1080"/>
      <c r="AD282" s="1080"/>
      <c r="AE282" s="1080"/>
      <c r="AF282" s="1080"/>
      <c r="AG282" s="1080"/>
      <c r="AH282" s="1080"/>
      <c r="AI282" s="1080"/>
      <c r="AJ282" s="1080"/>
      <c r="AK282" s="1080"/>
      <c r="AL282" s="1080"/>
      <c r="AM282" s="1080"/>
      <c r="AN282" s="1080"/>
      <c r="AO282" s="1080"/>
      <c r="AP282" s="846"/>
      <c r="AQ282" s="846"/>
      <c r="AR282" s="846"/>
      <c r="AS282" s="846"/>
      <c r="AT282" s="846"/>
      <c r="AU282" s="846"/>
      <c r="AV282" s="846"/>
      <c r="AW282" s="846"/>
    </row>
    <row r="283" spans="1:49" s="848" customFormat="1">
      <c r="A283" s="1080" t="s">
        <v>1344</v>
      </c>
      <c r="B283" s="1080"/>
      <c r="C283" s="1080"/>
      <c r="D283" s="1080"/>
      <c r="E283" s="1080"/>
      <c r="F283" s="1080"/>
      <c r="G283" s="1080"/>
      <c r="H283" s="1080"/>
      <c r="I283" s="1080"/>
      <c r="J283" s="1080"/>
      <c r="K283" s="1080"/>
      <c r="L283" s="1080"/>
      <c r="M283" s="1080"/>
      <c r="N283" s="1080"/>
      <c r="O283" s="1080"/>
      <c r="P283" s="1080"/>
      <c r="Q283" s="1080"/>
      <c r="R283" s="1080"/>
      <c r="S283" s="1080"/>
      <c r="T283" s="1080"/>
      <c r="U283" s="1080"/>
      <c r="V283" s="1080"/>
      <c r="W283" s="1080"/>
      <c r="X283" s="1080"/>
      <c r="Y283" s="1080"/>
      <c r="Z283" s="1080"/>
      <c r="AA283" s="1080"/>
      <c r="AB283" s="1080"/>
      <c r="AC283" s="1080"/>
      <c r="AD283" s="1080"/>
      <c r="AE283" s="1080"/>
      <c r="AF283" s="1080"/>
      <c r="AG283" s="1080"/>
      <c r="AH283" s="1080"/>
      <c r="AI283" s="1080"/>
      <c r="AJ283" s="1080"/>
      <c r="AK283" s="1080"/>
      <c r="AL283" s="1080"/>
      <c r="AM283" s="1080"/>
      <c r="AN283" s="1080"/>
      <c r="AO283" s="844"/>
      <c r="AP283" s="847"/>
      <c r="AQ283" s="847"/>
      <c r="AR283" s="847"/>
      <c r="AS283" s="847"/>
      <c r="AT283" s="847"/>
      <c r="AU283" s="847"/>
      <c r="AV283" s="847"/>
      <c r="AW283" s="847"/>
    </row>
    <row r="284" spans="1:49" s="848" customFormat="1">
      <c r="A284" s="1080"/>
      <c r="B284" s="1080"/>
      <c r="C284" s="1080"/>
      <c r="D284" s="1080"/>
      <c r="E284" s="1080"/>
      <c r="F284" s="1080"/>
      <c r="G284" s="1080"/>
      <c r="H284" s="1080"/>
      <c r="I284" s="1080"/>
      <c r="J284" s="1080"/>
      <c r="K284" s="1080"/>
      <c r="L284" s="1080"/>
      <c r="M284" s="1080"/>
      <c r="N284" s="1080"/>
      <c r="O284" s="1080"/>
      <c r="P284" s="1080"/>
      <c r="Q284" s="1080"/>
      <c r="R284" s="1080"/>
      <c r="S284" s="1080"/>
      <c r="T284" s="1080"/>
      <c r="U284" s="1080"/>
      <c r="V284" s="1080"/>
      <c r="W284" s="1080"/>
      <c r="X284" s="1080"/>
      <c r="Y284" s="1080"/>
      <c r="Z284" s="1080"/>
      <c r="AA284" s="1080"/>
      <c r="AB284" s="1080"/>
      <c r="AC284" s="1080"/>
      <c r="AD284" s="1080"/>
      <c r="AE284" s="1080"/>
      <c r="AF284" s="1080"/>
      <c r="AG284" s="1080"/>
      <c r="AH284" s="1080"/>
      <c r="AI284" s="1080"/>
      <c r="AJ284" s="1080"/>
      <c r="AK284" s="1080"/>
      <c r="AL284" s="1080"/>
      <c r="AM284" s="1080"/>
      <c r="AN284" s="1080"/>
      <c r="AO284" s="844"/>
      <c r="AP284" s="847"/>
      <c r="AQ284" s="847"/>
      <c r="AR284" s="847"/>
      <c r="AS284" s="847"/>
      <c r="AT284" s="847"/>
      <c r="AU284" s="847"/>
      <c r="AV284" s="847"/>
      <c r="AW284" s="847"/>
    </row>
    <row r="285" spans="1:49" s="848" customFormat="1">
      <c r="A285" s="1080" t="s">
        <v>1345</v>
      </c>
      <c r="B285" s="1080"/>
      <c r="C285" s="1080"/>
      <c r="D285" s="1080"/>
      <c r="E285" s="1085"/>
      <c r="F285" s="1085"/>
      <c r="G285" s="1085"/>
      <c r="H285" s="1085"/>
      <c r="I285" s="1085"/>
      <c r="J285" s="1085"/>
      <c r="K285" s="1085"/>
      <c r="L285" s="1085"/>
      <c r="M285" s="1085"/>
      <c r="N285" s="1085"/>
      <c r="O285" s="1085"/>
      <c r="P285" s="1085"/>
      <c r="Q285" s="1085"/>
      <c r="R285" s="1085"/>
      <c r="S285" s="1085"/>
      <c r="T285" s="1080"/>
      <c r="U285" s="1080"/>
      <c r="V285" s="1085"/>
      <c r="W285" s="1080"/>
      <c r="X285" s="1080"/>
      <c r="Y285" s="1080"/>
      <c r="Z285" s="1080"/>
      <c r="AA285" s="1085"/>
      <c r="AB285" s="1080"/>
      <c r="AC285" s="1080"/>
      <c r="AD285" s="1080"/>
      <c r="AE285" s="1080"/>
      <c r="AF285" s="1080"/>
      <c r="AG285" s="1080"/>
      <c r="AH285" s="1080"/>
      <c r="AI285" s="1080"/>
      <c r="AJ285" s="1080"/>
      <c r="AK285" s="1080"/>
      <c r="AL285" s="1080"/>
      <c r="AM285" s="1085"/>
      <c r="AN285" s="1080"/>
      <c r="AO285" s="844"/>
      <c r="AP285" s="850"/>
      <c r="AQ285" s="850"/>
      <c r="AR285" s="850"/>
      <c r="AS285" s="850"/>
      <c r="AT285" s="850"/>
      <c r="AU285" s="850"/>
      <c r="AV285" s="850"/>
      <c r="AW285" s="850"/>
    </row>
    <row r="286" spans="1:49" s="852" customFormat="1" ht="16.5">
      <c r="A286" s="1086" t="s">
        <v>1346</v>
      </c>
      <c r="B286" s="1087"/>
      <c r="C286" s="1087"/>
      <c r="D286" s="1087"/>
      <c r="E286" s="1087"/>
      <c r="F286" s="1087"/>
      <c r="G286" s="1087"/>
      <c r="H286" s="1087"/>
      <c r="I286" s="1087"/>
      <c r="J286" s="1087"/>
      <c r="K286" s="1087"/>
      <c r="L286" s="1087"/>
      <c r="M286" s="1087"/>
      <c r="N286" s="1087"/>
      <c r="O286" s="1087"/>
      <c r="P286" s="1087"/>
      <c r="Q286" s="1087"/>
      <c r="R286" s="1088"/>
      <c r="S286" s="1088"/>
      <c r="T286" s="1088"/>
      <c r="U286" s="1088"/>
      <c r="V286" s="1088"/>
      <c r="W286" s="1088"/>
      <c r="X286" s="1088"/>
      <c r="Y286" s="1088"/>
      <c r="Z286" s="1088"/>
      <c r="AA286" s="851"/>
      <c r="AB286" s="849"/>
      <c r="AC286" s="851"/>
      <c r="AD286" s="851"/>
      <c r="AE286" s="851"/>
      <c r="AF286" s="851"/>
      <c r="AG286" s="851"/>
      <c r="AH286" s="851"/>
      <c r="AI286" s="851"/>
      <c r="AJ286" s="851"/>
      <c r="AK286" s="851"/>
      <c r="AL286" s="851"/>
      <c r="AM286" s="851"/>
      <c r="AN286" s="849"/>
      <c r="AO286" s="851"/>
    </row>
    <row r="287" spans="1:49" s="852" customFormat="1" ht="16.5">
      <c r="A287" s="853" t="s">
        <v>1347</v>
      </c>
      <c r="B287" s="854"/>
      <c r="C287" s="849"/>
      <c r="D287" s="854"/>
      <c r="E287" s="849"/>
      <c r="F287" s="854"/>
      <c r="G287" s="849"/>
      <c r="H287" s="849"/>
      <c r="I287" s="849"/>
      <c r="J287" s="854"/>
      <c r="K287" s="855"/>
      <c r="L287" s="855"/>
      <c r="M287" s="855"/>
      <c r="N287" s="854"/>
      <c r="O287" s="854"/>
      <c r="P287" s="854"/>
      <c r="Q287" s="854"/>
      <c r="R287" s="854"/>
      <c r="S287" s="854"/>
      <c r="T287" s="854"/>
      <c r="U287" s="854"/>
      <c r="V287" s="849"/>
      <c r="W287" s="854"/>
      <c r="X287" s="854"/>
      <c r="Y287" s="854"/>
      <c r="Z287" s="854"/>
      <c r="AA287" s="849"/>
      <c r="AB287" s="854"/>
      <c r="AC287" s="854"/>
      <c r="AD287" s="854"/>
      <c r="AE287" s="854"/>
      <c r="AF287" s="854"/>
      <c r="AG287" s="854"/>
      <c r="AH287" s="854"/>
      <c r="AI287" s="854"/>
      <c r="AJ287" s="849"/>
      <c r="AK287" s="849"/>
      <c r="AL287" s="849"/>
      <c r="AM287" s="849"/>
      <c r="AN287" s="849"/>
      <c r="AO287" s="849"/>
    </row>
    <row r="288" spans="1:49" s="852" customFormat="1" ht="16.5">
      <c r="A288" s="1089" t="s">
        <v>1348</v>
      </c>
      <c r="B288" s="1089"/>
      <c r="C288" s="1089"/>
      <c r="D288" s="1089"/>
      <c r="E288" s="1089"/>
      <c r="F288" s="1089"/>
      <c r="G288" s="1089"/>
      <c r="H288" s="1089"/>
      <c r="I288" s="1089"/>
      <c r="J288" s="1089"/>
      <c r="K288" s="1089"/>
      <c r="L288" s="1089"/>
      <c r="M288" s="1089"/>
      <c r="N288" s="1089"/>
      <c r="O288" s="1089"/>
      <c r="P288" s="1089"/>
      <c r="Q288" s="1089"/>
      <c r="R288" s="1089"/>
      <c r="S288" s="1089"/>
      <c r="T288" s="1089"/>
      <c r="U288" s="1089"/>
      <c r="V288" s="1089"/>
      <c r="W288" s="1089"/>
      <c r="X288" s="1089"/>
      <c r="Y288" s="1089"/>
      <c r="Z288" s="1089"/>
      <c r="AA288" s="1089"/>
      <c r="AB288" s="1089"/>
      <c r="AC288" s="854"/>
      <c r="AD288" s="854"/>
      <c r="AE288" s="854"/>
      <c r="AF288" s="854"/>
      <c r="AG288" s="854"/>
      <c r="AH288" s="854"/>
      <c r="AI288" s="854"/>
      <c r="AJ288" s="849"/>
      <c r="AK288" s="849"/>
      <c r="AL288" s="849"/>
      <c r="AM288" s="849"/>
      <c r="AN288" s="849"/>
      <c r="AO288" s="849"/>
    </row>
    <row r="289" spans="1:49" s="860" customFormat="1" ht="16.5">
      <c r="A289" s="856" t="s">
        <v>1349</v>
      </c>
      <c r="B289" s="856"/>
      <c r="C289" s="856"/>
      <c r="D289" s="856"/>
      <c r="E289" s="856"/>
      <c r="F289" s="856"/>
      <c r="G289" s="856"/>
      <c r="H289" s="856"/>
      <c r="I289" s="856"/>
      <c r="J289" s="856"/>
      <c r="K289" s="856"/>
      <c r="L289" s="856"/>
      <c r="M289" s="856"/>
      <c r="N289" s="856"/>
      <c r="O289" s="856"/>
      <c r="P289" s="856"/>
      <c r="Q289" s="856"/>
      <c r="R289" s="856"/>
      <c r="S289" s="856"/>
      <c r="T289" s="856"/>
      <c r="U289" s="856"/>
      <c r="V289" s="856"/>
      <c r="W289" s="857"/>
      <c r="X289" s="858"/>
      <c r="Y289" s="858"/>
      <c r="Z289" s="858"/>
      <c r="AA289" s="858"/>
      <c r="AB289" s="858"/>
      <c r="AC289" s="858"/>
      <c r="AD289" s="858"/>
      <c r="AE289" s="858"/>
      <c r="AF289" s="858"/>
      <c r="AG289" s="858"/>
      <c r="AH289" s="858"/>
      <c r="AI289" s="858"/>
      <c r="AJ289" s="858"/>
      <c r="AK289" s="858"/>
      <c r="AL289" s="858"/>
      <c r="AM289" s="858"/>
      <c r="AN289" s="858"/>
      <c r="AO289" s="859"/>
    </row>
    <row r="290" spans="1:49" s="305" customFormat="1">
      <c r="A290" s="1090" t="s">
        <v>1350</v>
      </c>
      <c r="B290" s="1090"/>
      <c r="C290" s="1090"/>
      <c r="D290" s="1090"/>
      <c r="E290" s="1090"/>
      <c r="F290" s="1090"/>
      <c r="G290" s="1090"/>
      <c r="H290" s="1090"/>
      <c r="I290" s="1090"/>
      <c r="J290" s="1090"/>
      <c r="K290" s="1090"/>
      <c r="L290" s="1090"/>
      <c r="M290" s="1090"/>
      <c r="N290" s="1090"/>
      <c r="O290" s="1090"/>
      <c r="P290" s="1090"/>
      <c r="Q290" s="1090"/>
      <c r="R290" s="1090"/>
      <c r="S290" s="1090"/>
      <c r="T290" s="1090"/>
      <c r="U290" s="1090"/>
      <c r="V290" s="1090"/>
      <c r="W290" s="1090"/>
      <c r="X290" s="1090"/>
      <c r="Y290" s="1090"/>
      <c r="Z290" s="1090"/>
      <c r="AA290" s="1090"/>
      <c r="AB290" s="1090"/>
      <c r="AC290" s="1090"/>
      <c r="AD290" s="1090"/>
      <c r="AE290" s="1090"/>
      <c r="AF290" s="1090"/>
      <c r="AG290" s="1090"/>
      <c r="AH290" s="1090"/>
      <c r="AI290" s="1090"/>
      <c r="AJ290" s="1090"/>
      <c r="AK290" s="1090"/>
      <c r="AL290" s="1090"/>
      <c r="AM290" s="1090"/>
      <c r="AN290" s="1090"/>
      <c r="AO290" s="844"/>
      <c r="AP290" s="859"/>
      <c r="AQ290" s="859"/>
      <c r="AR290" s="859"/>
      <c r="AS290" s="859"/>
      <c r="AT290" s="859"/>
      <c r="AU290" s="859"/>
      <c r="AV290" s="859"/>
      <c r="AW290" s="859"/>
    </row>
    <row r="291" spans="1:49" s="305" customFormat="1">
      <c r="A291" s="1080" t="s">
        <v>1351</v>
      </c>
      <c r="B291" s="1080"/>
      <c r="C291" s="1080"/>
      <c r="D291" s="1080"/>
      <c r="E291" s="1080"/>
      <c r="F291" s="1080"/>
      <c r="G291" s="1080"/>
      <c r="H291" s="1080"/>
      <c r="I291" s="1080"/>
      <c r="J291" s="1080"/>
      <c r="K291" s="1080"/>
      <c r="L291" s="1080"/>
      <c r="M291" s="1080"/>
      <c r="N291" s="1080"/>
      <c r="O291" s="1080"/>
      <c r="P291" s="1080"/>
      <c r="Q291" s="1080"/>
      <c r="R291" s="1080"/>
      <c r="S291" s="1080"/>
      <c r="T291" s="1080"/>
      <c r="U291" s="1080"/>
      <c r="V291" s="1080"/>
      <c r="W291" s="1080"/>
      <c r="X291" s="1080"/>
      <c r="Y291" s="1080"/>
      <c r="Z291" s="1080"/>
      <c r="AA291" s="1080"/>
      <c r="AB291" s="1080"/>
      <c r="AC291" s="1080"/>
      <c r="AD291" s="1080"/>
      <c r="AE291" s="1080"/>
      <c r="AF291" s="1080"/>
      <c r="AG291" s="1080"/>
      <c r="AH291" s="1080"/>
      <c r="AI291" s="1080"/>
      <c r="AJ291" s="1080"/>
      <c r="AK291" s="1080"/>
      <c r="AL291" s="1080"/>
      <c r="AM291" s="1080"/>
      <c r="AN291" s="1080"/>
      <c r="AO291" s="844"/>
      <c r="AP291" s="859"/>
      <c r="AQ291" s="859"/>
      <c r="AR291" s="859"/>
      <c r="AS291" s="859"/>
      <c r="AT291" s="859"/>
      <c r="AU291" s="859"/>
      <c r="AV291" s="859"/>
      <c r="AW291" s="859"/>
    </row>
    <row r="292" spans="1:49">
      <c r="A292" s="861"/>
      <c r="B292" s="862"/>
      <c r="C292" s="862"/>
      <c r="D292" s="862"/>
      <c r="E292" s="862"/>
      <c r="F292" s="862"/>
      <c r="G292" s="862"/>
      <c r="H292" s="862"/>
      <c r="I292" s="862"/>
      <c r="J292" s="862"/>
      <c r="K292" s="862"/>
      <c r="L292" s="862"/>
      <c r="M292" s="862"/>
      <c r="N292" s="862"/>
      <c r="O292" s="862"/>
      <c r="P292" s="862"/>
      <c r="Q292" s="862"/>
      <c r="R292" s="862"/>
      <c r="S292" s="862"/>
      <c r="T292" s="862"/>
      <c r="U292" s="862"/>
      <c r="V292" s="862"/>
      <c r="W292" s="862"/>
      <c r="X292" s="862"/>
      <c r="Y292" s="862"/>
      <c r="Z292" s="862"/>
      <c r="AA292" s="862"/>
      <c r="AB292" s="862"/>
      <c r="AC292" s="862"/>
      <c r="AD292" s="862"/>
      <c r="AE292" s="862"/>
      <c r="AF292" s="862"/>
      <c r="AG292" s="862"/>
      <c r="AH292" s="862"/>
      <c r="AI292" s="862"/>
      <c r="AJ292" s="862"/>
      <c r="AK292" s="862"/>
      <c r="AL292" s="862"/>
      <c r="AM292" s="862"/>
      <c r="AN292" s="862"/>
      <c r="AO292" s="862"/>
      <c r="AP292" s="863"/>
      <c r="AQ292" s="863"/>
      <c r="AR292" s="863"/>
      <c r="AS292" s="863"/>
      <c r="AT292" s="863"/>
      <c r="AU292" s="863"/>
      <c r="AV292" s="863"/>
      <c r="AW292" s="863"/>
    </row>
    <row r="293" spans="1:49" s="865" customFormat="1">
      <c r="A293" s="1091" t="s">
        <v>1352</v>
      </c>
      <c r="B293" s="1091"/>
      <c r="C293" s="1091"/>
      <c r="D293" s="1091"/>
      <c r="E293" s="1091"/>
      <c r="F293" s="1091"/>
      <c r="G293" s="1091"/>
      <c r="H293" s="1091"/>
      <c r="I293" s="1091"/>
      <c r="J293" s="1091"/>
      <c r="K293" s="1091"/>
      <c r="L293" s="1091"/>
      <c r="M293" s="1091"/>
      <c r="N293" s="1091"/>
      <c r="O293" s="1091"/>
      <c r="P293" s="1091"/>
      <c r="Q293" s="1091"/>
      <c r="R293" s="1091"/>
      <c r="S293" s="1091"/>
      <c r="T293" s="1091"/>
      <c r="U293" s="1091"/>
      <c r="V293" s="1091"/>
      <c r="W293" s="1091"/>
      <c r="X293" s="1091"/>
      <c r="Y293" s="1091"/>
      <c r="Z293" s="1091"/>
      <c r="AA293" s="1091"/>
      <c r="AB293" s="1091"/>
      <c r="AC293" s="1091"/>
      <c r="AD293" s="1091"/>
      <c r="AE293" s="1091"/>
      <c r="AF293" s="1091"/>
      <c r="AG293" s="1091"/>
      <c r="AH293" s="1091"/>
      <c r="AI293" s="1091"/>
      <c r="AJ293" s="1091"/>
      <c r="AK293" s="1091"/>
      <c r="AL293" s="1091"/>
      <c r="AM293" s="1091"/>
      <c r="AN293" s="1091"/>
      <c r="AO293" s="1091"/>
      <c r="AP293" s="864"/>
      <c r="AQ293" s="864"/>
      <c r="AR293" s="864"/>
      <c r="AS293" s="864"/>
      <c r="AT293" s="864"/>
      <c r="AU293" s="864"/>
      <c r="AV293" s="864"/>
      <c r="AW293" s="864"/>
    </row>
    <row r="294" spans="1:49">
      <c r="A294" s="1082" t="s">
        <v>1353</v>
      </c>
      <c r="B294" s="1082"/>
      <c r="C294" s="1082"/>
      <c r="D294" s="1082"/>
      <c r="E294" s="1082"/>
      <c r="F294" s="1082"/>
      <c r="G294" s="1082"/>
      <c r="H294" s="1082"/>
      <c r="I294" s="1082"/>
      <c r="J294" s="1082"/>
      <c r="K294" s="1082"/>
      <c r="L294" s="1082"/>
      <c r="M294" s="1082"/>
      <c r="N294" s="1082"/>
      <c r="O294" s="1082"/>
      <c r="P294" s="1082"/>
      <c r="Q294" s="1082"/>
      <c r="R294" s="1082"/>
      <c r="S294" s="1082"/>
      <c r="T294" s="1082"/>
      <c r="U294" s="1082"/>
      <c r="V294" s="1082"/>
      <c r="W294" s="1082"/>
      <c r="X294" s="1082"/>
      <c r="Y294" s="1082"/>
      <c r="Z294" s="1082"/>
      <c r="AA294" s="1082"/>
      <c r="AB294" s="1082"/>
      <c r="AC294" s="1082"/>
      <c r="AD294" s="1082"/>
      <c r="AE294" s="1082"/>
      <c r="AF294" s="1082"/>
      <c r="AG294" s="1082"/>
      <c r="AH294" s="1082"/>
      <c r="AI294" s="1082"/>
      <c r="AJ294" s="1082"/>
      <c r="AK294" s="1082"/>
      <c r="AL294" s="1082"/>
      <c r="AM294" s="1082"/>
      <c r="AN294" s="1082"/>
      <c r="AO294" s="844"/>
      <c r="AP294" s="863"/>
      <c r="AQ294" s="863"/>
      <c r="AR294" s="863"/>
      <c r="AS294" s="863"/>
      <c r="AT294" s="863"/>
      <c r="AU294" s="863"/>
      <c r="AV294" s="863"/>
      <c r="AW294" s="863"/>
    </row>
    <row r="295" spans="1:49">
      <c r="A295" s="1082" t="s">
        <v>1354</v>
      </c>
      <c r="B295" s="1082"/>
      <c r="C295" s="1082"/>
      <c r="D295" s="1082"/>
      <c r="E295" s="1082"/>
      <c r="F295" s="1082"/>
      <c r="G295" s="1082"/>
      <c r="H295" s="1082"/>
      <c r="I295" s="1082"/>
      <c r="J295" s="1082"/>
      <c r="K295" s="1082"/>
      <c r="L295" s="1082"/>
      <c r="M295" s="1082"/>
      <c r="N295" s="1082"/>
      <c r="O295" s="1082"/>
      <c r="P295" s="1082"/>
      <c r="Q295" s="1082"/>
      <c r="R295" s="1082"/>
      <c r="S295" s="1082"/>
      <c r="T295" s="1082"/>
      <c r="U295" s="1082"/>
      <c r="V295" s="1082"/>
      <c r="W295" s="1082"/>
      <c r="X295" s="1082"/>
      <c r="Y295" s="1082"/>
      <c r="Z295" s="1082"/>
      <c r="AA295" s="1082"/>
      <c r="AB295" s="1082"/>
      <c r="AC295" s="1082"/>
      <c r="AD295" s="1082"/>
      <c r="AE295" s="1082"/>
      <c r="AF295" s="1082"/>
      <c r="AG295" s="1082"/>
      <c r="AH295" s="1082"/>
      <c r="AI295" s="1082"/>
      <c r="AJ295" s="1082"/>
      <c r="AK295" s="1082"/>
      <c r="AL295" s="1082"/>
      <c r="AM295" s="1082"/>
      <c r="AN295" s="1082"/>
      <c r="AO295" s="844"/>
      <c r="AP295" s="862"/>
      <c r="AQ295" s="862"/>
      <c r="AR295" s="862"/>
      <c r="AS295" s="862"/>
      <c r="AT295" s="862"/>
      <c r="AU295" s="862"/>
      <c r="AV295" s="862"/>
      <c r="AW295" s="862"/>
    </row>
    <row r="296" spans="1:49">
      <c r="A296" s="1082" t="s">
        <v>1355</v>
      </c>
      <c r="B296" s="1082"/>
      <c r="C296" s="1082"/>
      <c r="D296" s="1082"/>
      <c r="E296" s="1082"/>
      <c r="F296" s="1082"/>
      <c r="G296" s="1082"/>
      <c r="H296" s="1082"/>
      <c r="I296" s="1082"/>
      <c r="J296" s="1082"/>
      <c r="K296" s="1082"/>
      <c r="L296" s="1082"/>
      <c r="M296" s="1082"/>
      <c r="N296" s="1082"/>
      <c r="O296" s="1082"/>
      <c r="P296" s="1082"/>
      <c r="Q296" s="1082"/>
      <c r="R296" s="1082"/>
      <c r="S296" s="1082"/>
      <c r="T296" s="1082"/>
      <c r="U296" s="1082"/>
      <c r="V296" s="1082"/>
      <c r="W296" s="1082"/>
      <c r="X296" s="1082"/>
      <c r="Y296" s="1082"/>
      <c r="Z296" s="1082"/>
      <c r="AA296" s="1082"/>
      <c r="AB296" s="1082"/>
      <c r="AC296" s="1082"/>
      <c r="AD296" s="1082"/>
      <c r="AE296" s="1082"/>
      <c r="AF296" s="1082"/>
      <c r="AG296" s="1082"/>
      <c r="AH296" s="1082"/>
      <c r="AI296" s="1082"/>
      <c r="AJ296" s="1082"/>
      <c r="AK296" s="1082"/>
      <c r="AL296" s="1082"/>
      <c r="AM296" s="1082"/>
      <c r="AN296" s="1082"/>
      <c r="AO296" s="844"/>
    </row>
    <row r="297" spans="1:49">
      <c r="A297" s="1082"/>
      <c r="B297" s="1082"/>
      <c r="C297" s="1082"/>
      <c r="D297" s="1082"/>
      <c r="E297" s="1082"/>
      <c r="F297" s="1082"/>
      <c r="G297" s="1082"/>
      <c r="H297" s="1082"/>
      <c r="I297" s="1082"/>
      <c r="J297" s="1082"/>
      <c r="K297" s="1082"/>
      <c r="L297" s="1082"/>
      <c r="M297" s="1082"/>
      <c r="N297" s="1082"/>
      <c r="O297" s="1082"/>
      <c r="P297" s="1082"/>
      <c r="Q297" s="1082"/>
      <c r="R297" s="1082"/>
      <c r="S297" s="1082"/>
      <c r="T297" s="1082"/>
      <c r="U297" s="1082"/>
      <c r="V297" s="1082"/>
      <c r="W297" s="1082"/>
      <c r="X297" s="1082"/>
      <c r="Y297" s="1082"/>
      <c r="Z297" s="1082"/>
      <c r="AA297" s="1082"/>
      <c r="AB297" s="1082"/>
      <c r="AC297" s="1082"/>
      <c r="AD297" s="1082"/>
      <c r="AE297" s="1082"/>
      <c r="AF297" s="1082"/>
      <c r="AG297" s="1082"/>
      <c r="AH297" s="1082"/>
      <c r="AI297" s="1082"/>
      <c r="AJ297" s="1082"/>
      <c r="AK297" s="1082"/>
      <c r="AL297" s="1082"/>
      <c r="AM297" s="1082"/>
      <c r="AN297" s="1082"/>
      <c r="AO297" s="844"/>
      <c r="AP297" s="866"/>
      <c r="AQ297" s="866"/>
      <c r="AR297" s="866"/>
      <c r="AS297" s="866"/>
      <c r="AT297" s="866"/>
      <c r="AU297" s="866"/>
      <c r="AV297" s="866"/>
      <c r="AW297" s="866"/>
    </row>
    <row r="298" spans="1:49">
      <c r="B298" s="4"/>
      <c r="T298" s="4"/>
      <c r="Y298" s="4"/>
      <c r="AP298" s="867"/>
      <c r="AQ298" s="867"/>
      <c r="AR298" s="867"/>
      <c r="AS298" s="867"/>
      <c r="AT298" s="867"/>
      <c r="AU298" s="867"/>
      <c r="AV298" s="867"/>
      <c r="AW298" s="867"/>
    </row>
    <row r="299" spans="1:49">
      <c r="B299" s="4"/>
      <c r="T299" s="4"/>
      <c r="Y299" s="4"/>
      <c r="AP299" s="868"/>
      <c r="AQ299" s="868"/>
      <c r="AR299" s="868"/>
      <c r="AS299" s="868"/>
      <c r="AT299" s="868"/>
      <c r="AU299" s="868"/>
      <c r="AV299" s="868"/>
      <c r="AW299" s="868"/>
    </row>
    <row r="300" spans="1:49">
      <c r="B300" s="4"/>
      <c r="T300" s="4"/>
      <c r="Y300" s="4"/>
    </row>
    <row r="301" spans="1:49">
      <c r="B301" s="4"/>
      <c r="T301" s="4"/>
      <c r="Y301" s="4"/>
    </row>
    <row r="302" spans="1:49">
      <c r="B302" s="4"/>
      <c r="T302" s="4"/>
      <c r="Y302" s="4"/>
    </row>
    <row r="303" spans="1:49">
      <c r="B303" s="4"/>
      <c r="T303" s="4"/>
      <c r="Y303" s="4"/>
    </row>
  </sheetData>
  <protectedRanges>
    <protectedRange sqref="I15:I20" name="Range1"/>
    <protectedRange sqref="I28:I35" name="Range1_1"/>
    <protectedRange sqref="I38:I47" name="Range1_2"/>
    <protectedRange sqref="I49:I50" name="Range1_3"/>
  </protectedRanges>
  <mergeCells count="22">
    <mergeCell ref="A297:AN297"/>
    <mergeCell ref="A283:AN283"/>
    <mergeCell ref="A284:AN284"/>
    <mergeCell ref="A285:AN285"/>
    <mergeCell ref="A286:Z286"/>
    <mergeCell ref="A288:AB288"/>
    <mergeCell ref="A290:AN290"/>
    <mergeCell ref="A291:AN291"/>
    <mergeCell ref="A293:AO293"/>
    <mergeCell ref="A294:AN294"/>
    <mergeCell ref="A295:AN295"/>
    <mergeCell ref="A296:AN296"/>
    <mergeCell ref="A282:AO282"/>
    <mergeCell ref="A260:D260"/>
    <mergeCell ref="A271:AN271"/>
    <mergeCell ref="A272:AN272"/>
    <mergeCell ref="A275:AN275"/>
    <mergeCell ref="A276:AP276"/>
    <mergeCell ref="A277:AE277"/>
    <mergeCell ref="A278:AE278"/>
    <mergeCell ref="A279:X279"/>
    <mergeCell ref="A280:Y280"/>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C30"/>
  <sheetViews>
    <sheetView zoomScale="85" zoomScaleNormal="85" workbookViewId="0">
      <selection activeCell="D24" sqref="D24"/>
    </sheetView>
  </sheetViews>
  <sheetFormatPr defaultColWidth="9.140625" defaultRowHeight="15"/>
  <cols>
    <col min="2" max="2" width="12.5703125" customWidth="1"/>
    <col min="3" max="3" width="17.5703125" customWidth="1"/>
    <col min="4" max="4" width="13.85546875" customWidth="1"/>
    <col min="5" max="5" width="16.5703125" customWidth="1"/>
    <col min="6" max="6" width="12.42578125" customWidth="1"/>
  </cols>
  <sheetData>
    <row r="1" spans="1:3" ht="89.25">
      <c r="A1" s="73"/>
      <c r="B1" s="891" t="s">
        <v>1357</v>
      </c>
      <c r="C1" s="249" t="s">
        <v>1361</v>
      </c>
    </row>
    <row r="2" spans="1:3">
      <c r="A2" s="73"/>
      <c r="B2" s="249">
        <v>1</v>
      </c>
      <c r="C2" s="249">
        <v>2</v>
      </c>
    </row>
    <row r="3" spans="1:3">
      <c r="A3" s="886" t="s">
        <v>626</v>
      </c>
      <c r="B3" s="888">
        <f>'Neizpildes, LVL'!E45</f>
        <v>11800000</v>
      </c>
      <c r="C3" s="888">
        <f>'Neizpildes, LVL'!J45</f>
        <v>11800000</v>
      </c>
    </row>
    <row r="4" spans="1:3">
      <c r="A4" s="887"/>
      <c r="B4" s="251"/>
      <c r="C4" s="251"/>
    </row>
    <row r="5" spans="1:3">
      <c r="A5" s="886" t="s">
        <v>141</v>
      </c>
      <c r="B5" s="888">
        <f>'Neizpildes, LVL'!E30</f>
        <v>12000000</v>
      </c>
      <c r="C5" s="888">
        <f>'Neizpildes, LVL'!J30</f>
        <v>11305417.99</v>
      </c>
    </row>
    <row r="6" spans="1:3">
      <c r="A6" s="887"/>
      <c r="B6" s="251"/>
      <c r="C6" s="251"/>
    </row>
    <row r="7" spans="1:3">
      <c r="A7" s="886" t="s">
        <v>138</v>
      </c>
      <c r="B7" s="888">
        <f>'Neizpildes, LVL'!E33</f>
        <v>32513923</v>
      </c>
      <c r="C7" s="888">
        <f>'Neizpildes, LVL'!J33</f>
        <v>27635540.93</v>
      </c>
    </row>
    <row r="8" spans="1:3">
      <c r="A8" s="887"/>
      <c r="B8" s="251"/>
      <c r="C8" s="251"/>
    </row>
    <row r="9" spans="1:3">
      <c r="A9" s="886" t="s">
        <v>5</v>
      </c>
      <c r="B9" s="888">
        <f>'Neizpildes, LVL'!E23</f>
        <v>36037210</v>
      </c>
      <c r="C9" s="888">
        <f>'Neizpildes, LVL'!J23</f>
        <v>15702084</v>
      </c>
    </row>
    <row r="10" spans="1:3">
      <c r="A10" s="887"/>
      <c r="B10" s="251"/>
      <c r="C10" s="251"/>
    </row>
    <row r="11" spans="1:3">
      <c r="A11" s="886" t="s">
        <v>140</v>
      </c>
      <c r="B11" s="888">
        <f>'Neizpildes, LVL'!E40</f>
        <v>52382961</v>
      </c>
      <c r="C11" s="888">
        <f>'Neizpildes, LVL'!J40</f>
        <v>47951524</v>
      </c>
    </row>
    <row r="12" spans="1:3">
      <c r="A12" s="887"/>
      <c r="B12" s="251"/>
      <c r="C12" s="251"/>
    </row>
    <row r="13" spans="1:3">
      <c r="A13" s="886" t="s">
        <v>137</v>
      </c>
      <c r="B13" s="888">
        <f>'Neizpildes, LVL'!E17</f>
        <v>56835208</v>
      </c>
      <c r="C13" s="888">
        <f>'Neizpildes, LVL'!J17</f>
        <v>17373231.120000001</v>
      </c>
    </row>
    <row r="14" spans="1:3">
      <c r="A14" s="887"/>
      <c r="B14" s="251"/>
      <c r="C14" s="252"/>
    </row>
    <row r="15" spans="1:3">
      <c r="A15" s="886" t="s">
        <v>628</v>
      </c>
      <c r="B15" s="888">
        <f>'Neizpildes, LVL'!E48</f>
        <v>82751761</v>
      </c>
      <c r="C15" s="888">
        <f>'Neizpildes, LVL'!J48</f>
        <v>58029082</v>
      </c>
    </row>
    <row r="16" spans="1:3" ht="15.75" thickBot="1">
      <c r="A16" s="889"/>
      <c r="B16" s="229"/>
      <c r="C16" s="890"/>
    </row>
    <row r="17" spans="1:3" ht="15.75" thickTop="1">
      <c r="A17" s="892" t="s">
        <v>635</v>
      </c>
      <c r="B17" s="893">
        <f>B3+B5+B7+B9+B11+B13+B15</f>
        <v>284321063</v>
      </c>
      <c r="C17" s="893">
        <f>C3+C5+C7+C9+C11+C13+C15</f>
        <v>189796880.04000002</v>
      </c>
    </row>
    <row r="19" spans="1:3">
      <c r="A19" s="250" t="s">
        <v>828</v>
      </c>
    </row>
    <row r="20" spans="1:3" ht="88.5" customHeight="1">
      <c r="A20" s="73"/>
      <c r="B20" s="249" t="s">
        <v>1427</v>
      </c>
      <c r="C20" s="249" t="s">
        <v>1358</v>
      </c>
    </row>
    <row r="21" spans="1:3">
      <c r="A21" s="73"/>
      <c r="B21" s="249"/>
      <c r="C21" s="249"/>
    </row>
    <row r="22" spans="1:3">
      <c r="A22" s="895" t="s">
        <v>628</v>
      </c>
      <c r="B22" s="888">
        <f>-'Neizpildes, LVL'!H48</f>
        <v>229</v>
      </c>
      <c r="C22" s="888">
        <f>-'Neizpildes, LVL'!G48</f>
        <v>21539806.72116027</v>
      </c>
    </row>
    <row r="23" spans="1:3">
      <c r="A23" s="896" t="s">
        <v>137</v>
      </c>
      <c r="B23" s="888">
        <f>'Neizpildes, LVL'!H17</f>
        <v>0</v>
      </c>
      <c r="C23" s="888">
        <f>-'Neizpildes, LVL'!G17</f>
        <v>7037997.8813999966</v>
      </c>
    </row>
    <row r="24" spans="1:3">
      <c r="A24" s="895" t="s">
        <v>140</v>
      </c>
      <c r="B24" s="888">
        <f>-'Neizpildes, LVL'!H40</f>
        <v>4901637</v>
      </c>
      <c r="C24" s="888">
        <f>'Neizpildes, LVL'!G40</f>
        <v>0</v>
      </c>
    </row>
    <row r="25" spans="1:3">
      <c r="A25" s="896" t="s">
        <v>141</v>
      </c>
      <c r="B25" s="888">
        <f>-'Neizpildes, LVL'!H30</f>
        <v>588807.71</v>
      </c>
      <c r="C25" s="888">
        <f>'Neizpildes, LVL'!G30</f>
        <v>0</v>
      </c>
    </row>
    <row r="26" spans="1:3">
      <c r="A26" s="895" t="s">
        <v>5</v>
      </c>
      <c r="B26" s="888">
        <f>'Neizpildes, LVL'!H23</f>
        <v>0</v>
      </c>
      <c r="C26" s="888">
        <f>'Neizpildes, LVL'!G23</f>
        <v>0</v>
      </c>
    </row>
    <row r="27" spans="1:3">
      <c r="A27" s="896" t="s">
        <v>138</v>
      </c>
      <c r="B27" s="888">
        <f>'Neizpildes, LVL'!H33</f>
        <v>0</v>
      </c>
      <c r="C27" s="888">
        <f>'Neizpildes, LVL'!G33</f>
        <v>0</v>
      </c>
    </row>
    <row r="28" spans="1:3">
      <c r="A28" s="895" t="s">
        <v>626</v>
      </c>
      <c r="B28" s="888">
        <f>'Neizpildes, LVL'!H45</f>
        <v>0</v>
      </c>
      <c r="C28" s="888">
        <f>'Neizpildes, LVL'!G45</f>
        <v>0</v>
      </c>
    </row>
    <row r="29" spans="1:3" ht="15.75" thickBot="1"/>
    <row r="30" spans="1:3" ht="15.75" thickTop="1">
      <c r="A30" s="892" t="s">
        <v>635</v>
      </c>
      <c r="B30" s="893">
        <f>B22+B23+B24+B25+B26+B27+B28</f>
        <v>5490673.71</v>
      </c>
      <c r="C30" s="893">
        <f>C22+C23+C24+C25+C26+C27+C28</f>
        <v>28577804.602560267</v>
      </c>
    </row>
  </sheetData>
  <protectedRanges>
    <protectedRange sqref="B12:C12 B14:C14 B10:C10 B8:C8 B4:C4 B6:C6" name="footnote_7"/>
    <protectedRange sqref="A3:A16" name="footnote_1_6"/>
  </protectedRanges>
  <sortState ref="A22:C28">
    <sortCondition descending="1" ref="C22:C28"/>
  </sortState>
  <printOptions horizontalCentered="1"/>
  <pageMargins left="0.70866141732283472" right="0.70866141732283472" top="0.74803149606299213" bottom="0.74803149606299213" header="0.31496062992125984" footer="0.31496062992125984"/>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15"/>
  <sheetViews>
    <sheetView workbookViewId="0">
      <selection activeCell="E3" sqref="E3"/>
    </sheetView>
  </sheetViews>
  <sheetFormatPr defaultRowHeight="15"/>
  <cols>
    <col min="1" max="1" width="9.42578125" bestFit="1" customWidth="1"/>
    <col min="2" max="2" width="72.7109375" bestFit="1" customWidth="1"/>
    <col min="3" max="5" width="20.28515625" customWidth="1"/>
  </cols>
  <sheetData>
    <row r="2" spans="1:9" s="250" customFormat="1" ht="90">
      <c r="A2" s="250" t="s">
        <v>1403</v>
      </c>
      <c r="C2" s="991" t="s">
        <v>1417</v>
      </c>
      <c r="D2" s="991" t="s">
        <v>1418</v>
      </c>
      <c r="E2" s="991" t="s">
        <v>1396</v>
      </c>
      <c r="F2" s="991"/>
    </row>
    <row r="3" spans="1:9">
      <c r="A3" t="s">
        <v>2</v>
      </c>
      <c r="B3" t="s">
        <v>1416</v>
      </c>
      <c r="C3" s="100">
        <f>Prioritasu_dalijums!E16</f>
        <v>10753421</v>
      </c>
      <c r="D3" s="100">
        <f>Prioritasu_dalijums!F16</f>
        <v>9085608</v>
      </c>
      <c r="E3" s="100">
        <f>Prioritasu_dalijums!H16</f>
        <v>8823693.4900000002</v>
      </c>
    </row>
    <row r="4" spans="1:9">
      <c r="A4" t="s">
        <v>12</v>
      </c>
      <c r="B4" t="s">
        <v>1405</v>
      </c>
      <c r="C4" s="100">
        <f>Prioritasu_dalijums!E17</f>
        <v>8239369</v>
      </c>
      <c r="D4" s="100">
        <f>Prioritasu_dalijums!F17</f>
        <v>8239369</v>
      </c>
      <c r="E4" s="100">
        <f>Prioritasu_dalijums!H17</f>
        <v>8026238.0199999996</v>
      </c>
    </row>
    <row r="5" spans="1:9">
      <c r="A5" t="s">
        <v>383</v>
      </c>
      <c r="B5" t="s">
        <v>1406</v>
      </c>
      <c r="C5" s="100">
        <f>Prioritasu_dalijums!E18</f>
        <v>30353437</v>
      </c>
      <c r="D5" s="100">
        <f>Prioritasu_dalijums!F18</f>
        <v>25868593.390000001</v>
      </c>
      <c r="E5" s="100">
        <f>Prioritasu_dalijums!H18</f>
        <v>22008767.780000001</v>
      </c>
    </row>
    <row r="6" spans="1:9">
      <c r="A6" t="s">
        <v>40</v>
      </c>
      <c r="B6" t="s">
        <v>1407</v>
      </c>
      <c r="C6" s="100">
        <f>Prioritasu_dalijums!E19</f>
        <v>3325660</v>
      </c>
      <c r="D6" s="100">
        <f>Prioritasu_dalijums!F19</f>
        <v>2450171</v>
      </c>
      <c r="E6" s="100">
        <f>Prioritasu_dalijums!H19</f>
        <v>2229614.19</v>
      </c>
    </row>
    <row r="7" spans="1:9">
      <c r="A7" t="s">
        <v>146</v>
      </c>
      <c r="B7" t="s">
        <v>1408</v>
      </c>
      <c r="C7" s="100">
        <f>Prioritasu_dalijums!E22</f>
        <v>40814550</v>
      </c>
      <c r="D7" s="100">
        <f>Prioritasu_dalijums!F22</f>
        <v>7829105.6600000001</v>
      </c>
      <c r="E7" s="992">
        <f>Prioritasu_dalijums!H22</f>
        <v>1031684.8300000001</v>
      </c>
    </row>
    <row r="8" spans="1:9">
      <c r="A8" t="s">
        <v>71</v>
      </c>
      <c r="B8" t="s">
        <v>1409</v>
      </c>
      <c r="C8" s="100">
        <f>Prioritasu_dalijums!E24</f>
        <v>6000000</v>
      </c>
      <c r="D8" s="100">
        <f>Prioritasu_dalijums!F24</f>
        <v>0</v>
      </c>
      <c r="E8" s="100">
        <f>Prioritasu_dalijums!H24</f>
        <v>0</v>
      </c>
    </row>
    <row r="9" spans="1:9">
      <c r="A9" t="s">
        <v>77</v>
      </c>
      <c r="B9" t="s">
        <v>1410</v>
      </c>
      <c r="C9" s="100">
        <f>Prioritasu_dalijums!E26</f>
        <v>38871547</v>
      </c>
      <c r="D9" s="100">
        <f>Prioritasu_dalijums!F26</f>
        <v>18896234</v>
      </c>
      <c r="E9" s="100">
        <f>Prioritasu_dalijums!H26</f>
        <v>11225454.699999999</v>
      </c>
    </row>
    <row r="10" spans="1:9">
      <c r="A10" t="s">
        <v>95</v>
      </c>
      <c r="B10" t="s">
        <v>1411</v>
      </c>
      <c r="C10" s="100">
        <f>Prioritasu_dalijums!E27</f>
        <v>30966017</v>
      </c>
      <c r="D10" s="100">
        <f>Prioritasu_dalijums!F27</f>
        <v>29886922</v>
      </c>
      <c r="E10" s="100">
        <f>Prioritasu_dalijums!H27</f>
        <v>27296505.240000002</v>
      </c>
    </row>
    <row r="11" spans="1:9">
      <c r="A11" t="s">
        <v>202</v>
      </c>
      <c r="B11" t="s">
        <v>1412</v>
      </c>
      <c r="C11" s="100">
        <f>Prioritasu_dalijums!E28</f>
        <v>31087535</v>
      </c>
      <c r="D11" s="100">
        <f>Prioritasu_dalijums!F28</f>
        <v>27735190</v>
      </c>
      <c r="E11" s="100">
        <f>Prioritasu_dalijums!H28</f>
        <v>24971852.530000001</v>
      </c>
    </row>
    <row r="12" spans="1:9">
      <c r="A12" t="s">
        <v>110</v>
      </c>
      <c r="B12" t="s">
        <v>1413</v>
      </c>
      <c r="C12" s="100">
        <f>Prioritasu_dalijums!E29</f>
        <v>29242015</v>
      </c>
      <c r="D12" s="100">
        <f>Prioritasu_dalijums!F29</f>
        <v>19305417.990000002</v>
      </c>
      <c r="E12" s="100">
        <f>Prioritasu_dalijums!H29</f>
        <v>7488630.0000000037</v>
      </c>
    </row>
    <row r="13" spans="1:9">
      <c r="A13" t="s">
        <v>122</v>
      </c>
      <c r="B13" t="s">
        <v>1414</v>
      </c>
      <c r="C13" s="100">
        <f>Prioritasu_dalijums!E30</f>
        <v>3879949</v>
      </c>
      <c r="D13" s="100">
        <f>Prioritasu_dalijums!F30</f>
        <v>0</v>
      </c>
      <c r="E13" s="100">
        <f>Prioritasu_dalijums!H30</f>
        <v>0</v>
      </c>
    </row>
    <row r="14" spans="1:9">
      <c r="A14" t="s">
        <v>128</v>
      </c>
      <c r="B14" t="s">
        <v>1415</v>
      </c>
      <c r="C14" s="100">
        <f>Prioritasu_dalijums!E31</f>
        <v>50787563</v>
      </c>
      <c r="D14" s="100">
        <f>Prioritasu_dalijums!F31</f>
        <v>40500269</v>
      </c>
      <c r="E14" s="100">
        <f>Prioritasu_dalijums!H31</f>
        <v>37348827.109999999</v>
      </c>
    </row>
    <row r="15" spans="1:9" s="989" customFormat="1">
      <c r="A15" s="989" t="s">
        <v>1404</v>
      </c>
      <c r="C15" s="990">
        <f>SUM(C3:C14)</f>
        <v>284321063</v>
      </c>
      <c r="D15" s="990">
        <f t="shared" ref="D15:E15" si="0">SUM(D3:D14)</f>
        <v>189796880.03999999</v>
      </c>
      <c r="E15" s="990">
        <f t="shared" si="0"/>
        <v>150451267.88999999</v>
      </c>
      <c r="F15" s="990"/>
      <c r="G15" s="990"/>
      <c r="H15" s="990"/>
      <c r="I15" s="990"/>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263"/>
  <sheetViews>
    <sheetView view="pageBreakPreview" zoomScale="70" zoomScaleNormal="85" zoomScaleSheetLayoutView="70" workbookViewId="0">
      <pane xSplit="2" ySplit="16" topLeftCell="C17" activePane="bottomRight" state="frozen"/>
      <selection pane="topRight" activeCell="C1" sqref="C1"/>
      <selection pane="bottomLeft" activeCell="A17" sqref="A17"/>
      <selection pane="bottomRight" activeCell="AD6" sqref="AD6"/>
    </sheetView>
  </sheetViews>
  <sheetFormatPr defaultRowHeight="17.25" outlineLevelCol="1"/>
  <cols>
    <col min="1" max="1" width="13" style="4" customWidth="1"/>
    <col min="2" max="2" width="34.5703125" style="24" customWidth="1"/>
    <col min="3" max="3" width="9.7109375" style="4" customWidth="1"/>
    <col min="4" max="4" width="13" customWidth="1"/>
    <col min="5" max="5" width="19.140625" style="97" customWidth="1"/>
    <col min="6" max="7" width="19.140625" style="120" hidden="1" customWidth="1"/>
    <col min="8" max="8" width="19.140625" style="97" customWidth="1"/>
    <col min="9" max="9" width="19.140625" style="104" hidden="1" customWidth="1" outlineLevel="1"/>
    <col min="10" max="12" width="26.28515625" style="120" hidden="1" customWidth="1" outlineLevel="1"/>
    <col min="13" max="13" width="19.140625" style="104" hidden="1" customWidth="1" outlineLevel="1"/>
    <col min="14" max="14" width="19.140625" hidden="1" customWidth="1" outlineLevel="1"/>
    <col min="15" max="15" width="19.140625" style="120" hidden="1" customWidth="1" outlineLevel="1"/>
    <col min="16" max="17" width="19.140625" style="104" hidden="1" customWidth="1" outlineLevel="1"/>
    <col min="18" max="18" width="19.140625" hidden="1" customWidth="1" outlineLevel="1"/>
    <col min="19" max="19" width="19.140625" customWidth="1" collapsed="1"/>
    <col min="20" max="20" width="19.140625" style="104" hidden="1" customWidth="1" outlineLevel="1"/>
    <col min="21" max="21" width="19.140625" hidden="1" customWidth="1" outlineLevel="1"/>
    <col min="22" max="22" width="19.140625" customWidth="1" collapsed="1"/>
    <col min="23" max="23" width="19.140625" customWidth="1"/>
    <col min="24" max="24" width="19.140625" hidden="1" customWidth="1"/>
    <col min="25" max="25" width="19.140625" customWidth="1"/>
    <col min="26" max="26" width="19.140625" style="120" hidden="1" customWidth="1"/>
    <col min="27" max="27" width="19.140625" style="120" hidden="1" customWidth="1" collapsed="1"/>
    <col min="28" max="32" width="15.28515625" customWidth="1"/>
  </cols>
  <sheetData>
    <row r="1" spans="1:28" ht="24" customHeight="1">
      <c r="A1" s="253" t="s">
        <v>881</v>
      </c>
      <c r="B1" s="253"/>
      <c r="C1" s="253"/>
      <c r="D1" s="253"/>
      <c r="E1" s="258"/>
      <c r="F1" s="253"/>
      <c r="G1" s="253"/>
      <c r="H1" s="258"/>
      <c r="I1" s="253"/>
      <c r="J1" s="253"/>
      <c r="K1" s="253"/>
      <c r="L1" s="253"/>
      <c r="M1" s="253"/>
      <c r="N1" s="253"/>
      <c r="O1" s="253"/>
      <c r="P1" s="253"/>
      <c r="Q1" s="253"/>
      <c r="R1" s="253"/>
      <c r="S1" s="253"/>
      <c r="T1" s="253"/>
      <c r="U1" s="253"/>
      <c r="V1" s="253"/>
      <c r="W1" s="253"/>
      <c r="X1" s="253"/>
      <c r="Y1" s="253"/>
      <c r="Z1" s="263"/>
      <c r="AA1" s="870"/>
    </row>
    <row r="2" spans="1:28" ht="20.25">
      <c r="A2" s="254" t="s">
        <v>747</v>
      </c>
      <c r="B2" s="255"/>
      <c r="C2" s="255"/>
      <c r="D2" s="255"/>
      <c r="E2" s="259"/>
      <c r="F2" s="255"/>
      <c r="G2" s="255"/>
      <c r="H2" s="259"/>
      <c r="I2" s="255"/>
      <c r="J2" s="255"/>
      <c r="K2" s="255"/>
      <c r="L2" s="255"/>
      <c r="M2" s="255"/>
      <c r="N2" s="255"/>
      <c r="O2" s="255"/>
      <c r="P2" s="255"/>
      <c r="Q2" s="255"/>
      <c r="R2" s="255"/>
      <c r="S2" s="255"/>
      <c r="T2" s="255"/>
      <c r="U2" s="255"/>
      <c r="V2" s="255"/>
      <c r="W2" s="255"/>
      <c r="X2" s="255"/>
      <c r="Y2" s="255"/>
      <c r="Z2" s="264"/>
      <c r="AA2" s="871"/>
    </row>
    <row r="3" spans="1:28" ht="15.75" customHeight="1" thickBot="1">
      <c r="A3" s="59"/>
      <c r="B3" s="60"/>
      <c r="C3" s="59"/>
      <c r="D3" s="40"/>
      <c r="E3" s="275"/>
      <c r="F3" s="105"/>
      <c r="G3" s="105"/>
      <c r="H3" s="98"/>
      <c r="I3" s="103"/>
      <c r="J3" s="105"/>
      <c r="K3" s="105"/>
      <c r="L3" s="105"/>
      <c r="M3" s="103"/>
      <c r="N3" s="72"/>
      <c r="O3" s="122"/>
      <c r="P3" s="103"/>
      <c r="Q3" s="103"/>
      <c r="R3" s="72"/>
      <c r="S3" s="72"/>
      <c r="T3" s="916">
        <v>3270508733.5300002</v>
      </c>
      <c r="U3" s="72"/>
      <c r="V3" s="40"/>
      <c r="W3" s="72"/>
      <c r="X3" s="72"/>
      <c r="Y3" s="72"/>
      <c r="Z3" s="122"/>
      <c r="AB3" s="100"/>
    </row>
    <row r="4" spans="1:28" s="40" customFormat="1" ht="165.75" thickTop="1">
      <c r="A4" s="5" t="s">
        <v>631</v>
      </c>
      <c r="B4" s="6" t="s">
        <v>394</v>
      </c>
      <c r="C4" s="78" t="s">
        <v>395</v>
      </c>
      <c r="D4" s="78" t="s">
        <v>211</v>
      </c>
      <c r="E4" s="78" t="s">
        <v>666</v>
      </c>
      <c r="F4" s="106" t="s">
        <v>392</v>
      </c>
      <c r="G4" s="106" t="s">
        <v>634</v>
      </c>
      <c r="H4" s="78" t="s">
        <v>665</v>
      </c>
      <c r="I4" s="78" t="s">
        <v>656</v>
      </c>
      <c r="J4" s="106" t="s">
        <v>748</v>
      </c>
      <c r="K4" s="106" t="s">
        <v>749</v>
      </c>
      <c r="L4" s="106" t="s">
        <v>750</v>
      </c>
      <c r="M4" s="78" t="s">
        <v>829</v>
      </c>
      <c r="N4" s="46" t="s">
        <v>663</v>
      </c>
      <c r="O4" s="106" t="s">
        <v>664</v>
      </c>
      <c r="P4" s="78" t="s">
        <v>830</v>
      </c>
      <c r="Q4" s="78" t="s">
        <v>738</v>
      </c>
      <c r="R4" s="78" t="s">
        <v>739</v>
      </c>
      <c r="S4" s="78" t="s">
        <v>740</v>
      </c>
      <c r="T4" s="78" t="s">
        <v>741</v>
      </c>
      <c r="U4" s="78" t="s">
        <v>742</v>
      </c>
      <c r="V4" s="78" t="s">
        <v>743</v>
      </c>
      <c r="W4" s="78" t="s">
        <v>1394</v>
      </c>
      <c r="X4" s="78"/>
      <c r="Y4" s="78" t="s">
        <v>746</v>
      </c>
      <c r="Z4" s="106" t="s">
        <v>722</v>
      </c>
      <c r="AA4" s="106" t="s">
        <v>711</v>
      </c>
    </row>
    <row r="5" spans="1:28" s="40" customFormat="1" ht="16.5" customHeight="1">
      <c r="A5" s="7"/>
      <c r="B5" s="8"/>
      <c r="C5" s="79"/>
      <c r="D5" s="79"/>
      <c r="E5" s="96"/>
      <c r="F5" s="107"/>
      <c r="G5" s="107"/>
      <c r="H5" s="96"/>
      <c r="I5" s="79"/>
      <c r="J5" s="107"/>
      <c r="K5" s="107"/>
      <c r="L5" s="107"/>
      <c r="M5" s="79"/>
      <c r="N5" s="47"/>
      <c r="O5" s="107"/>
      <c r="P5" s="79"/>
      <c r="Q5" s="79"/>
      <c r="R5" s="79"/>
      <c r="S5" s="79"/>
      <c r="T5" s="79"/>
      <c r="U5" s="79"/>
      <c r="V5" s="79"/>
      <c r="W5" s="79"/>
      <c r="X5" s="79"/>
      <c r="Y5" s="79"/>
      <c r="Z5" s="872"/>
      <c r="AA5" s="108"/>
    </row>
    <row r="6" spans="1:28" s="40" customFormat="1" ht="16.5" customHeight="1">
      <c r="A6" s="9">
        <v>1</v>
      </c>
      <c r="B6" s="1">
        <v>2</v>
      </c>
      <c r="C6" s="1">
        <v>3</v>
      </c>
      <c r="D6" s="1">
        <v>4</v>
      </c>
      <c r="E6" s="1">
        <v>5</v>
      </c>
      <c r="F6" s="108" t="s">
        <v>655</v>
      </c>
      <c r="G6" s="108" t="s">
        <v>212</v>
      </c>
      <c r="H6" s="1">
        <v>6</v>
      </c>
      <c r="I6" s="1" t="s">
        <v>654</v>
      </c>
      <c r="J6" s="108">
        <v>7</v>
      </c>
      <c r="K6" s="108" t="s">
        <v>149</v>
      </c>
      <c r="L6" s="108" t="s">
        <v>219</v>
      </c>
      <c r="M6" s="1">
        <v>8</v>
      </c>
      <c r="N6" s="48" t="s">
        <v>213</v>
      </c>
      <c r="O6" s="108" t="s">
        <v>214</v>
      </c>
      <c r="P6" s="1" t="s">
        <v>217</v>
      </c>
      <c r="Q6" s="1" t="s">
        <v>218</v>
      </c>
      <c r="R6" s="1" t="s">
        <v>831</v>
      </c>
      <c r="S6" s="1" t="s">
        <v>215</v>
      </c>
      <c r="T6" s="1">
        <v>13</v>
      </c>
      <c r="U6" s="1" t="s">
        <v>216</v>
      </c>
      <c r="V6" s="1" t="s">
        <v>386</v>
      </c>
      <c r="W6" s="1" t="s">
        <v>387</v>
      </c>
      <c r="X6" s="1"/>
      <c r="Y6" s="1" t="s">
        <v>1393</v>
      </c>
      <c r="Z6" s="108"/>
      <c r="AA6" s="873" t="s">
        <v>710</v>
      </c>
    </row>
    <row r="7" spans="1:28" s="40" customFormat="1" ht="16.5" customHeight="1">
      <c r="A7" s="25"/>
      <c r="B7" s="26" t="s">
        <v>396</v>
      </c>
      <c r="C7" s="27"/>
      <c r="D7" s="27"/>
      <c r="E7" s="918">
        <f t="shared" ref="E7:Z7" si="0">E9+E10+E11</f>
        <v>3384365376.0099998</v>
      </c>
      <c r="F7" s="109"/>
      <c r="G7" s="109">
        <f t="shared" si="0"/>
        <v>7163639</v>
      </c>
      <c r="H7" s="28">
        <f t="shared" si="0"/>
        <v>284321063</v>
      </c>
      <c r="I7" s="28">
        <f t="shared" si="0"/>
        <v>267738133.91192004</v>
      </c>
      <c r="J7" s="109">
        <f t="shared" si="0"/>
        <v>2921590310.8499999</v>
      </c>
      <c r="K7" s="109">
        <f t="shared" si="0"/>
        <v>7735346.9800000004</v>
      </c>
      <c r="L7" s="109">
        <f t="shared" si="0"/>
        <v>72301064.780000001</v>
      </c>
      <c r="M7" s="28">
        <f t="shared" si="0"/>
        <v>80036411.75999999</v>
      </c>
      <c r="N7" s="49">
        <f t="shared" si="0"/>
        <v>469938704.16000003</v>
      </c>
      <c r="O7" s="109">
        <f t="shared" si="0"/>
        <v>754259767.16000009</v>
      </c>
      <c r="P7" s="28">
        <f t="shared" si="0"/>
        <v>35750259</v>
      </c>
      <c r="Q7" s="28">
        <f t="shared" si="0"/>
        <v>46432132.109999999</v>
      </c>
      <c r="R7" s="28">
        <f t="shared" si="0"/>
        <v>82182391.109999999</v>
      </c>
      <c r="S7" s="28">
        <f t="shared" si="0"/>
        <v>46745755.129999995</v>
      </c>
      <c r="T7" s="28">
        <f t="shared" si="0"/>
        <v>3270508733.5300002</v>
      </c>
      <c r="U7" s="28">
        <f t="shared" si="0"/>
        <v>348918422.68000025</v>
      </c>
      <c r="V7" s="28">
        <f t="shared" si="0"/>
        <v>358595589.34999979</v>
      </c>
      <c r="W7" s="28">
        <f t="shared" si="0"/>
        <v>259275858.78999984</v>
      </c>
      <c r="X7" s="28"/>
      <c r="Y7" s="28">
        <f t="shared" si="0"/>
        <v>189796880.04000002</v>
      </c>
      <c r="Z7" s="109" t="e">
        <f t="shared" si="0"/>
        <v>#REF!</v>
      </c>
      <c r="AA7" s="874">
        <f>Y7/H7</f>
        <v>0.66754421229777139</v>
      </c>
    </row>
    <row r="8" spans="1:28" s="40" customFormat="1" ht="16.5" customHeight="1">
      <c r="A8" s="3"/>
      <c r="B8" s="3"/>
      <c r="C8" s="1"/>
      <c r="D8" s="1"/>
      <c r="E8" s="2"/>
      <c r="F8" s="110"/>
      <c r="G8" s="110"/>
      <c r="H8" s="101"/>
      <c r="I8" s="2"/>
      <c r="J8" s="110"/>
      <c r="K8" s="110"/>
      <c r="L8" s="110"/>
      <c r="M8" s="2"/>
      <c r="N8" s="50"/>
      <c r="O8" s="110"/>
      <c r="P8" s="2"/>
      <c r="Q8" s="2"/>
      <c r="R8" s="2"/>
      <c r="S8" s="2"/>
      <c r="T8" s="2"/>
      <c r="U8" s="2"/>
      <c r="V8" s="2"/>
      <c r="W8" s="2"/>
      <c r="X8" s="2"/>
      <c r="Y8" s="2"/>
      <c r="Z8" s="110"/>
      <c r="AA8" s="875"/>
    </row>
    <row r="9" spans="1:28" s="40" customFormat="1" ht="16.5" customHeight="1">
      <c r="A9" s="25"/>
      <c r="B9" s="26" t="s">
        <v>397</v>
      </c>
      <c r="C9" s="27"/>
      <c r="D9" s="27"/>
      <c r="E9" s="919">
        <f t="shared" ref="E9:G9" si="1">E13</f>
        <v>459322460.71999997</v>
      </c>
      <c r="F9" s="111"/>
      <c r="G9" s="111">
        <f t="shared" si="1"/>
        <v>7163639</v>
      </c>
      <c r="H9" s="29">
        <f t="shared" ref="H9:T9" si="2">H13</f>
        <v>52671887</v>
      </c>
      <c r="I9" s="29">
        <f t="shared" si="2"/>
        <v>44734381.961084932</v>
      </c>
      <c r="J9" s="111">
        <f t="shared" si="2"/>
        <v>451693994.00000006</v>
      </c>
      <c r="K9" s="111">
        <f t="shared" si="2"/>
        <v>1317677.03</v>
      </c>
      <c r="L9" s="111">
        <f t="shared" si="2"/>
        <v>4252286.82</v>
      </c>
      <c r="M9" s="29">
        <f t="shared" si="2"/>
        <v>5569963.8499999996</v>
      </c>
      <c r="N9" s="51">
        <f t="shared" si="2"/>
        <v>14792105.719999978</v>
      </c>
      <c r="O9" s="111">
        <f t="shared" si="2"/>
        <v>67463992.719999969</v>
      </c>
      <c r="P9" s="29">
        <f t="shared" ref="P9" si="3">P13</f>
        <v>5947210</v>
      </c>
      <c r="Q9" s="29">
        <f t="shared" si="2"/>
        <v>4552463.66</v>
      </c>
      <c r="R9" s="29">
        <f t="shared" si="2"/>
        <v>10499673.66</v>
      </c>
      <c r="S9" s="29">
        <f t="shared" si="2"/>
        <v>4929709.8100000005</v>
      </c>
      <c r="T9" s="29">
        <f t="shared" si="2"/>
        <v>498739096.25</v>
      </c>
      <c r="U9" s="29">
        <f t="shared" ref="U9:Y9" si="4">U13</f>
        <v>47045102.249999978</v>
      </c>
      <c r="V9" s="29">
        <f t="shared" si="4"/>
        <v>15489180.659999996</v>
      </c>
      <c r="W9" s="29">
        <f t="shared" si="4"/>
        <v>3675074.61</v>
      </c>
      <c r="X9" s="29"/>
      <c r="Y9" s="90">
        <f t="shared" si="4"/>
        <v>45643741.390000001</v>
      </c>
      <c r="Z9" s="876" t="e">
        <f t="shared" ref="Z9" si="5">Z13</f>
        <v>#REF!</v>
      </c>
      <c r="AA9" s="877">
        <f>Y9/H9</f>
        <v>0.86656742314927881</v>
      </c>
      <c r="AB9" s="72"/>
    </row>
    <row r="10" spans="1:28" s="40" customFormat="1" ht="16.5" customHeight="1">
      <c r="A10" s="25"/>
      <c r="B10" s="26" t="s">
        <v>398</v>
      </c>
      <c r="C10" s="27"/>
      <c r="D10" s="27"/>
      <c r="E10" s="919">
        <f t="shared" ref="E10:G10" si="6">E14+E153</f>
        <v>1777009488.9400001</v>
      </c>
      <c r="F10" s="111"/>
      <c r="G10" s="111">
        <f t="shared" si="6"/>
        <v>0</v>
      </c>
      <c r="H10" s="29">
        <f t="shared" ref="H10:T10" si="7">H14+H153</f>
        <v>196681692</v>
      </c>
      <c r="I10" s="29">
        <f t="shared" si="7"/>
        <v>192744081.15964395</v>
      </c>
      <c r="J10" s="111">
        <f t="shared" si="7"/>
        <v>1458735305.48</v>
      </c>
      <c r="K10" s="111">
        <f t="shared" si="7"/>
        <v>5972727.8300000001</v>
      </c>
      <c r="L10" s="111">
        <f t="shared" si="7"/>
        <v>65003777.959999993</v>
      </c>
      <c r="M10" s="29">
        <f t="shared" si="7"/>
        <v>70976505.789999992</v>
      </c>
      <c r="N10" s="51">
        <f>N14+N153</f>
        <v>318274183.45999992</v>
      </c>
      <c r="O10" s="111">
        <f t="shared" si="7"/>
        <v>514955875.45999998</v>
      </c>
      <c r="P10" s="29">
        <f t="shared" ref="P10" si="8">P14+P153</f>
        <v>25132170</v>
      </c>
      <c r="Q10" s="29">
        <f t="shared" si="7"/>
        <v>33278451.309999999</v>
      </c>
      <c r="R10" s="29">
        <f t="shared" si="7"/>
        <v>58410621.310000002</v>
      </c>
      <c r="S10" s="29">
        <f t="shared" si="7"/>
        <v>32033891.299999997</v>
      </c>
      <c r="T10" s="29">
        <f t="shared" si="7"/>
        <v>1746250841.8900001</v>
      </c>
      <c r="U10" s="29">
        <f t="shared" ref="U10:Y10" si="9">U14+U153</f>
        <v>287515536.41000003</v>
      </c>
      <c r="V10" s="29">
        <f t="shared" si="9"/>
        <v>195406447.74999985</v>
      </c>
      <c r="W10" s="29">
        <f t="shared" si="9"/>
        <v>115323270.17999989</v>
      </c>
      <c r="X10" s="29"/>
      <c r="Y10" s="90">
        <f t="shared" si="9"/>
        <v>116417948.65000001</v>
      </c>
      <c r="Z10" s="876" t="e">
        <f t="shared" ref="Z10" si="10">Z14+Z153</f>
        <v>#REF!</v>
      </c>
      <c r="AA10" s="877">
        <f>Y10/H10</f>
        <v>0.59191044914338042</v>
      </c>
      <c r="AB10" s="72"/>
    </row>
    <row r="11" spans="1:28" s="40" customFormat="1" ht="16.5" customHeight="1">
      <c r="A11" s="25"/>
      <c r="B11" s="26" t="s">
        <v>399</v>
      </c>
      <c r="C11" s="27"/>
      <c r="D11" s="27"/>
      <c r="E11" s="919">
        <f>E154</f>
        <v>1148033426.3499999</v>
      </c>
      <c r="F11" s="111"/>
      <c r="G11" s="111">
        <f t="shared" ref="G11" si="11">G154</f>
        <v>0</v>
      </c>
      <c r="H11" s="29">
        <f t="shared" ref="H11:T11" si="12">H154</f>
        <v>34967484</v>
      </c>
      <c r="I11" s="29">
        <f t="shared" si="12"/>
        <v>30259670.791191168</v>
      </c>
      <c r="J11" s="111">
        <f t="shared" si="12"/>
        <v>1011161011.3699999</v>
      </c>
      <c r="K11" s="111">
        <f t="shared" si="12"/>
        <v>444942.12000000005</v>
      </c>
      <c r="L11" s="111">
        <f t="shared" si="12"/>
        <v>3045000</v>
      </c>
      <c r="M11" s="29">
        <f t="shared" si="12"/>
        <v>3489942.1199999996</v>
      </c>
      <c r="N11" s="51">
        <f t="shared" si="12"/>
        <v>136872414.98000014</v>
      </c>
      <c r="O11" s="111">
        <f>O154</f>
        <v>171839898.98000014</v>
      </c>
      <c r="P11" s="29">
        <f t="shared" ref="P11" si="13">P154</f>
        <v>4670879</v>
      </c>
      <c r="Q11" s="29">
        <f t="shared" si="12"/>
        <v>8601217.1400000006</v>
      </c>
      <c r="R11" s="29">
        <f t="shared" si="12"/>
        <v>13272096.140000001</v>
      </c>
      <c r="S11" s="29">
        <f t="shared" si="12"/>
        <v>9782154.0199999996</v>
      </c>
      <c r="T11" s="29">
        <f t="shared" si="12"/>
        <v>1025518795.39</v>
      </c>
      <c r="U11" s="29">
        <f t="shared" ref="U11:Y11" si="14">U154</f>
        <v>14357784.020000193</v>
      </c>
      <c r="V11" s="29">
        <f t="shared" si="14"/>
        <v>147699960.93999994</v>
      </c>
      <c r="W11" s="29">
        <f t="shared" si="14"/>
        <v>140277513.99999997</v>
      </c>
      <c r="X11" s="29"/>
      <c r="Y11" s="90">
        <f t="shared" si="14"/>
        <v>27735190</v>
      </c>
      <c r="Z11" s="876" t="e">
        <f t="shared" ref="Z11" si="15">Z154</f>
        <v>#REF!</v>
      </c>
      <c r="AA11" s="877">
        <f>Y11/H11</f>
        <v>0.79317087840806622</v>
      </c>
      <c r="AB11" s="72"/>
    </row>
    <row r="12" spans="1:28" s="40" customFormat="1" ht="16.5" customHeight="1">
      <c r="A12" s="3"/>
      <c r="B12" s="3"/>
      <c r="C12" s="1"/>
      <c r="D12" s="1"/>
      <c r="E12" s="2"/>
      <c r="F12" s="110"/>
      <c r="G12" s="110"/>
      <c r="H12" s="102" t="s">
        <v>671</v>
      </c>
      <c r="I12" s="2"/>
      <c r="J12" s="110"/>
      <c r="K12" s="110"/>
      <c r="L12" s="110"/>
      <c r="M12" s="2"/>
      <c r="N12" s="50"/>
      <c r="O12" s="110"/>
      <c r="P12" s="2"/>
      <c r="Q12" s="2"/>
      <c r="R12" s="2"/>
      <c r="S12" s="2"/>
      <c r="T12" s="2"/>
      <c r="U12" s="2"/>
      <c r="V12" s="2"/>
      <c r="W12" s="2"/>
      <c r="X12" s="2"/>
      <c r="Y12" s="2"/>
      <c r="Z12" s="110"/>
      <c r="AA12" s="875"/>
    </row>
    <row r="13" spans="1:28" s="40" customFormat="1" ht="16.5" customHeight="1">
      <c r="A13" s="25"/>
      <c r="B13" s="26" t="s">
        <v>400</v>
      </c>
      <c r="C13" s="27"/>
      <c r="D13" s="29"/>
      <c r="E13" s="919">
        <f t="shared" ref="E13:G13" si="16">E16</f>
        <v>459322460.71999997</v>
      </c>
      <c r="F13" s="111"/>
      <c r="G13" s="111">
        <f t="shared" si="16"/>
        <v>7163639</v>
      </c>
      <c r="H13" s="29">
        <f t="shared" ref="H13:T13" si="17">H16</f>
        <v>52671887</v>
      </c>
      <c r="I13" s="29">
        <f t="shared" si="17"/>
        <v>44734381.961084932</v>
      </c>
      <c r="J13" s="111">
        <f t="shared" si="17"/>
        <v>451693994.00000006</v>
      </c>
      <c r="K13" s="111">
        <f t="shared" si="17"/>
        <v>1317677.03</v>
      </c>
      <c r="L13" s="111">
        <f t="shared" si="17"/>
        <v>4252286.82</v>
      </c>
      <c r="M13" s="29">
        <f t="shared" si="17"/>
        <v>5569963.8499999996</v>
      </c>
      <c r="N13" s="51">
        <f t="shared" si="17"/>
        <v>14792105.719999978</v>
      </c>
      <c r="O13" s="111">
        <f t="shared" si="17"/>
        <v>67463992.719999969</v>
      </c>
      <c r="P13" s="29">
        <f t="shared" ref="P13" si="18">P16</f>
        <v>5947210</v>
      </c>
      <c r="Q13" s="29">
        <f t="shared" si="17"/>
        <v>4552463.66</v>
      </c>
      <c r="R13" s="29">
        <f t="shared" si="17"/>
        <v>10499673.66</v>
      </c>
      <c r="S13" s="29">
        <f t="shared" si="17"/>
        <v>4929709.8100000005</v>
      </c>
      <c r="T13" s="29">
        <f t="shared" si="17"/>
        <v>498739096.25</v>
      </c>
      <c r="U13" s="29">
        <f t="shared" ref="U13:W13" si="19">U16</f>
        <v>47045102.249999978</v>
      </c>
      <c r="V13" s="29">
        <f t="shared" si="19"/>
        <v>15489180.659999996</v>
      </c>
      <c r="W13" s="29">
        <f t="shared" si="19"/>
        <v>3675074.61</v>
      </c>
      <c r="X13" s="29"/>
      <c r="Y13" s="90">
        <f>Y16</f>
        <v>45643741.390000001</v>
      </c>
      <c r="Z13" s="876" t="e">
        <f t="shared" ref="Z13" si="20">Z16</f>
        <v>#REF!</v>
      </c>
      <c r="AA13" s="877">
        <f t="shared" ref="AA13:AA76" si="21">Y13/H13</f>
        <v>0.86656742314927881</v>
      </c>
      <c r="AB13" s="72"/>
    </row>
    <row r="14" spans="1:28" s="40" customFormat="1" ht="16.5" customHeight="1">
      <c r="A14" s="25"/>
      <c r="B14" s="26" t="s">
        <v>401</v>
      </c>
      <c r="C14" s="27"/>
      <c r="D14" s="29"/>
      <c r="E14" s="919">
        <f t="shared" ref="E14:G14" si="22">E107</f>
        <v>544793770.04000008</v>
      </c>
      <c r="F14" s="111"/>
      <c r="G14" s="111">
        <f t="shared" si="22"/>
        <v>0</v>
      </c>
      <c r="H14" s="29">
        <f t="shared" ref="H14:T14" si="23">H107</f>
        <v>46814550</v>
      </c>
      <c r="I14" s="29">
        <f t="shared" si="23"/>
        <v>46814405.118455425</v>
      </c>
      <c r="J14" s="111">
        <f t="shared" si="23"/>
        <v>449619275</v>
      </c>
      <c r="K14" s="111">
        <f t="shared" si="23"/>
        <v>1531874.9100000001</v>
      </c>
      <c r="L14" s="111">
        <f t="shared" si="23"/>
        <v>43649918.289999992</v>
      </c>
      <c r="M14" s="29">
        <f t="shared" si="23"/>
        <v>45181793.200000003</v>
      </c>
      <c r="N14" s="51">
        <f t="shared" si="23"/>
        <v>95174495.039999992</v>
      </c>
      <c r="O14" s="111">
        <f t="shared" si="23"/>
        <v>141989045.04000002</v>
      </c>
      <c r="P14" s="29">
        <f t="shared" ref="P14" si="24">P107</f>
        <v>1789635</v>
      </c>
      <c r="Q14" s="29">
        <f t="shared" si="23"/>
        <v>5595303</v>
      </c>
      <c r="R14" s="29">
        <f t="shared" si="23"/>
        <v>7384938</v>
      </c>
      <c r="S14" s="29">
        <f t="shared" si="23"/>
        <v>6802920.5800000001</v>
      </c>
      <c r="T14" s="29">
        <f t="shared" si="23"/>
        <v>452697626.89000005</v>
      </c>
      <c r="U14" s="29">
        <f t="shared" ref="U14:Y14" si="25">U107</f>
        <v>3078351.8899999894</v>
      </c>
      <c r="V14" s="29">
        <f t="shared" si="25"/>
        <v>132107772.57000001</v>
      </c>
      <c r="W14" s="29">
        <f t="shared" si="25"/>
        <v>85884131.140000001</v>
      </c>
      <c r="X14" s="29"/>
      <c r="Y14" s="90">
        <f t="shared" si="25"/>
        <v>7829105.6600000001</v>
      </c>
      <c r="Z14" s="876" t="e">
        <f t="shared" ref="Z14" si="26">Z107</f>
        <v>#REF!</v>
      </c>
      <c r="AA14" s="877">
        <f t="shared" si="21"/>
        <v>0.167236589051908</v>
      </c>
      <c r="AB14" s="72"/>
    </row>
    <row r="15" spans="1:28" s="40" customFormat="1" ht="16.5" customHeight="1">
      <c r="A15" s="25"/>
      <c r="B15" s="26" t="s">
        <v>402</v>
      </c>
      <c r="C15" s="27"/>
      <c r="D15" s="29"/>
      <c r="E15" s="919">
        <f t="shared" ref="E15:G15" si="27">E152</f>
        <v>2380249145.25</v>
      </c>
      <c r="F15" s="111"/>
      <c r="G15" s="111">
        <f t="shared" si="27"/>
        <v>0</v>
      </c>
      <c r="H15" s="29">
        <f t="shared" ref="H15:T15" si="28">H152</f>
        <v>184834626</v>
      </c>
      <c r="I15" s="29">
        <f t="shared" si="28"/>
        <v>176189346.83237967</v>
      </c>
      <c r="J15" s="111">
        <f t="shared" si="28"/>
        <v>2020277041.8499999</v>
      </c>
      <c r="K15" s="111">
        <f t="shared" si="28"/>
        <v>4885795.04</v>
      </c>
      <c r="L15" s="111">
        <f t="shared" si="28"/>
        <v>24398859.669999998</v>
      </c>
      <c r="M15" s="29">
        <f t="shared" si="28"/>
        <v>29284654.709999997</v>
      </c>
      <c r="N15" s="51">
        <f t="shared" si="28"/>
        <v>359972103.4000001</v>
      </c>
      <c r="O15" s="111">
        <f t="shared" si="28"/>
        <v>544806729.4000001</v>
      </c>
      <c r="P15" s="29">
        <f t="shared" ref="P15" si="29">P152</f>
        <v>28013414</v>
      </c>
      <c r="Q15" s="29">
        <f t="shared" si="28"/>
        <v>36284365.450000003</v>
      </c>
      <c r="R15" s="29">
        <f>R152</f>
        <v>64297779.450000003</v>
      </c>
      <c r="S15" s="29">
        <f t="shared" si="28"/>
        <v>35013124.739999995</v>
      </c>
      <c r="T15" s="29">
        <f t="shared" si="28"/>
        <v>2319072010.3899999</v>
      </c>
      <c r="U15" s="29">
        <f t="shared" ref="U15:Y15" si="30">U152</f>
        <v>298794968.54000026</v>
      </c>
      <c r="V15" s="29">
        <f t="shared" si="30"/>
        <v>210998636.1199998</v>
      </c>
      <c r="W15" s="29">
        <f t="shared" si="30"/>
        <v>169716653.03999984</v>
      </c>
      <c r="X15" s="29"/>
      <c r="Y15" s="90">
        <f t="shared" si="30"/>
        <v>136324032.99000001</v>
      </c>
      <c r="Z15" s="876" t="e">
        <f t="shared" ref="Z15" si="31">Z152</f>
        <v>#REF!</v>
      </c>
      <c r="AA15" s="877">
        <f t="shared" si="21"/>
        <v>0.73754596711765474</v>
      </c>
      <c r="AB15" s="72"/>
    </row>
    <row r="16" spans="1:28" s="40" customFormat="1" ht="17.25" customHeight="1">
      <c r="A16" s="10">
        <v>1</v>
      </c>
      <c r="B16" s="11" t="s">
        <v>403</v>
      </c>
      <c r="C16" s="12" t="s">
        <v>0</v>
      </c>
      <c r="D16" s="12" t="s">
        <v>1</v>
      </c>
      <c r="E16" s="13">
        <f t="shared" ref="E16:G16" si="32">E17+E29+E55+E77+E86+E104</f>
        <v>459322460.71999997</v>
      </c>
      <c r="F16" s="112"/>
      <c r="G16" s="112">
        <f t="shared" si="32"/>
        <v>7163639</v>
      </c>
      <c r="H16" s="260">
        <f t="shared" ref="H16:T16" si="33">H17+H29+H55+H77+H86+H104</f>
        <v>52671887</v>
      </c>
      <c r="I16" s="13">
        <f t="shared" ref="I16:L16" si="34">I17+I29+I55+I77+I86+I104</f>
        <v>44734381.961084932</v>
      </c>
      <c r="J16" s="112">
        <f t="shared" si="34"/>
        <v>451693994.00000006</v>
      </c>
      <c r="K16" s="112">
        <f t="shared" si="34"/>
        <v>1317677.03</v>
      </c>
      <c r="L16" s="112">
        <f t="shared" si="34"/>
        <v>4252286.82</v>
      </c>
      <c r="M16" s="13">
        <f t="shared" si="33"/>
        <v>5569963.8499999996</v>
      </c>
      <c r="N16" s="52">
        <f>N17+N29+N55+N77+N86+N104</f>
        <v>14792105.719999978</v>
      </c>
      <c r="O16" s="112">
        <f t="shared" si="33"/>
        <v>67463992.719999969</v>
      </c>
      <c r="P16" s="13">
        <v>5947210</v>
      </c>
      <c r="Q16" s="13">
        <f t="shared" si="33"/>
        <v>4552463.66</v>
      </c>
      <c r="R16" s="13">
        <f>P16+Q16</f>
        <v>10499673.66</v>
      </c>
      <c r="S16" s="13">
        <f t="shared" si="33"/>
        <v>4929709.8100000005</v>
      </c>
      <c r="T16" s="13">
        <f t="shared" si="33"/>
        <v>498739096.25</v>
      </c>
      <c r="U16" s="13">
        <f t="shared" ref="U16:Y16" si="35">U17+U29+U55+U77+U86+U104</f>
        <v>47045102.249999978</v>
      </c>
      <c r="V16" s="13">
        <f t="shared" si="35"/>
        <v>15489180.659999996</v>
      </c>
      <c r="W16" s="13">
        <f t="shared" si="35"/>
        <v>3675074.61</v>
      </c>
      <c r="X16" s="13"/>
      <c r="Y16" s="13">
        <f t="shared" si="35"/>
        <v>45643741.390000001</v>
      </c>
      <c r="Z16" s="112" t="e">
        <f t="shared" ref="Z16" si="36">Z17+Z29+Z55+Z77+Z86+Z104</f>
        <v>#REF!</v>
      </c>
      <c r="AA16" s="878">
        <f t="shared" si="21"/>
        <v>0.86656742314927881</v>
      </c>
    </row>
    <row r="17" spans="1:27" s="40" customFormat="1" ht="16.5" customHeight="1">
      <c r="A17" s="14" t="s">
        <v>2</v>
      </c>
      <c r="B17" s="15" t="s">
        <v>404</v>
      </c>
      <c r="C17" s="16" t="s">
        <v>0</v>
      </c>
      <c r="D17" s="16"/>
      <c r="E17" s="17">
        <f t="shared" ref="E17:G17" si="37">E18+E22</f>
        <v>91518201.449999988</v>
      </c>
      <c r="F17" s="113"/>
      <c r="G17" s="113">
        <f t="shared" si="37"/>
        <v>0</v>
      </c>
      <c r="H17" s="261">
        <f t="shared" ref="H17:L17" si="38">H18+H22</f>
        <v>10753421</v>
      </c>
      <c r="I17" s="17">
        <f t="shared" si="38"/>
        <v>9304935.1912999991</v>
      </c>
      <c r="J17" s="113">
        <f t="shared" si="38"/>
        <v>85675542</v>
      </c>
      <c r="K17" s="113">
        <f t="shared" si="38"/>
        <v>53029.49</v>
      </c>
      <c r="L17" s="113">
        <f t="shared" si="38"/>
        <v>363547</v>
      </c>
      <c r="M17" s="17">
        <f t="shared" ref="M17" si="39">M18+M22</f>
        <v>416576.49</v>
      </c>
      <c r="N17" s="53">
        <f t="shared" ref="N17" si="40">N18+N22</f>
        <v>5842659.4499999965</v>
      </c>
      <c r="O17" s="113">
        <f t="shared" ref="O17" si="41">O18+O22</f>
        <v>16596080.449999996</v>
      </c>
      <c r="P17" s="17">
        <v>314944</v>
      </c>
      <c r="Q17" s="17">
        <f t="shared" ref="Q17" si="42">Q18+Q22</f>
        <v>363547</v>
      </c>
      <c r="R17" s="17">
        <f>P17+Q17</f>
        <v>678491</v>
      </c>
      <c r="S17" s="17">
        <f t="shared" ref="S17" si="43">S18+S22</f>
        <v>261914.50999999998</v>
      </c>
      <c r="T17" s="17">
        <f t="shared" ref="T17:Y17" si="44">T18+T22</f>
        <v>99967901.760000005</v>
      </c>
      <c r="U17" s="17">
        <f t="shared" si="44"/>
        <v>14292359.760000002</v>
      </c>
      <c r="V17" s="17">
        <f t="shared" si="44"/>
        <v>2041806.179999995</v>
      </c>
      <c r="W17" s="17">
        <f t="shared" si="44"/>
        <v>3970.1899999973248</v>
      </c>
      <c r="X17" s="17"/>
      <c r="Y17" s="17">
        <f t="shared" si="44"/>
        <v>9085608</v>
      </c>
      <c r="Z17" s="113" t="e">
        <f t="shared" ref="Z17" si="45">Z18+Z22</f>
        <v>#REF!</v>
      </c>
      <c r="AA17" s="879">
        <f t="shared" si="21"/>
        <v>0.84490396126032818</v>
      </c>
    </row>
    <row r="18" spans="1:27" s="40" customFormat="1" ht="16.5" customHeight="1">
      <c r="A18" s="14" t="s">
        <v>3</v>
      </c>
      <c r="B18" s="15" t="s">
        <v>405</v>
      </c>
      <c r="C18" s="16" t="s">
        <v>0</v>
      </c>
      <c r="D18" s="16"/>
      <c r="E18" s="17">
        <f t="shared" ref="E18:G18" si="46">E19+E20+E21</f>
        <v>45147469.729999997</v>
      </c>
      <c r="F18" s="113"/>
      <c r="G18" s="113">
        <f t="shared" si="46"/>
        <v>0</v>
      </c>
      <c r="H18" s="261">
        <f t="shared" ref="H18:L18" si="47">H19+H20+H21</f>
        <v>10753421</v>
      </c>
      <c r="I18" s="17">
        <f t="shared" si="47"/>
        <v>9304935.1912999991</v>
      </c>
      <c r="J18" s="113">
        <f t="shared" si="47"/>
        <v>39314965</v>
      </c>
      <c r="K18" s="113">
        <f t="shared" si="47"/>
        <v>33184.32</v>
      </c>
      <c r="L18" s="113">
        <f t="shared" si="47"/>
        <v>0</v>
      </c>
      <c r="M18" s="17">
        <f t="shared" ref="M18" si="48">M19+M20+M21</f>
        <v>33184.32</v>
      </c>
      <c r="N18" s="53">
        <f t="shared" ref="N18" si="49">N19+N20+N21</f>
        <v>5832504.7299999967</v>
      </c>
      <c r="O18" s="113">
        <f t="shared" ref="O18" si="50">O19+O20+O21</f>
        <v>16585925.729999997</v>
      </c>
      <c r="P18" s="17">
        <v>152258</v>
      </c>
      <c r="Q18" s="17">
        <f t="shared" ref="Q18" si="51">Q19+Q20+Q21</f>
        <v>0</v>
      </c>
      <c r="R18" s="17">
        <f t="shared" ref="R18:R81" si="52">P18+Q18</f>
        <v>152258</v>
      </c>
      <c r="S18" s="17">
        <f t="shared" ref="S18" si="53">S19+S20+S21</f>
        <v>119073.68</v>
      </c>
      <c r="T18" s="17">
        <f t="shared" ref="T18:Y18" si="54">T19+T20+T21</f>
        <v>53721399</v>
      </c>
      <c r="U18" s="17">
        <f t="shared" si="54"/>
        <v>14406434</v>
      </c>
      <c r="V18" s="17">
        <f t="shared" si="54"/>
        <v>2060418.049999997</v>
      </c>
      <c r="W18" s="17">
        <f t="shared" si="54"/>
        <v>0</v>
      </c>
      <c r="X18" s="17"/>
      <c r="Y18" s="17">
        <f t="shared" si="54"/>
        <v>9085608</v>
      </c>
      <c r="Z18" s="113" t="e">
        <f t="shared" ref="Z18" si="55">Z19+Z20+Z21</f>
        <v>#REF!</v>
      </c>
      <c r="AA18" s="879">
        <f t="shared" si="21"/>
        <v>0.84490396126032818</v>
      </c>
    </row>
    <row r="19" spans="1:27" ht="16.5" customHeight="1">
      <c r="A19" s="19" t="s">
        <v>4</v>
      </c>
      <c r="B19" s="20" t="s">
        <v>406</v>
      </c>
      <c r="C19" s="21" t="s">
        <v>0</v>
      </c>
      <c r="D19" s="21" t="s">
        <v>5</v>
      </c>
      <c r="E19" s="22">
        <f>VLOOKUP($A19,publ_fin!$A:$I,8,FALSE)</f>
        <v>0</v>
      </c>
      <c r="F19" s="114">
        <v>0</v>
      </c>
      <c r="G19" s="115"/>
      <c r="H19" s="262">
        <v>0</v>
      </c>
      <c r="I19" s="22">
        <f>F19*H19</f>
        <v>0</v>
      </c>
      <c r="J19" s="117">
        <v>0</v>
      </c>
      <c r="K19" s="117">
        <v>0</v>
      </c>
      <c r="L19" s="117">
        <v>0</v>
      </c>
      <c r="M19" s="23">
        <f>K19+L19</f>
        <v>0</v>
      </c>
      <c r="N19" s="54">
        <f>E19-J19</f>
        <v>0</v>
      </c>
      <c r="O19" s="117">
        <f>H19+N19</f>
        <v>0</v>
      </c>
      <c r="P19" s="23">
        <v>0</v>
      </c>
      <c r="Q19" s="23">
        <f>IFERROR(VLOOKUP(A19,lauzti_līg!A:H,8,FALSE),0)</f>
        <v>0</v>
      </c>
      <c r="R19" s="23">
        <f t="shared" si="52"/>
        <v>0</v>
      </c>
      <c r="S19" s="23">
        <f>R19-M19</f>
        <v>0</v>
      </c>
      <c r="T19" s="23">
        <v>0</v>
      </c>
      <c r="U19" s="23">
        <f>T19-J19</f>
        <v>0</v>
      </c>
      <c r="V19" s="23">
        <f>O19-S19-U19</f>
        <v>0</v>
      </c>
      <c r="W19" s="23">
        <f>IF(N19&gt;=S19+U19,N19-S19-U19,0)</f>
        <v>0</v>
      </c>
      <c r="X19" s="23"/>
      <c r="Y19" s="23">
        <f>IF(H19=0,0, IF(T19-E19+R19-M19&lt;0, 0, T19-E19+R19-M19))</f>
        <v>0</v>
      </c>
      <c r="Z19" s="117">
        <v>0</v>
      </c>
      <c r="AA19" s="880" t="e">
        <f t="shared" si="21"/>
        <v>#DIV/0!</v>
      </c>
    </row>
    <row r="20" spans="1:27" ht="16.5" customHeight="1">
      <c r="A20" s="19" t="s">
        <v>170</v>
      </c>
      <c r="B20" s="20" t="s">
        <v>407</v>
      </c>
      <c r="C20" s="21" t="s">
        <v>0</v>
      </c>
      <c r="D20" s="21" t="s">
        <v>5</v>
      </c>
      <c r="E20" s="22">
        <f>VLOOKUP($A20,publ_fin!$A:$I,8,FALSE)</f>
        <v>45147469.729999997</v>
      </c>
      <c r="F20" s="114">
        <v>0.86529999999999996</v>
      </c>
      <c r="G20" s="920"/>
      <c r="H20" s="262">
        <v>10753421</v>
      </c>
      <c r="I20" s="22">
        <f>H20*F20</f>
        <v>9304935.1912999991</v>
      </c>
      <c r="J20" s="117">
        <v>39314965</v>
      </c>
      <c r="K20" s="117">
        <v>33184.32</v>
      </c>
      <c r="L20" s="117">
        <v>0</v>
      </c>
      <c r="M20" s="23">
        <f t="shared" ref="M20:M76" si="56">K20+L20</f>
        <v>33184.32</v>
      </c>
      <c r="N20" s="54">
        <f>E20-J20</f>
        <v>5832504.7299999967</v>
      </c>
      <c r="O20" s="117">
        <f>H20+N20</f>
        <v>16585925.729999997</v>
      </c>
      <c r="P20" s="23">
        <v>152258</v>
      </c>
      <c r="Q20" s="23">
        <f>IFERROR(VLOOKUP(A20,lauzti_līg!A:H,8,FALSE),0)</f>
        <v>0</v>
      </c>
      <c r="R20" s="23">
        <f t="shared" si="52"/>
        <v>152258</v>
      </c>
      <c r="S20" s="23">
        <f>R20-M20</f>
        <v>119073.68</v>
      </c>
      <c r="T20" s="23">
        <f>VLOOKUP(A20,Nosl_līg!A:H,8,0)</f>
        <v>53721399</v>
      </c>
      <c r="U20" s="23">
        <f>T20-J20</f>
        <v>14406434</v>
      </c>
      <c r="V20" s="23">
        <f>O20-S20-U20</f>
        <v>2060418.049999997</v>
      </c>
      <c r="W20" s="23">
        <f>IF(N20&gt;=S20+U20,N20-S20-U20,0)</f>
        <v>0</v>
      </c>
      <c r="X20" s="23"/>
      <c r="Y20" s="23">
        <v>9085608</v>
      </c>
      <c r="Z20" s="117" t="e">
        <f>VLOOKUP(A20,#REF!,63,FALSE)/F20+#REF!</f>
        <v>#REF!</v>
      </c>
      <c r="AA20" s="880">
        <f t="shared" si="21"/>
        <v>0.84490396126032818</v>
      </c>
    </row>
    <row r="21" spans="1:27" ht="16.5" customHeight="1">
      <c r="A21" s="19" t="s">
        <v>6</v>
      </c>
      <c r="B21" s="20" t="s">
        <v>408</v>
      </c>
      <c r="C21" s="21" t="s">
        <v>0</v>
      </c>
      <c r="D21" s="21" t="s">
        <v>5</v>
      </c>
      <c r="E21" s="22">
        <f>VLOOKUP($A21,publ_fin!$A:$I,8,FALSE)</f>
        <v>0</v>
      </c>
      <c r="F21" s="114">
        <v>0</v>
      </c>
      <c r="G21" s="115"/>
      <c r="H21" s="262">
        <v>0</v>
      </c>
      <c r="I21" s="22">
        <f>F21*H21</f>
        <v>0</v>
      </c>
      <c r="J21" s="117">
        <v>0</v>
      </c>
      <c r="K21" s="117">
        <v>0</v>
      </c>
      <c r="L21" s="117">
        <v>0</v>
      </c>
      <c r="M21" s="23">
        <f t="shared" si="56"/>
        <v>0</v>
      </c>
      <c r="N21" s="54">
        <f>E21-J21</f>
        <v>0</v>
      </c>
      <c r="O21" s="117">
        <f>H21+N21</f>
        <v>0</v>
      </c>
      <c r="P21" s="23">
        <v>0</v>
      </c>
      <c r="Q21" s="23">
        <f>IFERROR(VLOOKUP(A21,lauzti_līg!A:H,8,FALSE),0)</f>
        <v>0</v>
      </c>
      <c r="R21" s="23">
        <f t="shared" si="52"/>
        <v>0</v>
      </c>
      <c r="S21" s="23">
        <f>R21-M21</f>
        <v>0</v>
      </c>
      <c r="T21" s="23">
        <v>0</v>
      </c>
      <c r="U21" s="23">
        <f>T21-J21</f>
        <v>0</v>
      </c>
      <c r="V21" s="23">
        <f>O21-S21-U21</f>
        <v>0</v>
      </c>
      <c r="W21" s="23">
        <f>IF(N21&gt;=S21+U21,N21-S21-U21,0)</f>
        <v>0</v>
      </c>
      <c r="X21" s="23"/>
      <c r="Y21" s="23">
        <f>IF(H21=0,0, IF(T21-E21+R21-M21&lt;0, 0, T21-E21+R21-M21))</f>
        <v>0</v>
      </c>
      <c r="Z21" s="117">
        <v>0</v>
      </c>
      <c r="AA21" s="880" t="e">
        <f t="shared" si="21"/>
        <v>#DIV/0!</v>
      </c>
    </row>
    <row r="22" spans="1:27" s="40" customFormat="1" ht="16.5" customHeight="1">
      <c r="A22" s="14" t="s">
        <v>7</v>
      </c>
      <c r="B22" s="15" t="s">
        <v>409</v>
      </c>
      <c r="C22" s="16" t="s">
        <v>0</v>
      </c>
      <c r="D22" s="16" t="s">
        <v>5</v>
      </c>
      <c r="E22" s="17">
        <f t="shared" ref="E22:G22" si="57">E23+E26</f>
        <v>46370731.719999999</v>
      </c>
      <c r="F22" s="113"/>
      <c r="G22" s="113">
        <f t="shared" si="57"/>
        <v>0</v>
      </c>
      <c r="H22" s="261">
        <f t="shared" ref="H22:Y22" si="58">H23+H26</f>
        <v>0</v>
      </c>
      <c r="I22" s="17">
        <f t="shared" ref="I22:L22" si="59">I23+I26</f>
        <v>0</v>
      </c>
      <c r="J22" s="113">
        <f t="shared" si="59"/>
        <v>46360577</v>
      </c>
      <c r="K22" s="113">
        <f t="shared" si="59"/>
        <v>19845.169999999998</v>
      </c>
      <c r="L22" s="113">
        <f t="shared" si="59"/>
        <v>363547</v>
      </c>
      <c r="M22" s="17">
        <f t="shared" si="58"/>
        <v>383392.17</v>
      </c>
      <c r="N22" s="53">
        <f t="shared" si="58"/>
        <v>10154.719999999739</v>
      </c>
      <c r="O22" s="113">
        <f t="shared" si="58"/>
        <v>10154.719999999739</v>
      </c>
      <c r="P22" s="17">
        <v>162686</v>
      </c>
      <c r="Q22" s="17">
        <f t="shared" si="58"/>
        <v>363547</v>
      </c>
      <c r="R22" s="17">
        <f t="shared" si="52"/>
        <v>526233</v>
      </c>
      <c r="S22" s="17">
        <f t="shared" ref="S22:T22" si="60">S23+S26</f>
        <v>142840.82999999999</v>
      </c>
      <c r="T22" s="17">
        <f t="shared" si="60"/>
        <v>46246502.760000005</v>
      </c>
      <c r="U22" s="17">
        <f t="shared" si="58"/>
        <v>-114074.23999999836</v>
      </c>
      <c r="V22" s="17">
        <f t="shared" si="58"/>
        <v>-18611.870000001894</v>
      </c>
      <c r="W22" s="17">
        <f t="shared" si="58"/>
        <v>3970.1899999973248</v>
      </c>
      <c r="X22" s="17"/>
      <c r="Y22" s="17">
        <f t="shared" si="58"/>
        <v>0</v>
      </c>
      <c r="Z22" s="113" t="e">
        <f t="shared" ref="Z22" si="61">Z23+Z26</f>
        <v>#REF!</v>
      </c>
      <c r="AA22" s="879" t="e">
        <f t="shared" si="21"/>
        <v>#DIV/0!</v>
      </c>
    </row>
    <row r="23" spans="1:27" s="40" customFormat="1" ht="16.5" customHeight="1">
      <c r="A23" s="19" t="s">
        <v>8</v>
      </c>
      <c r="B23" s="20" t="s">
        <v>410</v>
      </c>
      <c r="C23" s="21" t="s">
        <v>0</v>
      </c>
      <c r="D23" s="21" t="s">
        <v>5</v>
      </c>
      <c r="E23" s="23">
        <f t="shared" ref="E23:G23" si="62">E24+E25</f>
        <v>45369236.719999999</v>
      </c>
      <c r="F23" s="116"/>
      <c r="G23" s="116">
        <f t="shared" si="62"/>
        <v>0</v>
      </c>
      <c r="H23" s="18">
        <f t="shared" ref="H23:Y23" si="63">H24+H25</f>
        <v>0</v>
      </c>
      <c r="I23" s="18">
        <f t="shared" ref="I23:L23" si="64">I24+I25</f>
        <v>0</v>
      </c>
      <c r="J23" s="116">
        <f t="shared" si="64"/>
        <v>45359082</v>
      </c>
      <c r="K23" s="116">
        <f t="shared" si="64"/>
        <v>19845.169999999998</v>
      </c>
      <c r="L23" s="116">
        <f t="shared" si="64"/>
        <v>363547</v>
      </c>
      <c r="M23" s="18">
        <f t="shared" si="63"/>
        <v>383392.17</v>
      </c>
      <c r="N23" s="54">
        <f t="shared" si="63"/>
        <v>10154.719999999739</v>
      </c>
      <c r="O23" s="116">
        <f t="shared" si="63"/>
        <v>10154.719999999739</v>
      </c>
      <c r="P23" s="18">
        <v>161437</v>
      </c>
      <c r="Q23" s="18">
        <f t="shared" si="63"/>
        <v>363547</v>
      </c>
      <c r="R23" s="18">
        <f t="shared" si="52"/>
        <v>524984</v>
      </c>
      <c r="S23" s="18">
        <f t="shared" ref="S23:T23" si="65">S24+S25</f>
        <v>141591.82999999999</v>
      </c>
      <c r="T23" s="18">
        <f t="shared" si="65"/>
        <v>45245007.760000005</v>
      </c>
      <c r="U23" s="18">
        <f t="shared" si="63"/>
        <v>-114074.23999999836</v>
      </c>
      <c r="V23" s="18">
        <f t="shared" si="63"/>
        <v>-17362.870000001894</v>
      </c>
      <c r="W23" s="18">
        <f t="shared" si="63"/>
        <v>3970.1899999973248</v>
      </c>
      <c r="X23" s="18"/>
      <c r="Y23" s="18">
        <f t="shared" si="63"/>
        <v>0</v>
      </c>
      <c r="Z23" s="116" t="e">
        <f t="shared" ref="Z23" si="66">Z24+Z25</f>
        <v>#REF!</v>
      </c>
      <c r="AA23" s="881" t="e">
        <f t="shared" si="21"/>
        <v>#DIV/0!</v>
      </c>
    </row>
    <row r="24" spans="1:27" ht="16.5" customHeight="1">
      <c r="A24" s="19" t="s">
        <v>225</v>
      </c>
      <c r="B24" s="20" t="s">
        <v>411</v>
      </c>
      <c r="C24" s="21" t="s">
        <v>0</v>
      </c>
      <c r="D24" s="21" t="s">
        <v>5</v>
      </c>
      <c r="E24" s="22">
        <f>VLOOKUP($A24,publ_fin!$A:$I,8,FALSE)</f>
        <v>8201016.3600000003</v>
      </c>
      <c r="F24" s="114">
        <v>0.89529999999999998</v>
      </c>
      <c r="G24" s="115"/>
      <c r="H24" s="262">
        <v>0</v>
      </c>
      <c r="I24" s="22">
        <f>F24*H24</f>
        <v>0</v>
      </c>
      <c r="J24" s="117">
        <v>8215129</v>
      </c>
      <c r="K24" s="117">
        <v>14984.1</v>
      </c>
      <c r="L24" s="117">
        <v>0</v>
      </c>
      <c r="M24" s="23">
        <f t="shared" si="56"/>
        <v>14984.1</v>
      </c>
      <c r="N24" s="54">
        <f>E24-J24</f>
        <v>-14112.639999999665</v>
      </c>
      <c r="O24" s="117">
        <f>H24+N24</f>
        <v>-14112.639999999665</v>
      </c>
      <c r="P24" s="23">
        <v>54811</v>
      </c>
      <c r="Q24" s="23">
        <f>IFERROR(VLOOKUP(A24,lauzti_līg!A:H,8,FALSE),0)</f>
        <v>0</v>
      </c>
      <c r="R24" s="23">
        <f t="shared" si="52"/>
        <v>54811</v>
      </c>
      <c r="S24" s="23">
        <f>R24-M24</f>
        <v>39826.9</v>
      </c>
      <c r="T24" s="23">
        <f>VLOOKUP(A24,Nosl_līg!A:H,8,0)</f>
        <v>8182522.5199999996</v>
      </c>
      <c r="U24" s="23">
        <f>T24-J24</f>
        <v>-32606.480000000447</v>
      </c>
      <c r="V24" s="23">
        <f>O24-S24-U24</f>
        <v>-21333.059999999219</v>
      </c>
      <c r="W24" s="23">
        <f>IF(N24&gt;=S24+U24,N24-S24-U24,0)</f>
        <v>0</v>
      </c>
      <c r="X24" s="23"/>
      <c r="Y24" s="23">
        <f>IF(H24=0,0, IF(T24-E24+R24-M24&lt;0, 0, T24-E24+R24-M24))</f>
        <v>0</v>
      </c>
      <c r="Z24" s="117" t="e">
        <f>VLOOKUP(A24,#REF!,63,FALSE)/F24+#REF!</f>
        <v>#REF!</v>
      </c>
      <c r="AA24" s="880" t="e">
        <f t="shared" si="21"/>
        <v>#DIV/0!</v>
      </c>
    </row>
    <row r="25" spans="1:27" ht="16.5" customHeight="1">
      <c r="A25" s="19" t="s">
        <v>227</v>
      </c>
      <c r="B25" s="20" t="s">
        <v>412</v>
      </c>
      <c r="C25" s="21" t="s">
        <v>0</v>
      </c>
      <c r="D25" s="21" t="s">
        <v>5</v>
      </c>
      <c r="E25" s="22">
        <f>VLOOKUP($A25,publ_fin!$A:$I,8,FALSE)</f>
        <v>37168220.359999999</v>
      </c>
      <c r="F25" s="114">
        <v>0.9335</v>
      </c>
      <c r="G25" s="115"/>
      <c r="H25" s="262">
        <v>0</v>
      </c>
      <c r="I25" s="22">
        <f>F25*H25</f>
        <v>0</v>
      </c>
      <c r="J25" s="117">
        <v>37143953</v>
      </c>
      <c r="K25" s="117">
        <v>4861.07</v>
      </c>
      <c r="L25" s="117">
        <v>363547</v>
      </c>
      <c r="M25" s="23">
        <f t="shared" si="56"/>
        <v>368408.07</v>
      </c>
      <c r="N25" s="54">
        <f>E25-J25</f>
        <v>24267.359999999404</v>
      </c>
      <c r="O25" s="117">
        <f>H25+N25</f>
        <v>24267.359999999404</v>
      </c>
      <c r="P25" s="23">
        <v>106626</v>
      </c>
      <c r="Q25" s="23">
        <f>IFERROR(VLOOKUP(A25,lauzti_līg!A:H,8,FALSE),0)</f>
        <v>363547</v>
      </c>
      <c r="R25" s="23">
        <f t="shared" si="52"/>
        <v>470173</v>
      </c>
      <c r="S25" s="23">
        <f>R25-M25</f>
        <v>101764.93</v>
      </c>
      <c r="T25" s="23">
        <f>VLOOKUP(A25,Nosl_līg!A:H,8,0)</f>
        <v>37062485.240000002</v>
      </c>
      <c r="U25" s="23">
        <f>T25-J25</f>
        <v>-81467.759999997914</v>
      </c>
      <c r="V25" s="23">
        <f>O25-S25-U25</f>
        <v>3970.1899999973248</v>
      </c>
      <c r="W25" s="23">
        <f>IF(N25&gt;=S25+U25,N25-S25-U25,0)</f>
        <v>3970.1899999973248</v>
      </c>
      <c r="X25" s="23"/>
      <c r="Y25" s="23">
        <f>IF(H25=0,0, IF(T25-E25+R25-M25&lt;0, 0, T25-E25+R25-M25))</f>
        <v>0</v>
      </c>
      <c r="Z25" s="117" t="e">
        <f>VLOOKUP(A25,#REF!,63,FALSE)/F25+#REF!</f>
        <v>#REF!</v>
      </c>
      <c r="AA25" s="880" t="e">
        <f t="shared" si="21"/>
        <v>#DIV/0!</v>
      </c>
    </row>
    <row r="26" spans="1:27" s="40" customFormat="1" ht="16.5" customHeight="1">
      <c r="A26" s="19" t="s">
        <v>9</v>
      </c>
      <c r="B26" s="20" t="s">
        <v>413</v>
      </c>
      <c r="C26" s="21" t="s">
        <v>0</v>
      </c>
      <c r="D26" s="21" t="s">
        <v>5</v>
      </c>
      <c r="E26" s="23">
        <f t="shared" ref="E26:Z26" si="67">E27+E28</f>
        <v>1001495</v>
      </c>
      <c r="F26" s="116"/>
      <c r="G26" s="116">
        <f t="shared" si="67"/>
        <v>0</v>
      </c>
      <c r="H26" s="18">
        <f t="shared" si="67"/>
        <v>0</v>
      </c>
      <c r="I26" s="18">
        <f t="shared" si="67"/>
        <v>0</v>
      </c>
      <c r="J26" s="116">
        <f t="shared" si="67"/>
        <v>1001495</v>
      </c>
      <c r="K26" s="116">
        <f t="shared" si="67"/>
        <v>0</v>
      </c>
      <c r="L26" s="116">
        <f t="shared" si="67"/>
        <v>0</v>
      </c>
      <c r="M26" s="18">
        <f t="shared" si="67"/>
        <v>0</v>
      </c>
      <c r="N26" s="54">
        <f t="shared" si="67"/>
        <v>0</v>
      </c>
      <c r="O26" s="116">
        <f t="shared" si="67"/>
        <v>0</v>
      </c>
      <c r="P26" s="18">
        <v>1249</v>
      </c>
      <c r="Q26" s="18">
        <f t="shared" si="67"/>
        <v>0</v>
      </c>
      <c r="R26" s="18">
        <f t="shared" si="52"/>
        <v>1249</v>
      </c>
      <c r="S26" s="18">
        <f t="shared" si="67"/>
        <v>1249</v>
      </c>
      <c r="T26" s="23">
        <f>T27+T28</f>
        <v>1001495</v>
      </c>
      <c r="U26" s="18">
        <f t="shared" si="67"/>
        <v>0</v>
      </c>
      <c r="V26" s="18">
        <f t="shared" si="67"/>
        <v>-1249</v>
      </c>
      <c r="W26" s="18">
        <f t="shared" si="67"/>
        <v>0</v>
      </c>
      <c r="X26" s="18"/>
      <c r="Y26" s="18">
        <f t="shared" si="67"/>
        <v>0</v>
      </c>
      <c r="Z26" s="116" t="e">
        <f t="shared" si="67"/>
        <v>#REF!</v>
      </c>
      <c r="AA26" s="881" t="e">
        <f t="shared" si="21"/>
        <v>#DIV/0!</v>
      </c>
    </row>
    <row r="27" spans="1:27" ht="16.5" customHeight="1">
      <c r="A27" s="19" t="s">
        <v>10</v>
      </c>
      <c r="B27" s="20" t="s">
        <v>414</v>
      </c>
      <c r="C27" s="21" t="s">
        <v>0</v>
      </c>
      <c r="D27" s="21" t="s">
        <v>5</v>
      </c>
      <c r="E27" s="22">
        <f>VLOOKUP($A27,publ_fin!$A:$I,8,FALSE)</f>
        <v>1001495</v>
      </c>
      <c r="F27" s="114">
        <v>1</v>
      </c>
      <c r="G27" s="115"/>
      <c r="H27" s="262">
        <v>0</v>
      </c>
      <c r="I27" s="22">
        <f>F27*H27</f>
        <v>0</v>
      </c>
      <c r="J27" s="117">
        <v>1001495</v>
      </c>
      <c r="K27" s="117">
        <v>0</v>
      </c>
      <c r="L27" s="117">
        <v>0</v>
      </c>
      <c r="M27" s="23">
        <f t="shared" si="56"/>
        <v>0</v>
      </c>
      <c r="N27" s="54">
        <f>E27-J27</f>
        <v>0</v>
      </c>
      <c r="O27" s="117">
        <f>H27+N27</f>
        <v>0</v>
      </c>
      <c r="P27" s="23">
        <v>1249</v>
      </c>
      <c r="Q27" s="23">
        <f>IFERROR(VLOOKUP(A27,lauzti_līg!A:H,8,FALSE),0)</f>
        <v>0</v>
      </c>
      <c r="R27" s="23">
        <f t="shared" si="52"/>
        <v>1249</v>
      </c>
      <c r="S27" s="23">
        <f>R27-M27</f>
        <v>1249</v>
      </c>
      <c r="T27" s="23">
        <f>VLOOKUP(A27,Nosl_līg!A:H,8,0)</f>
        <v>1001495</v>
      </c>
      <c r="U27" s="23">
        <f>T27-J27</f>
        <v>0</v>
      </c>
      <c r="V27" s="23">
        <f>O27-S27-U27</f>
        <v>-1249</v>
      </c>
      <c r="W27" s="23">
        <f>IF(N27&gt;=S27+U27,N27-S27-U27,0)</f>
        <v>0</v>
      </c>
      <c r="X27" s="23"/>
      <c r="Y27" s="23">
        <f>IF(H27=0,0, IF(T27-E27+R27-M27&lt;0, 0, T27-E27+R27-M27))</f>
        <v>0</v>
      </c>
      <c r="Z27" s="117" t="e">
        <f>VLOOKUP(A27,#REF!,63,FALSE)/F27+#REF!</f>
        <v>#REF!</v>
      </c>
      <c r="AA27" s="880" t="e">
        <f t="shared" si="21"/>
        <v>#DIV/0!</v>
      </c>
    </row>
    <row r="28" spans="1:27" ht="16.5" customHeight="1">
      <c r="A28" s="19" t="s">
        <v>11</v>
      </c>
      <c r="B28" s="20" t="s">
        <v>415</v>
      </c>
      <c r="C28" s="21" t="s">
        <v>0</v>
      </c>
      <c r="D28" s="21" t="s">
        <v>5</v>
      </c>
      <c r="E28" s="22">
        <f>VLOOKUP($A28,publ_fin!$A:$I,8,FALSE)</f>
        <v>0</v>
      </c>
      <c r="F28" s="114">
        <v>0</v>
      </c>
      <c r="G28" s="115"/>
      <c r="H28" s="262">
        <v>0</v>
      </c>
      <c r="I28" s="22">
        <f>F28*H28</f>
        <v>0</v>
      </c>
      <c r="J28" s="117">
        <v>0</v>
      </c>
      <c r="K28" s="117">
        <v>0</v>
      </c>
      <c r="L28" s="117">
        <v>0</v>
      </c>
      <c r="M28" s="23">
        <f t="shared" si="56"/>
        <v>0</v>
      </c>
      <c r="N28" s="54">
        <f>E28-J28</f>
        <v>0</v>
      </c>
      <c r="O28" s="117">
        <f>H28+N28</f>
        <v>0</v>
      </c>
      <c r="P28" s="23">
        <v>0</v>
      </c>
      <c r="Q28" s="23">
        <f>IFERROR(VLOOKUP(A28,lauzti_līg!A:H,8,FALSE),0)</f>
        <v>0</v>
      </c>
      <c r="R28" s="23">
        <f t="shared" si="52"/>
        <v>0</v>
      </c>
      <c r="S28" s="23">
        <f>R28-M28</f>
        <v>0</v>
      </c>
      <c r="T28" s="23">
        <v>0</v>
      </c>
      <c r="U28" s="23">
        <f>T28-J28</f>
        <v>0</v>
      </c>
      <c r="V28" s="23">
        <f>O28-S28-U28</f>
        <v>0</v>
      </c>
      <c r="W28" s="23">
        <f>IF(N28&gt;=S28+U28,N28-S28-U28,0)</f>
        <v>0</v>
      </c>
      <c r="X28" s="23"/>
      <c r="Y28" s="23">
        <f>IF(H28=0,0, IF(T28-E28+R28-M28&lt;0, 0, T28-E28+R28-M28))</f>
        <v>0</v>
      </c>
      <c r="Z28" s="117">
        <v>0</v>
      </c>
      <c r="AA28" s="880" t="e">
        <f t="shared" si="21"/>
        <v>#DIV/0!</v>
      </c>
    </row>
    <row r="29" spans="1:27" s="40" customFormat="1" ht="16.5" customHeight="1">
      <c r="A29" s="14" t="s">
        <v>12</v>
      </c>
      <c r="B29" s="15" t="s">
        <v>416</v>
      </c>
      <c r="C29" s="16" t="s">
        <v>0</v>
      </c>
      <c r="D29" s="16" t="s">
        <v>1</v>
      </c>
      <c r="E29" s="17">
        <f t="shared" ref="E29:G29" si="68">E30+E40</f>
        <v>102840094.41</v>
      </c>
      <c r="F29" s="113"/>
      <c r="G29" s="113">
        <f t="shared" si="68"/>
        <v>0</v>
      </c>
      <c r="H29" s="261">
        <f>H30+H40</f>
        <v>8239369</v>
      </c>
      <c r="I29" s="17">
        <f t="shared" ref="I29:L29" si="69">I30+I40</f>
        <v>7277805.2851999998</v>
      </c>
      <c r="J29" s="113">
        <f t="shared" si="69"/>
        <v>99484988.269999996</v>
      </c>
      <c r="K29" s="113">
        <f t="shared" si="69"/>
        <v>710409.02</v>
      </c>
      <c r="L29" s="113">
        <f t="shared" si="69"/>
        <v>489032</v>
      </c>
      <c r="M29" s="17">
        <f t="shared" ref="M29:Y29" si="70">M30+M40</f>
        <v>1199441.02</v>
      </c>
      <c r="N29" s="53">
        <f t="shared" si="70"/>
        <v>3355106.1399999978</v>
      </c>
      <c r="O29" s="113">
        <f t="shared" si="70"/>
        <v>11594475.139999997</v>
      </c>
      <c r="P29" s="17">
        <v>923540</v>
      </c>
      <c r="Q29" s="17">
        <f t="shared" si="70"/>
        <v>489032</v>
      </c>
      <c r="R29" s="17">
        <f t="shared" si="52"/>
        <v>1412572</v>
      </c>
      <c r="S29" s="17">
        <f t="shared" ref="S29:U29" si="71">S30+S40</f>
        <v>213130.98000000004</v>
      </c>
      <c r="T29" s="17">
        <f t="shared" si="71"/>
        <v>110040297.89</v>
      </c>
      <c r="U29" s="17">
        <f t="shared" si="71"/>
        <v>10555309.619999997</v>
      </c>
      <c r="V29" s="17">
        <f t="shared" si="70"/>
        <v>826034.53999999887</v>
      </c>
      <c r="W29" s="17">
        <f t="shared" si="70"/>
        <v>330936.20000000036</v>
      </c>
      <c r="X29" s="17"/>
      <c r="Y29" s="17">
        <f t="shared" si="70"/>
        <v>8239369</v>
      </c>
      <c r="Z29" s="113" t="e">
        <f t="shared" ref="Z29" si="72">Z30+Z40</f>
        <v>#REF!</v>
      </c>
      <c r="AA29" s="879">
        <f t="shared" si="21"/>
        <v>1</v>
      </c>
    </row>
    <row r="30" spans="1:27" s="41" customFormat="1" ht="16.5" customHeight="1">
      <c r="A30" s="14" t="s">
        <v>13</v>
      </c>
      <c r="B30" s="15" t="s">
        <v>417</v>
      </c>
      <c r="C30" s="16" t="s">
        <v>0</v>
      </c>
      <c r="D30" s="16" t="s">
        <v>5</v>
      </c>
      <c r="E30" s="17">
        <f t="shared" ref="E30:G30" si="73">E31+E36</f>
        <v>66547957.890000001</v>
      </c>
      <c r="F30" s="113"/>
      <c r="G30" s="113">
        <f t="shared" si="73"/>
        <v>0</v>
      </c>
      <c r="H30" s="261">
        <f t="shared" ref="H30:Y30" si="74">H31+H36</f>
        <v>6616476</v>
      </c>
      <c r="I30" s="17">
        <f t="shared" ref="I30:L30" si="75">I31+I36</f>
        <v>5654912.2851999998</v>
      </c>
      <c r="J30" s="113">
        <f t="shared" si="75"/>
        <v>62997758</v>
      </c>
      <c r="K30" s="113">
        <f t="shared" si="75"/>
        <v>638951.98</v>
      </c>
      <c r="L30" s="113">
        <f t="shared" si="75"/>
        <v>306582</v>
      </c>
      <c r="M30" s="17">
        <f t="shared" si="74"/>
        <v>945533.98</v>
      </c>
      <c r="N30" s="53">
        <f t="shared" si="74"/>
        <v>3550199.8899999997</v>
      </c>
      <c r="O30" s="113">
        <f t="shared" si="74"/>
        <v>10166675.889999999</v>
      </c>
      <c r="P30" s="17">
        <v>780508</v>
      </c>
      <c r="Q30" s="17">
        <f t="shared" si="74"/>
        <v>306582</v>
      </c>
      <c r="R30" s="17">
        <f t="shared" si="52"/>
        <v>1087090</v>
      </c>
      <c r="S30" s="17">
        <f t="shared" ref="S30:U30" si="76">S31+S36</f>
        <v>141556.02000000002</v>
      </c>
      <c r="T30" s="17">
        <f t="shared" si="76"/>
        <v>72214815.450000003</v>
      </c>
      <c r="U30" s="17">
        <f t="shared" si="76"/>
        <v>9217057.4499999993</v>
      </c>
      <c r="V30" s="17">
        <f t="shared" si="74"/>
        <v>808062.41999999958</v>
      </c>
      <c r="W30" s="17">
        <f t="shared" si="74"/>
        <v>302440.63000000047</v>
      </c>
      <c r="X30" s="17"/>
      <c r="Y30" s="17">
        <f t="shared" si="74"/>
        <v>6616476</v>
      </c>
      <c r="Z30" s="113" t="e">
        <f t="shared" ref="Z30" si="77">Z31+Z36</f>
        <v>#REF!</v>
      </c>
      <c r="AA30" s="879">
        <f t="shared" si="21"/>
        <v>1</v>
      </c>
    </row>
    <row r="31" spans="1:27" s="40" customFormat="1" ht="16.5" customHeight="1">
      <c r="A31" s="19" t="s">
        <v>14</v>
      </c>
      <c r="B31" s="20" t="s">
        <v>418</v>
      </c>
      <c r="C31" s="21" t="s">
        <v>0</v>
      </c>
      <c r="D31" s="21" t="s">
        <v>5</v>
      </c>
      <c r="E31" s="23">
        <f t="shared" ref="E31:G31" si="78">E32+E33+E34+E35</f>
        <v>46957947.890000001</v>
      </c>
      <c r="F31" s="116"/>
      <c r="G31" s="116">
        <f t="shared" si="78"/>
        <v>0</v>
      </c>
      <c r="H31" s="18">
        <f t="shared" ref="H31:W31" si="79">H32+H33+H34+H35</f>
        <v>6616476</v>
      </c>
      <c r="I31" s="18">
        <f t="shared" ref="I31:L31" si="80">I32+I33+I34+I35</f>
        <v>5654912.2851999998</v>
      </c>
      <c r="J31" s="116">
        <f t="shared" si="80"/>
        <v>43006493</v>
      </c>
      <c r="K31" s="116">
        <f t="shared" si="80"/>
        <v>415411.61</v>
      </c>
      <c r="L31" s="116">
        <f t="shared" si="80"/>
        <v>306582</v>
      </c>
      <c r="M31" s="18">
        <f t="shared" si="79"/>
        <v>721993.61</v>
      </c>
      <c r="N31" s="54">
        <f t="shared" si="79"/>
        <v>3951454.8899999992</v>
      </c>
      <c r="O31" s="116">
        <f t="shared" si="79"/>
        <v>10567930.889999999</v>
      </c>
      <c r="P31" s="18">
        <v>574569</v>
      </c>
      <c r="Q31" s="18">
        <f t="shared" si="79"/>
        <v>306582</v>
      </c>
      <c r="R31" s="18">
        <f t="shared" si="52"/>
        <v>881151</v>
      </c>
      <c r="S31" s="18">
        <f t="shared" ref="S31:U31" si="81">S32+S33+S34+S35</f>
        <v>159157.39000000001</v>
      </c>
      <c r="T31" s="23">
        <f>T32+T33+T34+T35</f>
        <v>52738885.719999999</v>
      </c>
      <c r="U31" s="18">
        <f t="shared" si="81"/>
        <v>9732392.7199999988</v>
      </c>
      <c r="V31" s="18">
        <f t="shared" si="79"/>
        <v>676380.7799999991</v>
      </c>
      <c r="W31" s="18">
        <f t="shared" si="79"/>
        <v>170758.99</v>
      </c>
      <c r="X31" s="18"/>
      <c r="Y31" s="18">
        <f>Y32+Y33+Y34+Y35</f>
        <v>6616476</v>
      </c>
      <c r="Z31" s="116" t="e">
        <f t="shared" ref="Z31" si="82">Z32+Z33+Z34+Z35</f>
        <v>#REF!</v>
      </c>
      <c r="AA31" s="881">
        <f t="shared" si="21"/>
        <v>1</v>
      </c>
    </row>
    <row r="32" spans="1:27" ht="16.5" customHeight="1">
      <c r="A32" s="19" t="s">
        <v>175</v>
      </c>
      <c r="B32" s="20" t="s">
        <v>419</v>
      </c>
      <c r="C32" s="21" t="s">
        <v>0</v>
      </c>
      <c r="D32" s="21" t="s">
        <v>5</v>
      </c>
      <c r="E32" s="22">
        <f>VLOOKUP($A32,publ_fin!$A:$I,8,FALSE)</f>
        <v>2393420.11</v>
      </c>
      <c r="F32" s="114">
        <v>1</v>
      </c>
      <c r="G32" s="115"/>
      <c r="H32" s="262">
        <v>0</v>
      </c>
      <c r="I32" s="22">
        <f>F32*H32</f>
        <v>0</v>
      </c>
      <c r="J32" s="117">
        <v>2393420</v>
      </c>
      <c r="K32" s="117">
        <v>0</v>
      </c>
      <c r="L32" s="117">
        <v>0</v>
      </c>
      <c r="M32" s="23">
        <f t="shared" si="56"/>
        <v>0</v>
      </c>
      <c r="N32" s="54">
        <f>E32-J32</f>
        <v>0.10999999986961484</v>
      </c>
      <c r="O32" s="117">
        <f>H32+N32</f>
        <v>0.10999999986961484</v>
      </c>
      <c r="P32" s="23">
        <v>0</v>
      </c>
      <c r="Q32" s="23">
        <f>IFERROR(VLOOKUP(A32,lauzti_līg!A:H,8,FALSE),0)</f>
        <v>0</v>
      </c>
      <c r="R32" s="23">
        <f t="shared" si="52"/>
        <v>0</v>
      </c>
      <c r="S32" s="23">
        <f>R32-M32</f>
        <v>0</v>
      </c>
      <c r="T32" s="23">
        <f>VLOOKUP(A32,Nosl_līg!A:H,8,0)</f>
        <v>2393420</v>
      </c>
      <c r="U32" s="23">
        <f>T32-J32</f>
        <v>0</v>
      </c>
      <c r="V32" s="23">
        <f>O32-S32-U32</f>
        <v>0.10999999986961484</v>
      </c>
      <c r="W32" s="23">
        <f>IF(N32&gt;=S32+U32,N32-S32-U32,0)</f>
        <v>0.10999999986961484</v>
      </c>
      <c r="X32" s="23"/>
      <c r="Y32" s="23">
        <f>IF(H32=0,0, IF(T32-E32+R32-M32&lt;0, 0, T32-E32+R32-M32))</f>
        <v>0</v>
      </c>
      <c r="Z32" s="117" t="e">
        <f>VLOOKUP(A32,#REF!,63,FALSE)/F32+#REF!</f>
        <v>#REF!</v>
      </c>
      <c r="AA32" s="880" t="e">
        <f t="shared" si="21"/>
        <v>#DIV/0!</v>
      </c>
    </row>
    <row r="33" spans="1:27" ht="16.5" customHeight="1">
      <c r="A33" s="19" t="s">
        <v>188</v>
      </c>
      <c r="B33" s="20" t="s">
        <v>420</v>
      </c>
      <c r="C33" s="21" t="s">
        <v>0</v>
      </c>
      <c r="D33" s="21" t="s">
        <v>5</v>
      </c>
      <c r="E33" s="22">
        <f>VLOOKUP($A33,publ_fin!$A:$I,8,FALSE)</f>
        <v>5988421.4000000004</v>
      </c>
      <c r="F33" s="114">
        <v>0.85</v>
      </c>
      <c r="G33" s="115"/>
      <c r="H33" s="262">
        <v>0</v>
      </c>
      <c r="I33" s="22">
        <f>F33*H33</f>
        <v>0</v>
      </c>
      <c r="J33" s="117">
        <v>6064098</v>
      </c>
      <c r="K33" s="117">
        <v>234905.21</v>
      </c>
      <c r="L33" s="117">
        <v>0</v>
      </c>
      <c r="M33" s="23">
        <f t="shared" si="56"/>
        <v>234905.21</v>
      </c>
      <c r="N33" s="54">
        <f>E33-J33</f>
        <v>-75676.599999999627</v>
      </c>
      <c r="O33" s="117">
        <f>H33+N33</f>
        <v>-75676.599999999627</v>
      </c>
      <c r="P33" s="23">
        <v>239803</v>
      </c>
      <c r="Q33" s="23">
        <f>IFERROR(VLOOKUP(A33,lauzti_līg!A:H,8,FALSE),0)</f>
        <v>0</v>
      </c>
      <c r="R33" s="23">
        <f t="shared" si="52"/>
        <v>239803</v>
      </c>
      <c r="S33" s="23">
        <f>R33-M33</f>
        <v>4897.7900000000081</v>
      </c>
      <c r="T33" s="23">
        <f>VLOOKUP(A33,Nosl_līg!A:H,8,0)</f>
        <v>5987403.2999999998</v>
      </c>
      <c r="U33" s="23">
        <f>T33-J33</f>
        <v>-76694.700000000186</v>
      </c>
      <c r="V33" s="23">
        <f>O33-S33-U33</f>
        <v>-3879.6899999994494</v>
      </c>
      <c r="W33" s="23">
        <f>IF(N33&gt;=S33+U33,N33-S33-U33,0)</f>
        <v>0</v>
      </c>
      <c r="X33" s="23"/>
      <c r="Y33" s="23">
        <f>IF(H33=0,0, IF(T33-E33+R33-M33&lt;0, 0, T33-E33+R33-M33))</f>
        <v>0</v>
      </c>
      <c r="Z33" s="117" t="e">
        <f>VLOOKUP(A33,#REF!,63,FALSE)/F33+#REF!</f>
        <v>#REF!</v>
      </c>
      <c r="AA33" s="880" t="e">
        <f t="shared" si="21"/>
        <v>#DIV/0!</v>
      </c>
    </row>
    <row r="34" spans="1:27" ht="16.5" customHeight="1">
      <c r="A34" s="19" t="s">
        <v>220</v>
      </c>
      <c r="B34" s="20" t="s">
        <v>421</v>
      </c>
      <c r="C34" s="21" t="s">
        <v>0</v>
      </c>
      <c r="D34" s="21" t="s">
        <v>5</v>
      </c>
      <c r="E34" s="22">
        <f>VLOOKUP($A34,publ_fin!$A:$I,8,FALSE)+1393546</f>
        <v>10243022.75</v>
      </c>
      <c r="F34" s="114">
        <v>0.87829999999999997</v>
      </c>
      <c r="G34" s="115"/>
      <c r="H34" s="262">
        <v>509500</v>
      </c>
      <c r="I34" s="22">
        <f>F34*H34</f>
        <v>447493.85</v>
      </c>
      <c r="J34" s="117">
        <v>8717413</v>
      </c>
      <c r="K34" s="117">
        <v>161350.54999999999</v>
      </c>
      <c r="L34" s="117">
        <v>306582</v>
      </c>
      <c r="M34" s="23">
        <f t="shared" si="56"/>
        <v>467932.55</v>
      </c>
      <c r="N34" s="54">
        <f>E34-J34</f>
        <v>1525609.75</v>
      </c>
      <c r="O34" s="117">
        <f>H34+N34</f>
        <v>2035109.75</v>
      </c>
      <c r="P34" s="23">
        <v>304101</v>
      </c>
      <c r="Q34" s="23">
        <f>IFERROR(VLOOKUP(A34,lauzti_līg!A:H,8,FALSE),0)</f>
        <v>306582</v>
      </c>
      <c r="R34" s="23">
        <f t="shared" si="52"/>
        <v>610683</v>
      </c>
      <c r="S34" s="23">
        <f>R34-M34</f>
        <v>142750.45000000001</v>
      </c>
      <c r="T34" s="23">
        <f>VLOOKUP(A34,Nosl_līg!A:H,8,0)</f>
        <v>9929513.4199999999</v>
      </c>
      <c r="U34" s="23">
        <f>T34-J34</f>
        <v>1212100.42</v>
      </c>
      <c r="V34" s="23">
        <f>O34-S34-U34</f>
        <v>680258.88000000012</v>
      </c>
      <c r="W34" s="23">
        <f>IF(N34&gt;=S34+U34,N34-S34-U34,0)</f>
        <v>170758.88000000012</v>
      </c>
      <c r="X34" s="23"/>
      <c r="Y34" s="23">
        <v>509500</v>
      </c>
      <c r="Z34" s="117" t="e">
        <f>VLOOKUP(A34,#REF!,63,FALSE)/F34+#REF!</f>
        <v>#REF!</v>
      </c>
      <c r="AA34" s="880">
        <f t="shared" si="21"/>
        <v>1</v>
      </c>
    </row>
    <row r="35" spans="1:27" ht="16.5" customHeight="1">
      <c r="A35" s="19" t="s">
        <v>187</v>
      </c>
      <c r="B35" s="20" t="s">
        <v>422</v>
      </c>
      <c r="C35" s="21" t="s">
        <v>0</v>
      </c>
      <c r="D35" s="21" t="s">
        <v>5</v>
      </c>
      <c r="E35" s="22">
        <f>VLOOKUP($A35,publ_fin!$A:$I,8,FALSE)</f>
        <v>28333083.629999999</v>
      </c>
      <c r="F35" s="114">
        <v>0.85270000000000001</v>
      </c>
      <c r="G35" s="115"/>
      <c r="H35" s="262">
        <v>6106976</v>
      </c>
      <c r="I35" s="22">
        <f>F35*H35</f>
        <v>5207418.4352000002</v>
      </c>
      <c r="J35" s="117">
        <v>25831562</v>
      </c>
      <c r="K35" s="117">
        <v>19155.849999999999</v>
      </c>
      <c r="L35" s="117">
        <v>0</v>
      </c>
      <c r="M35" s="23">
        <f t="shared" si="56"/>
        <v>19155.849999999999</v>
      </c>
      <c r="N35" s="54">
        <f>E35-J35</f>
        <v>2501521.629999999</v>
      </c>
      <c r="O35" s="117">
        <f>H35+N35</f>
        <v>8608497.629999999</v>
      </c>
      <c r="P35" s="23">
        <v>30665</v>
      </c>
      <c r="Q35" s="23">
        <f>IFERROR(VLOOKUP(A35,lauzti_līg!A:H,8,FALSE),0)</f>
        <v>0</v>
      </c>
      <c r="R35" s="23">
        <f t="shared" si="52"/>
        <v>30665</v>
      </c>
      <c r="S35" s="23">
        <f>R35-M35</f>
        <v>11509.150000000001</v>
      </c>
      <c r="T35" s="23">
        <f>VLOOKUP(A35,Nosl_līg!A:H,8,0)</f>
        <v>34428549</v>
      </c>
      <c r="U35" s="23">
        <f>T35-J35</f>
        <v>8596987</v>
      </c>
      <c r="V35" s="23">
        <f>O35-S35-U35</f>
        <v>1.4799999985843897</v>
      </c>
      <c r="W35" s="23">
        <f>IF(N35&gt;=S35+U35,N35-S35-U35,0)</f>
        <v>0</v>
      </c>
      <c r="X35" s="23"/>
      <c r="Y35" s="23">
        <v>6106976</v>
      </c>
      <c r="Z35" s="117" t="e">
        <f>VLOOKUP(A35,#REF!,63,FALSE)/F35+#REF!</f>
        <v>#REF!</v>
      </c>
      <c r="AA35" s="880">
        <f t="shared" si="21"/>
        <v>1</v>
      </c>
    </row>
    <row r="36" spans="1:27" s="38" customFormat="1" ht="16.5" customHeight="1">
      <c r="A36" s="19" t="s">
        <v>15</v>
      </c>
      <c r="B36" s="20" t="s">
        <v>423</v>
      </c>
      <c r="C36" s="21" t="s">
        <v>0</v>
      </c>
      <c r="D36" s="21" t="s">
        <v>5</v>
      </c>
      <c r="E36" s="23">
        <f t="shared" ref="E36:Z36" si="83">E37+E38+E39</f>
        <v>19590010</v>
      </c>
      <c r="F36" s="117"/>
      <c r="G36" s="117">
        <f t="shared" si="83"/>
        <v>0</v>
      </c>
      <c r="H36" s="18">
        <f t="shared" si="83"/>
        <v>0</v>
      </c>
      <c r="I36" s="23">
        <f t="shared" si="83"/>
        <v>0</v>
      </c>
      <c r="J36" s="117">
        <f t="shared" si="83"/>
        <v>19991265</v>
      </c>
      <c r="K36" s="117">
        <f t="shared" si="83"/>
        <v>223540.37</v>
      </c>
      <c r="L36" s="117">
        <f t="shared" si="83"/>
        <v>0</v>
      </c>
      <c r="M36" s="23">
        <f t="shared" si="83"/>
        <v>223540.37</v>
      </c>
      <c r="N36" s="54">
        <f t="shared" si="83"/>
        <v>-401254.99999999953</v>
      </c>
      <c r="O36" s="117">
        <f t="shared" si="83"/>
        <v>-401254.99999999953</v>
      </c>
      <c r="P36" s="23">
        <v>205939</v>
      </c>
      <c r="Q36" s="23">
        <f t="shared" si="83"/>
        <v>0</v>
      </c>
      <c r="R36" s="23">
        <f t="shared" si="52"/>
        <v>205939</v>
      </c>
      <c r="S36" s="23">
        <f t="shared" si="83"/>
        <v>-17601.369999999995</v>
      </c>
      <c r="T36" s="23">
        <f>T37+T38+T39</f>
        <v>19475929.73</v>
      </c>
      <c r="U36" s="23">
        <f t="shared" si="83"/>
        <v>-515335.27</v>
      </c>
      <c r="V36" s="23">
        <f t="shared" si="83"/>
        <v>131681.64000000051</v>
      </c>
      <c r="W36" s="23">
        <f t="shared" si="83"/>
        <v>131681.64000000051</v>
      </c>
      <c r="X36" s="23"/>
      <c r="Y36" s="23">
        <f t="shared" si="83"/>
        <v>0</v>
      </c>
      <c r="Z36" s="117" t="e">
        <f t="shared" si="83"/>
        <v>#REF!</v>
      </c>
      <c r="AA36" s="880" t="e">
        <f t="shared" si="21"/>
        <v>#DIV/0!</v>
      </c>
    </row>
    <row r="37" spans="1:27" ht="16.5" customHeight="1">
      <c r="A37" s="19" t="s">
        <v>186</v>
      </c>
      <c r="B37" s="20" t="s">
        <v>424</v>
      </c>
      <c r="C37" s="21" t="s">
        <v>0</v>
      </c>
      <c r="D37" s="21" t="s">
        <v>5</v>
      </c>
      <c r="E37" s="22">
        <f>VLOOKUP($A37,publ_fin!$A:$I,8,FALSE)</f>
        <v>4945607.1500000004</v>
      </c>
      <c r="F37" s="114">
        <v>0.85</v>
      </c>
      <c r="G37" s="115"/>
      <c r="H37" s="262">
        <v>0</v>
      </c>
      <c r="I37" s="22">
        <f>F37*H37</f>
        <v>0</v>
      </c>
      <c r="J37" s="117">
        <v>4942515</v>
      </c>
      <c r="K37" s="117">
        <v>40012.199999999997</v>
      </c>
      <c r="L37" s="117">
        <v>0</v>
      </c>
      <c r="M37" s="23">
        <f t="shared" si="56"/>
        <v>40012.199999999997</v>
      </c>
      <c r="N37" s="54">
        <f>E37-J37</f>
        <v>3092.1500000003725</v>
      </c>
      <c r="O37" s="117">
        <f>H37+N37</f>
        <v>3092.1500000003725</v>
      </c>
      <c r="P37" s="23">
        <v>45820</v>
      </c>
      <c r="Q37" s="23">
        <f>IFERROR(VLOOKUP(A37,lauzti_līg!A:H,8,FALSE),0)</f>
        <v>0</v>
      </c>
      <c r="R37" s="23">
        <f t="shared" si="52"/>
        <v>45820</v>
      </c>
      <c r="S37" s="23">
        <f>R37-M37</f>
        <v>5807.8000000000029</v>
      </c>
      <c r="T37" s="23">
        <f>VLOOKUP(A37,Nosl_līg!A:H,8,0)</f>
        <v>4878821.54</v>
      </c>
      <c r="U37" s="23">
        <f>T37-J37</f>
        <v>-63693.459999999963</v>
      </c>
      <c r="V37" s="23">
        <f>O37-S37-U37</f>
        <v>60977.810000000332</v>
      </c>
      <c r="W37" s="23">
        <f>IF(N37&gt;=S37+U37,N37-S37-U37,0)</f>
        <v>60977.810000000332</v>
      </c>
      <c r="X37" s="23"/>
      <c r="Y37" s="23">
        <f>IF(H37=0,0, IF(T37-E37+R37-M37&lt;0, 0, T37-E37+R37-M37))</f>
        <v>0</v>
      </c>
      <c r="Z37" s="117" t="e">
        <f>VLOOKUP(A37,#REF!,63,FALSE)/F37+#REF!</f>
        <v>#REF!</v>
      </c>
      <c r="AA37" s="880" t="e">
        <f t="shared" si="21"/>
        <v>#DIV/0!</v>
      </c>
    </row>
    <row r="38" spans="1:27" ht="16.5" customHeight="1">
      <c r="A38" s="19" t="s">
        <v>165</v>
      </c>
      <c r="B38" s="20" t="s">
        <v>425</v>
      </c>
      <c r="C38" s="21" t="s">
        <v>0</v>
      </c>
      <c r="D38" s="21" t="s">
        <v>5</v>
      </c>
      <c r="E38" s="22">
        <f>VLOOKUP($A38,publ_fin!$A:$I,8,FALSE)</f>
        <v>10720939.08</v>
      </c>
      <c r="F38" s="114">
        <v>0.85</v>
      </c>
      <c r="G38" s="115"/>
      <c r="H38" s="262">
        <v>0</v>
      </c>
      <c r="I38" s="22">
        <f>F38*H38</f>
        <v>0</v>
      </c>
      <c r="J38" s="117">
        <v>11135931</v>
      </c>
      <c r="K38" s="117">
        <v>146160.53</v>
      </c>
      <c r="L38" s="117">
        <v>0</v>
      </c>
      <c r="M38" s="23">
        <f t="shared" si="56"/>
        <v>146160.53</v>
      </c>
      <c r="N38" s="54">
        <f>E38-J38</f>
        <v>-414991.91999999993</v>
      </c>
      <c r="O38" s="117">
        <f>H38+N38</f>
        <v>-414991.91999999993</v>
      </c>
      <c r="P38" s="23">
        <v>108056</v>
      </c>
      <c r="Q38" s="23">
        <f>IFERROR(VLOOKUP(A38,lauzti_līg!A:H,8,FALSE),0)</f>
        <v>0</v>
      </c>
      <c r="R38" s="23">
        <f t="shared" si="52"/>
        <v>108056</v>
      </c>
      <c r="S38" s="23">
        <f>R38-M38</f>
        <v>-38104.53</v>
      </c>
      <c r="T38" s="23">
        <f>VLOOKUP(A38,Nosl_līg!A:H,8,0)</f>
        <v>10720938.34</v>
      </c>
      <c r="U38" s="23">
        <f>T38-J38</f>
        <v>-414992.66000000015</v>
      </c>
      <c r="V38" s="23">
        <f>O38-S38-U38</f>
        <v>38105.270000000251</v>
      </c>
      <c r="W38" s="23">
        <f>IF(N38&gt;=S38+U38,N38-S38-U38,0)</f>
        <v>38105.270000000251</v>
      </c>
      <c r="X38" s="23"/>
      <c r="Y38" s="23">
        <f>IF(H38=0,0, IF(T38-E38+R38-M38&lt;0, 0, T38-E38+R38-M38))</f>
        <v>0</v>
      </c>
      <c r="Z38" s="117" t="e">
        <f>VLOOKUP(A38,#REF!,63,FALSE)/F38+#REF!</f>
        <v>#REF!</v>
      </c>
      <c r="AA38" s="880" t="e">
        <f t="shared" si="21"/>
        <v>#DIV/0!</v>
      </c>
    </row>
    <row r="39" spans="1:27" ht="16.5" customHeight="1">
      <c r="A39" s="19" t="s">
        <v>179</v>
      </c>
      <c r="B39" s="20" t="s">
        <v>426</v>
      </c>
      <c r="C39" s="21" t="s">
        <v>0</v>
      </c>
      <c r="D39" s="21" t="s">
        <v>5</v>
      </c>
      <c r="E39" s="22">
        <f>VLOOKUP($A39,publ_fin!$A:$I,8,FALSE)</f>
        <v>3923463.77</v>
      </c>
      <c r="F39" s="114">
        <v>0.85</v>
      </c>
      <c r="G39" s="115"/>
      <c r="H39" s="262">
        <v>0</v>
      </c>
      <c r="I39" s="22">
        <f>F39*H39</f>
        <v>0</v>
      </c>
      <c r="J39" s="117">
        <v>3912819</v>
      </c>
      <c r="K39" s="117">
        <v>37367.64</v>
      </c>
      <c r="L39" s="117">
        <v>0</v>
      </c>
      <c r="M39" s="23">
        <f t="shared" si="56"/>
        <v>37367.64</v>
      </c>
      <c r="N39" s="54">
        <f>E39-J39</f>
        <v>10644.770000000019</v>
      </c>
      <c r="O39" s="117">
        <f>H39+N39</f>
        <v>10644.770000000019</v>
      </c>
      <c r="P39" s="23">
        <v>52063</v>
      </c>
      <c r="Q39" s="23">
        <f>IFERROR(VLOOKUP(A39,lauzti_līg!A:H,8,FALSE),0)</f>
        <v>0</v>
      </c>
      <c r="R39" s="23">
        <f t="shared" si="52"/>
        <v>52063</v>
      </c>
      <c r="S39" s="23">
        <f>R39-M39</f>
        <v>14695.36</v>
      </c>
      <c r="T39" s="23">
        <f>VLOOKUP(A39,Nosl_līg!A:H,8,0)</f>
        <v>3876169.85</v>
      </c>
      <c r="U39" s="23">
        <f>T39-J39</f>
        <v>-36649.149999999907</v>
      </c>
      <c r="V39" s="23">
        <f>O39-S39-U39</f>
        <v>32598.559999999925</v>
      </c>
      <c r="W39" s="23">
        <f>IF(N39&gt;=S39+U39,N39-S39-U39,0)</f>
        <v>32598.559999999925</v>
      </c>
      <c r="X39" s="23"/>
      <c r="Y39" s="23">
        <f>IF(H39=0,0, IF(T39-E39+R39-M39&lt;0, 0, T39-E39+R39-M39))</f>
        <v>0</v>
      </c>
      <c r="Z39" s="117" t="e">
        <f>VLOOKUP(A39,#REF!,63,FALSE)/F39+#REF!</f>
        <v>#REF!</v>
      </c>
      <c r="AA39" s="880" t="e">
        <f t="shared" si="21"/>
        <v>#DIV/0!</v>
      </c>
    </row>
    <row r="40" spans="1:27" ht="16.5" customHeight="1">
      <c r="A40" s="14" t="s">
        <v>16</v>
      </c>
      <c r="B40" s="15" t="s">
        <v>427</v>
      </c>
      <c r="C40" s="16" t="s">
        <v>0</v>
      </c>
      <c r="D40" s="16" t="s">
        <v>1</v>
      </c>
      <c r="E40" s="17">
        <f t="shared" ref="E40:G40" si="84">E41+E46+E49+E52</f>
        <v>36292136.519999996</v>
      </c>
      <c r="F40" s="113"/>
      <c r="G40" s="113">
        <f t="shared" si="84"/>
        <v>0</v>
      </c>
      <c r="H40" s="261">
        <f t="shared" ref="H40:Y40" si="85">H41+H46+H49+H52</f>
        <v>1622893</v>
      </c>
      <c r="I40" s="17">
        <f t="shared" ref="I40:M40" si="86">I41+I46+I49+I52</f>
        <v>1622893</v>
      </c>
      <c r="J40" s="113">
        <f t="shared" si="86"/>
        <v>36487230.269999996</v>
      </c>
      <c r="K40" s="113">
        <f t="shared" si="86"/>
        <v>71457.040000000008</v>
      </c>
      <c r="L40" s="113">
        <f t="shared" si="86"/>
        <v>182450</v>
      </c>
      <c r="M40" s="17">
        <f t="shared" si="86"/>
        <v>253907.03999999998</v>
      </c>
      <c r="N40" s="53">
        <f t="shared" si="85"/>
        <v>-195093.75000000175</v>
      </c>
      <c r="O40" s="113">
        <f t="shared" si="85"/>
        <v>1427799.2499999981</v>
      </c>
      <c r="P40" s="17">
        <v>143032</v>
      </c>
      <c r="Q40" s="17">
        <f t="shared" si="85"/>
        <v>182450</v>
      </c>
      <c r="R40" s="17">
        <f t="shared" si="52"/>
        <v>325482</v>
      </c>
      <c r="S40" s="17">
        <f t="shared" ref="S40:T40" si="87">S41+S46+S49+S52</f>
        <v>71574.960000000021</v>
      </c>
      <c r="T40" s="17">
        <f t="shared" si="87"/>
        <v>37825482.439999998</v>
      </c>
      <c r="U40" s="17">
        <f t="shared" si="85"/>
        <v>1338252.169999999</v>
      </c>
      <c r="V40" s="17">
        <f t="shared" si="85"/>
        <v>17972.119999999297</v>
      </c>
      <c r="W40" s="17">
        <f t="shared" si="85"/>
        <v>28495.569999999916</v>
      </c>
      <c r="X40" s="17"/>
      <c r="Y40" s="17">
        <f t="shared" si="85"/>
        <v>1622893</v>
      </c>
      <c r="Z40" s="113" t="e">
        <f t="shared" ref="Z40" si="88">Z41+Z46+Z49+Z52</f>
        <v>#REF!</v>
      </c>
      <c r="AA40" s="879">
        <f t="shared" si="21"/>
        <v>1</v>
      </c>
    </row>
    <row r="41" spans="1:27" ht="16.5" customHeight="1">
      <c r="A41" s="19" t="s">
        <v>17</v>
      </c>
      <c r="B41" s="20" t="s">
        <v>428</v>
      </c>
      <c r="C41" s="21" t="s">
        <v>0</v>
      </c>
      <c r="D41" s="21" t="s">
        <v>1</v>
      </c>
      <c r="E41" s="23">
        <f t="shared" ref="E41:G41" si="89">E42+E43+E44+E45</f>
        <v>25389715.879999999</v>
      </c>
      <c r="F41" s="116"/>
      <c r="G41" s="116">
        <f t="shared" si="89"/>
        <v>0</v>
      </c>
      <c r="H41" s="18">
        <f t="shared" ref="H41:Y41" si="90">H42+H43+H44+H45</f>
        <v>1622893</v>
      </c>
      <c r="I41" s="18">
        <f t="shared" ref="I41:M41" si="91">I42+I43+I44+I45</f>
        <v>1622893</v>
      </c>
      <c r="J41" s="116">
        <f t="shared" si="91"/>
        <v>25389253.899999999</v>
      </c>
      <c r="K41" s="116">
        <f t="shared" si="91"/>
        <v>32768.020000000004</v>
      </c>
      <c r="L41" s="116">
        <f t="shared" si="91"/>
        <v>0</v>
      </c>
      <c r="M41" s="18">
        <f t="shared" si="91"/>
        <v>32768.020000000004</v>
      </c>
      <c r="N41" s="54">
        <f t="shared" si="90"/>
        <v>461.97999999858439</v>
      </c>
      <c r="O41" s="116">
        <f t="shared" si="90"/>
        <v>1623354.9799999986</v>
      </c>
      <c r="P41" s="18">
        <v>51157</v>
      </c>
      <c r="Q41" s="18">
        <f t="shared" si="90"/>
        <v>0</v>
      </c>
      <c r="R41" s="18">
        <f t="shared" si="52"/>
        <v>51157</v>
      </c>
      <c r="S41" s="18">
        <f t="shared" ref="S41" si="92">S42+S43+S44+S45</f>
        <v>18388.98</v>
      </c>
      <c r="T41" s="23">
        <f>T42+T43+T44+T45</f>
        <v>27004743.350000001</v>
      </c>
      <c r="U41" s="18">
        <f t="shared" si="90"/>
        <v>1615489.4499999993</v>
      </c>
      <c r="V41" s="18">
        <f t="shared" si="90"/>
        <v>-10523.450000000623</v>
      </c>
      <c r="W41" s="18">
        <f t="shared" si="90"/>
        <v>0</v>
      </c>
      <c r="X41" s="18"/>
      <c r="Y41" s="18">
        <f t="shared" si="90"/>
        <v>1622893</v>
      </c>
      <c r="Z41" s="116" t="e">
        <f t="shared" ref="Z41" si="93">Z42+Z43+Z44+Z45</f>
        <v>#REF!</v>
      </c>
      <c r="AA41" s="881">
        <f t="shared" si="21"/>
        <v>1</v>
      </c>
    </row>
    <row r="42" spans="1:27" ht="16.5" customHeight="1">
      <c r="A42" s="19" t="s">
        <v>18</v>
      </c>
      <c r="B42" s="20" t="s">
        <v>429</v>
      </c>
      <c r="C42" s="21" t="s">
        <v>0</v>
      </c>
      <c r="D42" s="21" t="s">
        <v>5</v>
      </c>
      <c r="E42" s="22">
        <f>VLOOKUP($A42,publ_fin!$A:$I,8,FALSE)</f>
        <v>0</v>
      </c>
      <c r="F42" s="114">
        <v>0</v>
      </c>
      <c r="G42" s="115"/>
      <c r="H42" s="262">
        <v>0</v>
      </c>
      <c r="I42" s="22">
        <f>F42*H42</f>
        <v>0</v>
      </c>
      <c r="J42" s="117">
        <v>0</v>
      </c>
      <c r="K42" s="117">
        <v>0</v>
      </c>
      <c r="L42" s="117">
        <v>0</v>
      </c>
      <c r="M42" s="23">
        <f t="shared" si="56"/>
        <v>0</v>
      </c>
      <c r="N42" s="54">
        <f>E42-J42</f>
        <v>0</v>
      </c>
      <c r="O42" s="117">
        <f>H42+N42</f>
        <v>0</v>
      </c>
      <c r="P42" s="23">
        <v>0</v>
      </c>
      <c r="Q42" s="23">
        <f>IFERROR(VLOOKUP(A42,lauzti_līg!A:H,8,FALSE),0)</f>
        <v>0</v>
      </c>
      <c r="R42" s="23">
        <f t="shared" si="52"/>
        <v>0</v>
      </c>
      <c r="S42" s="23">
        <f>R42-M42</f>
        <v>0</v>
      </c>
      <c r="T42" s="23">
        <v>0</v>
      </c>
      <c r="U42" s="23">
        <f>T42-J42</f>
        <v>0</v>
      </c>
      <c r="V42" s="23">
        <f>O42-S42-U42</f>
        <v>0</v>
      </c>
      <c r="W42" s="23">
        <f>IF(N42&gt;=S42+U42,N42-S42-U42,0)</f>
        <v>0</v>
      </c>
      <c r="X42" s="23"/>
      <c r="Y42" s="23">
        <f>IF(H42=0,0, IF(T42-E42+R42-M42&lt;0, 0, T42-E42+R42-M42))</f>
        <v>0</v>
      </c>
      <c r="Z42" s="117">
        <v>0</v>
      </c>
      <c r="AA42" s="880" t="e">
        <f t="shared" si="21"/>
        <v>#DIV/0!</v>
      </c>
    </row>
    <row r="43" spans="1:27" ht="16.5" customHeight="1">
      <c r="A43" s="19" t="s">
        <v>19</v>
      </c>
      <c r="B43" s="20" t="s">
        <v>430</v>
      </c>
      <c r="C43" s="21" t="s">
        <v>0</v>
      </c>
      <c r="D43" s="21" t="s">
        <v>138</v>
      </c>
      <c r="E43" s="22">
        <f>VLOOKUP($A43,publ_fin!$A:$I,8,FALSE)</f>
        <v>5441400.2300000004</v>
      </c>
      <c r="F43" s="114">
        <v>1</v>
      </c>
      <c r="G43" s="115"/>
      <c r="H43" s="262">
        <v>1622893</v>
      </c>
      <c r="I43" s="22">
        <f>F43*H43</f>
        <v>1622893</v>
      </c>
      <c r="J43" s="117">
        <v>5440938.9000000004</v>
      </c>
      <c r="K43" s="117">
        <v>7059.05</v>
      </c>
      <c r="L43" s="117">
        <v>0</v>
      </c>
      <c r="M43" s="23">
        <f t="shared" si="56"/>
        <v>7059.05</v>
      </c>
      <c r="N43" s="54">
        <f>E43-J43</f>
        <v>461.33000000007451</v>
      </c>
      <c r="O43" s="117">
        <f>H43+N43</f>
        <v>1623354.33</v>
      </c>
      <c r="P43" s="23">
        <v>7121</v>
      </c>
      <c r="Q43" s="23">
        <f>IFERROR(VLOOKUP(A43,lauzti_līg!A:H,8,FALSE),0)</f>
        <v>0</v>
      </c>
      <c r="R43" s="23">
        <f t="shared" si="52"/>
        <v>7121</v>
      </c>
      <c r="S43" s="23">
        <f>R43-M43</f>
        <v>61.949999999999818</v>
      </c>
      <c r="T43" s="23">
        <f>VLOOKUP(A43,Nosl_līg!A:H,8,0)</f>
        <v>7056429.3499999996</v>
      </c>
      <c r="U43" s="23">
        <f>T43-J43</f>
        <v>1615490.4499999993</v>
      </c>
      <c r="V43" s="23">
        <f>O43-S43-U43</f>
        <v>7801.9300000008661</v>
      </c>
      <c r="W43" s="23">
        <f>IF(N43&gt;=S43+U43,N43-S43-U43,0)</f>
        <v>0</v>
      </c>
      <c r="X43" s="23"/>
      <c r="Y43" s="23">
        <v>1622893</v>
      </c>
      <c r="Z43" s="117" t="e">
        <f>VLOOKUP(A43,#REF!,63,FALSE)/F43+#REF!</f>
        <v>#REF!</v>
      </c>
      <c r="AA43" s="880">
        <f t="shared" si="21"/>
        <v>1</v>
      </c>
    </row>
    <row r="44" spans="1:27" ht="16.5" customHeight="1">
      <c r="A44" s="19" t="s">
        <v>20</v>
      </c>
      <c r="B44" s="20" t="s">
        <v>431</v>
      </c>
      <c r="C44" s="21" t="s">
        <v>0</v>
      </c>
      <c r="D44" s="21" t="s">
        <v>5</v>
      </c>
      <c r="E44" s="22">
        <f>VLOOKUP($A44,publ_fin!$A:$I,8,FALSE)</f>
        <v>0</v>
      </c>
      <c r="F44" s="114">
        <v>0</v>
      </c>
      <c r="G44" s="115"/>
      <c r="H44" s="262">
        <v>0</v>
      </c>
      <c r="I44" s="22">
        <f>F44*H44</f>
        <v>0</v>
      </c>
      <c r="J44" s="117">
        <v>0</v>
      </c>
      <c r="K44" s="117">
        <v>0</v>
      </c>
      <c r="L44" s="117">
        <v>0</v>
      </c>
      <c r="M44" s="23">
        <f t="shared" si="56"/>
        <v>0</v>
      </c>
      <c r="N44" s="54">
        <f>E44-J44</f>
        <v>0</v>
      </c>
      <c r="O44" s="117">
        <f>H44+N44</f>
        <v>0</v>
      </c>
      <c r="P44" s="23">
        <v>0</v>
      </c>
      <c r="Q44" s="23">
        <f>IFERROR(VLOOKUP(A44,lauzti_līg!A:H,8,FALSE),0)</f>
        <v>0</v>
      </c>
      <c r="R44" s="23">
        <f t="shared" si="52"/>
        <v>0</v>
      </c>
      <c r="S44" s="23">
        <f>R44-M44</f>
        <v>0</v>
      </c>
      <c r="T44" s="23">
        <v>0</v>
      </c>
      <c r="U44" s="23">
        <f>T44-J44</f>
        <v>0</v>
      </c>
      <c r="V44" s="23">
        <f>O44-S44-U44</f>
        <v>0</v>
      </c>
      <c r="W44" s="23">
        <f>IF(N44&gt;=S44+U44,N44-S44-U44,0)</f>
        <v>0</v>
      </c>
      <c r="X44" s="23"/>
      <c r="Y44" s="23">
        <f>IF(H44=0,0, IF(T44-E44+R44-M44&lt;0, 0, T44-E44+R44-M44))</f>
        <v>0</v>
      </c>
      <c r="Z44" s="117">
        <v>0</v>
      </c>
      <c r="AA44" s="880" t="e">
        <f t="shared" si="21"/>
        <v>#DIV/0!</v>
      </c>
    </row>
    <row r="45" spans="1:27" ht="16.5" customHeight="1">
      <c r="A45" s="19" t="s">
        <v>238</v>
      </c>
      <c r="B45" s="20" t="s">
        <v>432</v>
      </c>
      <c r="C45" s="21" t="s">
        <v>0</v>
      </c>
      <c r="D45" s="21" t="s">
        <v>5</v>
      </c>
      <c r="E45" s="22">
        <f>VLOOKUP($A45,publ_fin!$A:$I,8,FALSE)</f>
        <v>19948315.649999999</v>
      </c>
      <c r="F45" s="114">
        <v>0.85</v>
      </c>
      <c r="G45" s="115"/>
      <c r="H45" s="262">
        <v>0</v>
      </c>
      <c r="I45" s="22">
        <f>F45*H45</f>
        <v>0</v>
      </c>
      <c r="J45" s="117">
        <v>19948315</v>
      </c>
      <c r="K45" s="117">
        <v>25708.97</v>
      </c>
      <c r="L45" s="117">
        <v>0</v>
      </c>
      <c r="M45" s="23">
        <f t="shared" si="56"/>
        <v>25708.97</v>
      </c>
      <c r="N45" s="54">
        <f>E45-J45</f>
        <v>0.64999999850988388</v>
      </c>
      <c r="O45" s="117">
        <f>H45+N45</f>
        <v>0.64999999850988388</v>
      </c>
      <c r="P45" s="23">
        <v>44036</v>
      </c>
      <c r="Q45" s="23">
        <f>IFERROR(VLOOKUP(A45,lauzti_līg!A:H,8,FALSE),0)</f>
        <v>0</v>
      </c>
      <c r="R45" s="23">
        <f t="shared" si="52"/>
        <v>44036</v>
      </c>
      <c r="S45" s="23">
        <f>R45-M45</f>
        <v>18327.03</v>
      </c>
      <c r="T45" s="23">
        <f>VLOOKUP(A45,Nosl_līg!A:H,8,0)</f>
        <v>19948314</v>
      </c>
      <c r="U45" s="23">
        <f>T45-J45</f>
        <v>-1</v>
      </c>
      <c r="V45" s="23">
        <f>O45-S45-U45</f>
        <v>-18325.380000001489</v>
      </c>
      <c r="W45" s="23">
        <f>IF(N45&gt;=S45+U45,N45-S45-U45,0)</f>
        <v>0</v>
      </c>
      <c r="X45" s="23"/>
      <c r="Y45" s="23">
        <f>IF(H45=0,0, IF(T45-E45+R45-M45&lt;0, 0, T45-E45+R45-M45))</f>
        <v>0</v>
      </c>
      <c r="Z45" s="117" t="e">
        <f>VLOOKUP(A45,#REF!,63,FALSE)/F45+#REF!</f>
        <v>#REF!</v>
      </c>
      <c r="AA45" s="880" t="e">
        <f t="shared" si="21"/>
        <v>#DIV/0!</v>
      </c>
    </row>
    <row r="46" spans="1:27" s="40" customFormat="1" ht="16.5" customHeight="1">
      <c r="A46" s="19" t="s">
        <v>21</v>
      </c>
      <c r="B46" s="20" t="s">
        <v>433</v>
      </c>
      <c r="C46" s="21" t="s">
        <v>0</v>
      </c>
      <c r="D46" s="21" t="s">
        <v>5</v>
      </c>
      <c r="E46" s="23">
        <f t="shared" ref="E46:Z46" si="94">E47+E48</f>
        <v>0</v>
      </c>
      <c r="F46" s="116"/>
      <c r="G46" s="116">
        <f t="shared" si="94"/>
        <v>0</v>
      </c>
      <c r="H46" s="18">
        <f>H47+H48</f>
        <v>0</v>
      </c>
      <c r="I46" s="18">
        <f t="shared" si="94"/>
        <v>0</v>
      </c>
      <c r="J46" s="116">
        <f t="shared" si="94"/>
        <v>0</v>
      </c>
      <c r="K46" s="116">
        <f t="shared" si="94"/>
        <v>0</v>
      </c>
      <c r="L46" s="116">
        <f t="shared" si="94"/>
        <v>0</v>
      </c>
      <c r="M46" s="18">
        <f t="shared" si="94"/>
        <v>0</v>
      </c>
      <c r="N46" s="54">
        <f t="shared" si="94"/>
        <v>0</v>
      </c>
      <c r="O46" s="116">
        <f t="shared" si="94"/>
        <v>0</v>
      </c>
      <c r="P46" s="18">
        <v>0</v>
      </c>
      <c r="Q46" s="18">
        <f t="shared" si="94"/>
        <v>0</v>
      </c>
      <c r="R46" s="18">
        <f t="shared" si="52"/>
        <v>0</v>
      </c>
      <c r="S46" s="18">
        <f t="shared" si="94"/>
        <v>0</v>
      </c>
      <c r="T46" s="23">
        <f>T47+T48</f>
        <v>0</v>
      </c>
      <c r="U46" s="18">
        <f t="shared" si="94"/>
        <v>0</v>
      </c>
      <c r="V46" s="18">
        <f t="shared" si="94"/>
        <v>0</v>
      </c>
      <c r="W46" s="18">
        <f t="shared" si="94"/>
        <v>0</v>
      </c>
      <c r="X46" s="18"/>
      <c r="Y46" s="18">
        <f t="shared" si="94"/>
        <v>0</v>
      </c>
      <c r="Z46" s="116">
        <f t="shared" si="94"/>
        <v>0</v>
      </c>
      <c r="AA46" s="881" t="e">
        <f t="shared" si="21"/>
        <v>#DIV/0!</v>
      </c>
    </row>
    <row r="47" spans="1:27" ht="16.5" customHeight="1">
      <c r="A47" s="19" t="s">
        <v>22</v>
      </c>
      <c r="B47" s="20" t="s">
        <v>434</v>
      </c>
      <c r="C47" s="21" t="s">
        <v>0</v>
      </c>
      <c r="D47" s="21" t="s">
        <v>5</v>
      </c>
      <c r="E47" s="22">
        <f>VLOOKUP($A47,publ_fin!$A:$I,8,FALSE)</f>
        <v>0</v>
      </c>
      <c r="F47" s="114">
        <v>0</v>
      </c>
      <c r="G47" s="115"/>
      <c r="H47" s="262">
        <v>0</v>
      </c>
      <c r="I47" s="22">
        <f>F47*H47</f>
        <v>0</v>
      </c>
      <c r="J47" s="117">
        <v>0</v>
      </c>
      <c r="K47" s="117">
        <v>0</v>
      </c>
      <c r="L47" s="117">
        <v>0</v>
      </c>
      <c r="M47" s="23">
        <f t="shared" si="56"/>
        <v>0</v>
      </c>
      <c r="N47" s="54">
        <f>E47-J47</f>
        <v>0</v>
      </c>
      <c r="O47" s="117">
        <f>H47+N47</f>
        <v>0</v>
      </c>
      <c r="P47" s="23">
        <v>0</v>
      </c>
      <c r="Q47" s="23">
        <f>IFERROR(VLOOKUP(A47,lauzti_līg!A:H,8,FALSE),0)</f>
        <v>0</v>
      </c>
      <c r="R47" s="23">
        <f t="shared" si="52"/>
        <v>0</v>
      </c>
      <c r="S47" s="23">
        <f>R47-M47</f>
        <v>0</v>
      </c>
      <c r="T47" s="23">
        <v>0</v>
      </c>
      <c r="U47" s="23">
        <f>T47-J47</f>
        <v>0</v>
      </c>
      <c r="V47" s="23">
        <f>O47-S47-U47</f>
        <v>0</v>
      </c>
      <c r="W47" s="23">
        <f>IF(N47&gt;=S47+U47,N47-S47-U47,0)</f>
        <v>0</v>
      </c>
      <c r="X47" s="23"/>
      <c r="Y47" s="23">
        <f>IF(H47=0,0, IF(T47-E47+R47-M47&lt;0, 0, T47-E47+R47-M47))</f>
        <v>0</v>
      </c>
      <c r="Z47" s="117">
        <v>0</v>
      </c>
      <c r="AA47" s="880" t="e">
        <f t="shared" si="21"/>
        <v>#DIV/0!</v>
      </c>
    </row>
    <row r="48" spans="1:27" ht="16.5" customHeight="1">
      <c r="A48" s="19" t="s">
        <v>23</v>
      </c>
      <c r="B48" s="20" t="s">
        <v>435</v>
      </c>
      <c r="C48" s="21" t="s">
        <v>0</v>
      </c>
      <c r="D48" s="21" t="s">
        <v>5</v>
      </c>
      <c r="E48" s="22">
        <f>VLOOKUP($A48,publ_fin!$A:$I,8,FALSE)</f>
        <v>0</v>
      </c>
      <c r="F48" s="114">
        <v>0</v>
      </c>
      <c r="G48" s="115"/>
      <c r="H48" s="262">
        <v>0</v>
      </c>
      <c r="I48" s="22">
        <f>F48*H48</f>
        <v>0</v>
      </c>
      <c r="J48" s="117">
        <v>0</v>
      </c>
      <c r="K48" s="117">
        <v>0</v>
      </c>
      <c r="L48" s="117">
        <v>0</v>
      </c>
      <c r="M48" s="23">
        <f t="shared" si="56"/>
        <v>0</v>
      </c>
      <c r="N48" s="54">
        <f>E48-J48</f>
        <v>0</v>
      </c>
      <c r="O48" s="117">
        <f>H48+N48</f>
        <v>0</v>
      </c>
      <c r="P48" s="23">
        <v>0</v>
      </c>
      <c r="Q48" s="23">
        <f>IFERROR(VLOOKUP(A48,lauzti_līg!A:H,8,FALSE),0)</f>
        <v>0</v>
      </c>
      <c r="R48" s="23">
        <f t="shared" si="52"/>
        <v>0</v>
      </c>
      <c r="S48" s="23">
        <f>R48-M48</f>
        <v>0</v>
      </c>
      <c r="T48" s="23">
        <v>0</v>
      </c>
      <c r="U48" s="23">
        <f>T48-J48</f>
        <v>0</v>
      </c>
      <c r="V48" s="23">
        <f>O48-S48-U48</f>
        <v>0</v>
      </c>
      <c r="W48" s="23">
        <f>IF(N48&gt;=S48+U48,N48-S48-U48,0)</f>
        <v>0</v>
      </c>
      <c r="X48" s="23"/>
      <c r="Y48" s="23">
        <f>IF(H48=0,0, IF(T48-E48+R48-M48&lt;0, 0, T48-E48+R48-M48))</f>
        <v>0</v>
      </c>
      <c r="Z48" s="117">
        <v>0</v>
      </c>
      <c r="AA48" s="880" t="e">
        <f t="shared" si="21"/>
        <v>#DIV/0!</v>
      </c>
    </row>
    <row r="49" spans="1:27" ht="16.5" customHeight="1">
      <c r="A49" s="19" t="s">
        <v>24</v>
      </c>
      <c r="B49" s="20" t="s">
        <v>436</v>
      </c>
      <c r="C49" s="21" t="s">
        <v>0</v>
      </c>
      <c r="D49" s="21" t="s">
        <v>5</v>
      </c>
      <c r="E49" s="23">
        <f t="shared" ref="E49:Z49" si="95">E50+E51</f>
        <v>973356.13</v>
      </c>
      <c r="F49" s="116"/>
      <c r="G49" s="116">
        <f t="shared" si="95"/>
        <v>0</v>
      </c>
      <c r="H49" s="18">
        <f t="shared" si="95"/>
        <v>0</v>
      </c>
      <c r="I49" s="18">
        <f t="shared" si="95"/>
        <v>0</v>
      </c>
      <c r="J49" s="116">
        <f t="shared" si="95"/>
        <v>973356</v>
      </c>
      <c r="K49" s="116">
        <f t="shared" si="95"/>
        <v>1230.76</v>
      </c>
      <c r="L49" s="116">
        <f t="shared" si="95"/>
        <v>0</v>
      </c>
      <c r="M49" s="18">
        <f t="shared" si="95"/>
        <v>1230.76</v>
      </c>
      <c r="N49" s="54">
        <f t="shared" si="95"/>
        <v>0.13000000000465661</v>
      </c>
      <c r="O49" s="116">
        <f t="shared" si="95"/>
        <v>0.13000000000465661</v>
      </c>
      <c r="P49" s="18">
        <v>1251</v>
      </c>
      <c r="Q49" s="18">
        <f t="shared" si="95"/>
        <v>0</v>
      </c>
      <c r="R49" s="18">
        <f t="shared" si="52"/>
        <v>1251</v>
      </c>
      <c r="S49" s="18">
        <f t="shared" si="95"/>
        <v>20.240000000000009</v>
      </c>
      <c r="T49" s="23">
        <f>T50+T51</f>
        <v>972125</v>
      </c>
      <c r="U49" s="18">
        <f t="shared" si="95"/>
        <v>-1231</v>
      </c>
      <c r="V49" s="18">
        <f t="shared" si="95"/>
        <v>1210.8900000000046</v>
      </c>
      <c r="W49" s="18">
        <f t="shared" si="95"/>
        <v>1210.8900000000046</v>
      </c>
      <c r="X49" s="18"/>
      <c r="Y49" s="18">
        <f t="shared" si="95"/>
        <v>0</v>
      </c>
      <c r="Z49" s="116" t="e">
        <f t="shared" si="95"/>
        <v>#REF!</v>
      </c>
      <c r="AA49" s="881" t="e">
        <f t="shared" si="21"/>
        <v>#DIV/0!</v>
      </c>
    </row>
    <row r="50" spans="1:27" ht="16.5" customHeight="1">
      <c r="A50" s="19" t="s">
        <v>25</v>
      </c>
      <c r="B50" s="20" t="s">
        <v>436</v>
      </c>
      <c r="C50" s="21" t="s">
        <v>0</v>
      </c>
      <c r="D50" s="21" t="s">
        <v>5</v>
      </c>
      <c r="E50" s="22">
        <f>VLOOKUP($A50,publ_fin!$A:$I,8,FALSE)</f>
        <v>0</v>
      </c>
      <c r="F50" s="114">
        <v>0</v>
      </c>
      <c r="G50" s="115"/>
      <c r="H50" s="262">
        <v>0</v>
      </c>
      <c r="I50" s="22">
        <f>F50*H50</f>
        <v>0</v>
      </c>
      <c r="J50" s="117">
        <v>0</v>
      </c>
      <c r="K50" s="117">
        <v>0</v>
      </c>
      <c r="L50" s="117">
        <v>0</v>
      </c>
      <c r="M50" s="23">
        <f t="shared" si="56"/>
        <v>0</v>
      </c>
      <c r="N50" s="54">
        <f>E50-J50</f>
        <v>0</v>
      </c>
      <c r="O50" s="117">
        <f>H50+N50</f>
        <v>0</v>
      </c>
      <c r="P50" s="23">
        <v>0</v>
      </c>
      <c r="Q50" s="23">
        <f>IFERROR(VLOOKUP(A50,lauzti_līg!A:H,8,FALSE),0)</f>
        <v>0</v>
      </c>
      <c r="R50" s="23">
        <f t="shared" si="52"/>
        <v>0</v>
      </c>
      <c r="S50" s="23">
        <f>R50-M50</f>
        <v>0</v>
      </c>
      <c r="T50" s="23">
        <v>0</v>
      </c>
      <c r="U50" s="23">
        <f>T50-J50</f>
        <v>0</v>
      </c>
      <c r="V50" s="23">
        <f>O50-S50-U50</f>
        <v>0</v>
      </c>
      <c r="W50" s="23">
        <f>IF(N50&gt;=S50+U50,N50-S50-U50,0)</f>
        <v>0</v>
      </c>
      <c r="X50" s="23"/>
      <c r="Y50" s="23">
        <f>IF(H50=0,0, IF(T50-E50+R50-M50&lt;0, 0, T50-E50+R50-M50))</f>
        <v>0</v>
      </c>
      <c r="Z50" s="117">
        <v>0</v>
      </c>
      <c r="AA50" s="880" t="e">
        <f t="shared" si="21"/>
        <v>#DIV/0!</v>
      </c>
    </row>
    <row r="51" spans="1:27" ht="16.5" customHeight="1">
      <c r="A51" s="19" t="s">
        <v>26</v>
      </c>
      <c r="B51" s="20" t="s">
        <v>437</v>
      </c>
      <c r="C51" s="21" t="s">
        <v>0</v>
      </c>
      <c r="D51" s="21" t="s">
        <v>5</v>
      </c>
      <c r="E51" s="22">
        <f>VLOOKUP($A51,publ_fin!$A:$I,8,FALSE)</f>
        <v>973356.13</v>
      </c>
      <c r="F51" s="114">
        <v>1</v>
      </c>
      <c r="G51" s="115"/>
      <c r="H51" s="262">
        <v>0</v>
      </c>
      <c r="I51" s="22">
        <f>F51*H51</f>
        <v>0</v>
      </c>
      <c r="J51" s="117">
        <v>973356</v>
      </c>
      <c r="K51" s="117">
        <v>1230.76</v>
      </c>
      <c r="L51" s="117">
        <v>0</v>
      </c>
      <c r="M51" s="23">
        <f t="shared" si="56"/>
        <v>1230.76</v>
      </c>
      <c r="N51" s="54">
        <f>E51-J51</f>
        <v>0.13000000000465661</v>
      </c>
      <c r="O51" s="117">
        <f>H51+N51</f>
        <v>0.13000000000465661</v>
      </c>
      <c r="P51" s="23">
        <v>1251</v>
      </c>
      <c r="Q51" s="23">
        <f>IFERROR(VLOOKUP(A51,lauzti_līg!A:H,8,FALSE),0)</f>
        <v>0</v>
      </c>
      <c r="R51" s="23">
        <f t="shared" si="52"/>
        <v>1251</v>
      </c>
      <c r="S51" s="23">
        <f>R51-M51</f>
        <v>20.240000000000009</v>
      </c>
      <c r="T51" s="23">
        <f>VLOOKUP(A51,Nosl_līg!A:H,8,0)</f>
        <v>972125</v>
      </c>
      <c r="U51" s="23">
        <f>T51-J51</f>
        <v>-1231</v>
      </c>
      <c r="V51" s="23">
        <f>O51-S51-U51</f>
        <v>1210.8900000000046</v>
      </c>
      <c r="W51" s="23">
        <f>IF(N51&gt;=S51+U51,N51-S51-U51,0)</f>
        <v>1210.8900000000046</v>
      </c>
      <c r="X51" s="23"/>
      <c r="Y51" s="23">
        <f>IF(H51=0,0, IF(T51-E51+R51-M51&lt;0, 0, T51-E51+R51-M51))</f>
        <v>0</v>
      </c>
      <c r="Z51" s="117" t="e">
        <f>VLOOKUP(A51,#REF!,63,FALSE)/F51+#REF!</f>
        <v>#REF!</v>
      </c>
      <c r="AA51" s="880" t="e">
        <f t="shared" si="21"/>
        <v>#DIV/0!</v>
      </c>
    </row>
    <row r="52" spans="1:27" ht="16.5" customHeight="1">
      <c r="A52" s="19" t="s">
        <v>27</v>
      </c>
      <c r="B52" s="20" t="s">
        <v>438</v>
      </c>
      <c r="C52" s="21" t="s">
        <v>0</v>
      </c>
      <c r="D52" s="21" t="s">
        <v>5</v>
      </c>
      <c r="E52" s="23">
        <f t="shared" ref="E52:Z52" si="96">E53+E54</f>
        <v>9929064.5099999998</v>
      </c>
      <c r="F52" s="116"/>
      <c r="G52" s="116">
        <f t="shared" si="96"/>
        <v>0</v>
      </c>
      <c r="H52" s="18">
        <f t="shared" si="96"/>
        <v>0</v>
      </c>
      <c r="I52" s="18">
        <f t="shared" si="96"/>
        <v>0</v>
      </c>
      <c r="J52" s="116">
        <f t="shared" si="96"/>
        <v>10124620.370000001</v>
      </c>
      <c r="K52" s="116">
        <f t="shared" si="96"/>
        <v>37458.26</v>
      </c>
      <c r="L52" s="116">
        <f t="shared" si="96"/>
        <v>182450</v>
      </c>
      <c r="M52" s="18">
        <f t="shared" si="96"/>
        <v>219908.25999999998</v>
      </c>
      <c r="N52" s="54">
        <f t="shared" si="96"/>
        <v>-195555.86000000034</v>
      </c>
      <c r="O52" s="116">
        <f t="shared" si="96"/>
        <v>-195555.86000000034</v>
      </c>
      <c r="P52" s="18">
        <v>90624</v>
      </c>
      <c r="Q52" s="18">
        <f t="shared" si="96"/>
        <v>182450</v>
      </c>
      <c r="R52" s="18">
        <f t="shared" si="52"/>
        <v>273074</v>
      </c>
      <c r="S52" s="18">
        <f t="shared" si="96"/>
        <v>53165.740000000013</v>
      </c>
      <c r="T52" s="23">
        <f>T53+T54</f>
        <v>9848614.0899999999</v>
      </c>
      <c r="U52" s="18">
        <f t="shared" si="96"/>
        <v>-276006.28000000026</v>
      </c>
      <c r="V52" s="18">
        <f t="shared" si="96"/>
        <v>27284.679999999913</v>
      </c>
      <c r="W52" s="18">
        <f t="shared" si="96"/>
        <v>27284.679999999913</v>
      </c>
      <c r="X52" s="18"/>
      <c r="Y52" s="18">
        <f t="shared" si="96"/>
        <v>0</v>
      </c>
      <c r="Z52" s="116" t="e">
        <f t="shared" si="96"/>
        <v>#REF!</v>
      </c>
      <c r="AA52" s="881" t="e">
        <f t="shared" si="21"/>
        <v>#DIV/0!</v>
      </c>
    </row>
    <row r="53" spans="1:27" ht="16.5" customHeight="1">
      <c r="A53" s="19" t="s">
        <v>28</v>
      </c>
      <c r="B53" s="20" t="s">
        <v>439</v>
      </c>
      <c r="C53" s="21" t="s">
        <v>0</v>
      </c>
      <c r="D53" s="21" t="s">
        <v>5</v>
      </c>
      <c r="E53" s="22">
        <f>VLOOKUP($A53,publ_fin!$A:$I,8,FALSE)</f>
        <v>4216824</v>
      </c>
      <c r="F53" s="114">
        <v>0.85</v>
      </c>
      <c r="G53" s="115"/>
      <c r="H53" s="262">
        <v>0</v>
      </c>
      <c r="I53" s="22">
        <f>F53*H53</f>
        <v>0</v>
      </c>
      <c r="J53" s="117">
        <v>4216823</v>
      </c>
      <c r="K53" s="117">
        <v>6948.74</v>
      </c>
      <c r="L53" s="117">
        <v>0</v>
      </c>
      <c r="M53" s="23">
        <f t="shared" si="56"/>
        <v>6948.74</v>
      </c>
      <c r="N53" s="54">
        <f>E53-J53</f>
        <v>1</v>
      </c>
      <c r="O53" s="117">
        <f>H53+N53</f>
        <v>1</v>
      </c>
      <c r="P53" s="23">
        <v>9658</v>
      </c>
      <c r="Q53" s="23">
        <f>IFERROR(VLOOKUP(A53,lauzti_līg!A:H,8,FALSE),0)</f>
        <v>0</v>
      </c>
      <c r="R53" s="23">
        <f t="shared" si="52"/>
        <v>9658</v>
      </c>
      <c r="S53" s="23">
        <f>R53-M53</f>
        <v>2709.26</v>
      </c>
      <c r="T53" s="23">
        <f>VLOOKUP(A53,Nosl_līg!A:H,8,0)</f>
        <v>4207314</v>
      </c>
      <c r="U53" s="23">
        <f>T53-J53</f>
        <v>-9509</v>
      </c>
      <c r="V53" s="23">
        <f>O53-S53-U53</f>
        <v>6800.74</v>
      </c>
      <c r="W53" s="23">
        <f>IF(N53&gt;=S53+U53,N53-S53-U53,0)</f>
        <v>6800.74</v>
      </c>
      <c r="X53" s="23"/>
      <c r="Y53" s="23">
        <f>IF(H53=0,0, IF(T53-E53+R53-M53&lt;0, 0, T53-E53+R53-M53))</f>
        <v>0</v>
      </c>
      <c r="Z53" s="117" t="e">
        <f>VLOOKUP(A53,#REF!,63,FALSE)/F53+#REF!</f>
        <v>#REF!</v>
      </c>
      <c r="AA53" s="880" t="e">
        <f t="shared" si="21"/>
        <v>#DIV/0!</v>
      </c>
    </row>
    <row r="54" spans="1:27" ht="16.5" customHeight="1">
      <c r="A54" s="19" t="s">
        <v>204</v>
      </c>
      <c r="B54" s="20" t="s">
        <v>440</v>
      </c>
      <c r="C54" s="21" t="s">
        <v>0</v>
      </c>
      <c r="D54" s="21" t="s">
        <v>5</v>
      </c>
      <c r="E54" s="22">
        <f>VLOOKUP($A54,publ_fin!$A:$I,8,FALSE)</f>
        <v>5712240.5099999998</v>
      </c>
      <c r="F54" s="114">
        <v>1</v>
      </c>
      <c r="G54" s="115"/>
      <c r="H54" s="262">
        <v>0</v>
      </c>
      <c r="I54" s="22">
        <f>F54*H54</f>
        <v>0</v>
      </c>
      <c r="J54" s="117">
        <v>5907797.3700000001</v>
      </c>
      <c r="K54" s="117">
        <v>30509.52</v>
      </c>
      <c r="L54" s="117">
        <v>182450</v>
      </c>
      <c r="M54" s="23">
        <f t="shared" si="56"/>
        <v>212959.52</v>
      </c>
      <c r="N54" s="54">
        <f>E54-J54</f>
        <v>-195556.86000000034</v>
      </c>
      <c r="O54" s="117">
        <f>H54+N54</f>
        <v>-195556.86000000034</v>
      </c>
      <c r="P54" s="23">
        <v>80966</v>
      </c>
      <c r="Q54" s="23">
        <f>IFERROR(VLOOKUP(A54,lauzti_līg!A:H,8,FALSE),0)</f>
        <v>182450</v>
      </c>
      <c r="R54" s="23">
        <f t="shared" si="52"/>
        <v>263416</v>
      </c>
      <c r="S54" s="23">
        <f>R54-M54</f>
        <v>50456.48000000001</v>
      </c>
      <c r="T54" s="23">
        <f>VLOOKUP(A54,Nosl_līg!A:H,8,0)</f>
        <v>5641300.0899999999</v>
      </c>
      <c r="U54" s="23">
        <f>T54-J54</f>
        <v>-266497.28000000026</v>
      </c>
      <c r="V54" s="23">
        <f>O54-S54-U54</f>
        <v>20483.939999999915</v>
      </c>
      <c r="W54" s="23">
        <f>IF(N54&gt;=S54+U54,N54-S54-U54,0)</f>
        <v>20483.939999999915</v>
      </c>
      <c r="X54" s="23"/>
      <c r="Y54" s="23">
        <f>IF(H54=0,0, IF(T54-E54+R54-M54&lt;0, 0, T54-E54+R54-M54))</f>
        <v>0</v>
      </c>
      <c r="Z54" s="117" t="e">
        <f>VLOOKUP(A54,#REF!,63,FALSE)/F54+#REF!</f>
        <v>#REF!</v>
      </c>
      <c r="AA54" s="880" t="e">
        <f t="shared" si="21"/>
        <v>#DIV/0!</v>
      </c>
    </row>
    <row r="55" spans="1:27" ht="16.5" customHeight="1">
      <c r="A55" s="14" t="s">
        <v>383</v>
      </c>
      <c r="B55" s="15" t="s">
        <v>441</v>
      </c>
      <c r="C55" s="16" t="s">
        <v>0</v>
      </c>
      <c r="D55" s="16"/>
      <c r="E55" s="17">
        <f t="shared" ref="E55:G55" si="97">E56+E73</f>
        <v>198980165.94</v>
      </c>
      <c r="F55" s="113"/>
      <c r="G55" s="113">
        <f t="shared" si="97"/>
        <v>7163639</v>
      </c>
      <c r="H55" s="261">
        <f t="shared" ref="H55:Y55" si="98">H56+H73</f>
        <v>30353437</v>
      </c>
      <c r="I55" s="17">
        <f t="shared" ref="I55:L55" si="99">I56+I73</f>
        <v>25074783.487684932</v>
      </c>
      <c r="J55" s="113">
        <f t="shared" si="99"/>
        <v>202850682.66000003</v>
      </c>
      <c r="K55" s="113">
        <f t="shared" si="99"/>
        <v>427626.31</v>
      </c>
      <c r="L55" s="113">
        <f t="shared" si="99"/>
        <v>823449.42</v>
      </c>
      <c r="M55" s="17">
        <f t="shared" si="98"/>
        <v>1251075.7300000002</v>
      </c>
      <c r="N55" s="53">
        <f t="shared" si="98"/>
        <v>3293122.2799999849</v>
      </c>
      <c r="O55" s="113">
        <f t="shared" si="98"/>
        <v>33646559.279999986</v>
      </c>
      <c r="P55" s="17">
        <v>4286516</v>
      </c>
      <c r="Q55" s="17">
        <f t="shared" si="98"/>
        <v>824385.34</v>
      </c>
      <c r="R55" s="17">
        <f t="shared" si="52"/>
        <v>5110901.34</v>
      </c>
      <c r="S55" s="17">
        <f t="shared" ref="S55:T55" si="100">S56+S73</f>
        <v>3859825.6100000003</v>
      </c>
      <c r="T55" s="17">
        <f t="shared" si="100"/>
        <v>222210216.63</v>
      </c>
      <c r="U55" s="17">
        <f t="shared" si="98"/>
        <v>19359533.969999984</v>
      </c>
      <c r="V55" s="17">
        <f t="shared" si="98"/>
        <v>10427199.700000003</v>
      </c>
      <c r="W55" s="17">
        <f t="shared" si="98"/>
        <v>2005046.8400000017</v>
      </c>
      <c r="X55" s="17"/>
      <c r="Y55" s="17">
        <f t="shared" si="98"/>
        <v>25868593.390000001</v>
      </c>
      <c r="Z55" s="113" t="e">
        <f t="shared" ref="Z55" si="101">Z56+Z73</f>
        <v>#REF!</v>
      </c>
      <c r="AA55" s="879">
        <f t="shared" si="21"/>
        <v>0.85224593807943394</v>
      </c>
    </row>
    <row r="56" spans="1:27" ht="16.5" customHeight="1">
      <c r="A56" s="14" t="s">
        <v>29</v>
      </c>
      <c r="B56" s="15" t="s">
        <v>442</v>
      </c>
      <c r="C56" s="16" t="s">
        <v>0</v>
      </c>
      <c r="D56" s="16"/>
      <c r="E56" s="17">
        <f t="shared" ref="E56:G56" si="102">E57+E63+E64+E67+E68+E69+E70+E71+E72</f>
        <v>188881910.5</v>
      </c>
      <c r="F56" s="113"/>
      <c r="G56" s="113">
        <f t="shared" si="102"/>
        <v>7163639</v>
      </c>
      <c r="H56" s="261">
        <f t="shared" ref="H56:Y56" si="103">H57+H63+H64+H67+H68+H69+H70+H71+H72</f>
        <v>29153437</v>
      </c>
      <c r="I56" s="17">
        <f t="shared" ref="I56:L56" si="104">I57+I63+I64+I67+I68+I69+I70+I71+I72</f>
        <v>24038523.824599996</v>
      </c>
      <c r="J56" s="113">
        <f t="shared" si="104"/>
        <v>192752428.66000003</v>
      </c>
      <c r="K56" s="113">
        <f t="shared" si="104"/>
        <v>422294.57</v>
      </c>
      <c r="L56" s="113">
        <f t="shared" si="104"/>
        <v>823449.42</v>
      </c>
      <c r="M56" s="17">
        <f t="shared" si="103"/>
        <v>1245743.9900000002</v>
      </c>
      <c r="N56" s="53">
        <f t="shared" si="103"/>
        <v>3293120.8399999854</v>
      </c>
      <c r="O56" s="113">
        <f t="shared" si="103"/>
        <v>32446557.839999989</v>
      </c>
      <c r="P56" s="17">
        <v>4104189</v>
      </c>
      <c r="Q56" s="17">
        <f t="shared" si="103"/>
        <v>824385.34</v>
      </c>
      <c r="R56" s="17">
        <f t="shared" si="52"/>
        <v>4928574.34</v>
      </c>
      <c r="S56" s="17">
        <f t="shared" ref="S56:T56" si="105">S57+S63+S64+S67+S68+S69+S70+S71+S72</f>
        <v>3682830.35</v>
      </c>
      <c r="T56" s="17">
        <f t="shared" si="105"/>
        <v>210966905.02000001</v>
      </c>
      <c r="U56" s="17">
        <f t="shared" si="103"/>
        <v>18214476.359999985</v>
      </c>
      <c r="V56" s="17">
        <f t="shared" si="103"/>
        <v>10549251.130000003</v>
      </c>
      <c r="W56" s="17">
        <f t="shared" si="103"/>
        <v>2005046.8400000017</v>
      </c>
      <c r="X56" s="17"/>
      <c r="Y56" s="17">
        <f t="shared" si="103"/>
        <v>24668593.390000001</v>
      </c>
      <c r="Z56" s="113" t="e">
        <f t="shared" ref="Z56" si="106">Z57+Z63+Z64+Z67+Z68+Z69+Z70+Z71+Z72</f>
        <v>#REF!</v>
      </c>
      <c r="AA56" s="879">
        <f t="shared" si="21"/>
        <v>0.84616415519034682</v>
      </c>
    </row>
    <row r="57" spans="1:27" ht="16.5" customHeight="1">
      <c r="A57" s="19" t="s">
        <v>30</v>
      </c>
      <c r="B57" s="20" t="s">
        <v>443</v>
      </c>
      <c r="C57" s="21" t="s">
        <v>0</v>
      </c>
      <c r="D57" s="21"/>
      <c r="E57" s="23">
        <f t="shared" ref="E57:G57" si="107">E58+E59+E60+E61+E62</f>
        <v>107055467.57000001</v>
      </c>
      <c r="F57" s="116"/>
      <c r="G57" s="116">
        <f t="shared" si="107"/>
        <v>0</v>
      </c>
      <c r="H57" s="18">
        <f t="shared" ref="H57:Y57" si="108">H58+H59+H60+H61+H62</f>
        <v>10264083</v>
      </c>
      <c r="I57" s="18">
        <f t="shared" ref="I57:L57" si="109">I58+I59+I60+I61+I62</f>
        <v>8834482.7899999991</v>
      </c>
      <c r="J57" s="116">
        <f t="shared" si="109"/>
        <v>100109471.77000001</v>
      </c>
      <c r="K57" s="116">
        <f t="shared" si="109"/>
        <v>296947.89</v>
      </c>
      <c r="L57" s="116">
        <f t="shared" si="109"/>
        <v>764333.95000000007</v>
      </c>
      <c r="M57" s="18">
        <f t="shared" si="108"/>
        <v>1061281.8400000001</v>
      </c>
      <c r="N57" s="54">
        <f t="shared" si="108"/>
        <v>6945995.7999999933</v>
      </c>
      <c r="O57" s="116">
        <f t="shared" si="108"/>
        <v>17210078.799999993</v>
      </c>
      <c r="P57" s="18">
        <v>209654</v>
      </c>
      <c r="Q57" s="18">
        <f t="shared" si="108"/>
        <v>765269.87</v>
      </c>
      <c r="R57" s="18">
        <f t="shared" si="52"/>
        <v>974923.87</v>
      </c>
      <c r="S57" s="18">
        <f t="shared" ref="S57" si="110">S58+S59+S60+S61+S62</f>
        <v>-86357.970000000118</v>
      </c>
      <c r="T57" s="23">
        <f>T58+T59+T60+T61+T62</f>
        <v>114574067.31999999</v>
      </c>
      <c r="U57" s="18">
        <f t="shared" si="108"/>
        <v>14464595.54999999</v>
      </c>
      <c r="V57" s="18">
        <f t="shared" si="108"/>
        <v>2831841.2200000035</v>
      </c>
      <c r="W57" s="18">
        <f t="shared" si="108"/>
        <v>1682848.7900000017</v>
      </c>
      <c r="X57" s="18"/>
      <c r="Y57" s="18">
        <f t="shared" si="108"/>
        <v>9115214.4600000009</v>
      </c>
      <c r="Z57" s="116" t="e">
        <f t="shared" ref="Z57" si="111">Z58+Z59+Z60+Z61+Z62</f>
        <v>#REF!</v>
      </c>
      <c r="AA57" s="881">
        <f t="shared" si="21"/>
        <v>0.88806905205267739</v>
      </c>
    </row>
    <row r="58" spans="1:27" ht="16.5" customHeight="1">
      <c r="A58" s="19" t="s">
        <v>243</v>
      </c>
      <c r="B58" s="20" t="s">
        <v>444</v>
      </c>
      <c r="C58" s="21" t="s">
        <v>0</v>
      </c>
      <c r="D58" s="21" t="s">
        <v>137</v>
      </c>
      <c r="E58" s="22">
        <f>VLOOKUP($A58,publ_fin!$A:$I,8,FALSE)</f>
        <v>22271562.170000002</v>
      </c>
      <c r="F58" s="114">
        <v>0.6522</v>
      </c>
      <c r="G58" s="115"/>
      <c r="H58" s="262">
        <v>481950</v>
      </c>
      <c r="I58" s="22">
        <f t="shared" ref="I58:I63" si="112">F58*H58</f>
        <v>314327.78999999998</v>
      </c>
      <c r="J58" s="117">
        <v>18120524.52</v>
      </c>
      <c r="K58" s="117">
        <v>18244.919999999998</v>
      </c>
      <c r="L58" s="117">
        <v>44369.66</v>
      </c>
      <c r="M58" s="23">
        <f t="shared" si="56"/>
        <v>62614.58</v>
      </c>
      <c r="N58" s="54">
        <f t="shared" ref="N58:N63" si="113">E58-J58</f>
        <v>4151037.6500000022</v>
      </c>
      <c r="O58" s="117">
        <f t="shared" ref="O58:O63" si="114">H58+N58</f>
        <v>4632987.6500000022</v>
      </c>
      <c r="P58" s="23">
        <v>110369</v>
      </c>
      <c r="Q58" s="23">
        <f>IFERROR(VLOOKUP(A58,lauzti_līg!A:H,8,FALSE),0)</f>
        <v>44369.66</v>
      </c>
      <c r="R58" s="23">
        <f t="shared" si="52"/>
        <v>154738.66</v>
      </c>
      <c r="S58" s="23">
        <f t="shared" ref="S58:S63" si="115">R58-M58</f>
        <v>92124.08</v>
      </c>
      <c r="T58" s="23">
        <f>VLOOKUP(A58,Nosl_līg!A:H,8,0)</f>
        <v>20678857.66</v>
      </c>
      <c r="U58" s="23">
        <f t="shared" ref="U58:U63" si="116">T58-J58</f>
        <v>2558333.1400000006</v>
      </c>
      <c r="V58" s="23">
        <f t="shared" ref="V58:V63" si="117">O58-S58-U58</f>
        <v>1982530.4300000016</v>
      </c>
      <c r="W58" s="23">
        <f t="shared" ref="W58:W63" si="118">IF(N58&gt;=S58+U58,N58-S58-U58,0)</f>
        <v>1500580.4300000016</v>
      </c>
      <c r="X58" s="23"/>
      <c r="Y58" s="23">
        <f>IF(H58=0,0, IF(T58-E58+R58-M58&lt;0, 0, T58-E58+R58-M58))</f>
        <v>0</v>
      </c>
      <c r="Z58" s="117" t="e">
        <f>VLOOKUP(A58,#REF!,63,FALSE)/F58+#REF!</f>
        <v>#REF!</v>
      </c>
      <c r="AA58" s="880">
        <f t="shared" si="21"/>
        <v>0</v>
      </c>
    </row>
    <row r="59" spans="1:27" ht="16.5" customHeight="1">
      <c r="A59" s="19" t="s">
        <v>171</v>
      </c>
      <c r="B59" s="20" t="s">
        <v>445</v>
      </c>
      <c r="C59" s="21" t="s">
        <v>0</v>
      </c>
      <c r="D59" s="21" t="s">
        <v>138</v>
      </c>
      <c r="E59" s="22">
        <f>VLOOKUP($A59,publ_fin!$A:$I,8,FALSE)</f>
        <v>75810888.359999999</v>
      </c>
      <c r="F59" s="114">
        <v>0.92179999999999995</v>
      </c>
      <c r="G59" s="115"/>
      <c r="H59" s="262">
        <v>8238007</v>
      </c>
      <c r="I59" s="22">
        <v>6976029</v>
      </c>
      <c r="J59" s="117">
        <v>75692508.850000009</v>
      </c>
      <c r="K59" s="117">
        <v>19639.22</v>
      </c>
      <c r="L59" s="117">
        <v>0</v>
      </c>
      <c r="M59" s="23">
        <f t="shared" si="56"/>
        <v>19639.22</v>
      </c>
      <c r="N59" s="54">
        <f t="shared" si="113"/>
        <v>118379.50999999046</v>
      </c>
      <c r="O59" s="117">
        <f t="shared" si="114"/>
        <v>8356386.5099999905</v>
      </c>
      <c r="P59" s="23">
        <v>23101</v>
      </c>
      <c r="Q59" s="23">
        <f>IFERROR(VLOOKUP(A59,lauzti_līg!A:H,8,FALSE),0)</f>
        <v>0</v>
      </c>
      <c r="R59" s="23">
        <f t="shared" si="52"/>
        <v>23101</v>
      </c>
      <c r="S59" s="23">
        <f t="shared" si="115"/>
        <v>3461.7799999999988</v>
      </c>
      <c r="T59" s="23">
        <f>VLOOKUP(A59,Nosl_līg!A:H,8,0)</f>
        <v>83378391.689999998</v>
      </c>
      <c r="U59" s="23">
        <f t="shared" si="116"/>
        <v>7685882.8399999887</v>
      </c>
      <c r="V59" s="23">
        <f t="shared" si="117"/>
        <v>667041.89000000153</v>
      </c>
      <c r="W59" s="23">
        <f t="shared" si="118"/>
        <v>0</v>
      </c>
      <c r="X59" s="23"/>
      <c r="Y59" s="23">
        <v>7571089</v>
      </c>
      <c r="Z59" s="117" t="e">
        <f>VLOOKUP(A59,#REF!,63,FALSE)/F59+#REF!</f>
        <v>#REF!</v>
      </c>
      <c r="AA59" s="880">
        <f t="shared" si="21"/>
        <v>0.91904376871736093</v>
      </c>
    </row>
    <row r="60" spans="1:27" ht="16.5" customHeight="1">
      <c r="A60" s="19" t="s">
        <v>246</v>
      </c>
      <c r="B60" s="20" t="s">
        <v>446</v>
      </c>
      <c r="C60" s="21" t="s">
        <v>0</v>
      </c>
      <c r="D60" s="21" t="s">
        <v>137</v>
      </c>
      <c r="E60" s="22">
        <f>VLOOKUP($A60,publ_fin!$A:$I,8,FALSE)</f>
        <v>1965253.64</v>
      </c>
      <c r="F60" s="921">
        <v>0.64839999999999998</v>
      </c>
      <c r="G60" s="115"/>
      <c r="H60" s="262">
        <v>0</v>
      </c>
      <c r="I60" s="22">
        <f t="shared" si="112"/>
        <v>0</v>
      </c>
      <c r="J60" s="117">
        <v>2288999.2299999995</v>
      </c>
      <c r="K60" s="117">
        <v>255542.3</v>
      </c>
      <c r="L60" s="117">
        <v>719964.29</v>
      </c>
      <c r="M60" s="23">
        <f t="shared" si="56"/>
        <v>975506.59000000008</v>
      </c>
      <c r="N60" s="54">
        <f t="shared" si="113"/>
        <v>-323745.58999999962</v>
      </c>
      <c r="O60" s="117">
        <f t="shared" si="114"/>
        <v>-323745.58999999962</v>
      </c>
      <c r="P60" s="23">
        <v>72663</v>
      </c>
      <c r="Q60" s="23">
        <f>IFERROR(VLOOKUP(A60,lauzti_līg!A:H,8,FALSE),0)</f>
        <v>720900.21</v>
      </c>
      <c r="R60" s="23">
        <f t="shared" si="52"/>
        <v>793563.21</v>
      </c>
      <c r="S60" s="23">
        <f t="shared" si="115"/>
        <v>-181943.38000000012</v>
      </c>
      <c r="T60" s="23">
        <f>VLOOKUP(A60,Nosl_līg!A:H,8,0)</f>
        <v>1965252.94</v>
      </c>
      <c r="U60" s="23">
        <f t="shared" si="116"/>
        <v>-323746.28999999957</v>
      </c>
      <c r="V60" s="23">
        <f t="shared" si="117"/>
        <v>181944.08000000007</v>
      </c>
      <c r="W60" s="23">
        <f t="shared" si="118"/>
        <v>181944.08000000007</v>
      </c>
      <c r="X60" s="23"/>
      <c r="Y60" s="23">
        <f>IF(H60=0,0, IF(T60-E60+R60-M60&lt;0, 0, T60-E60+R60-M60))</f>
        <v>0</v>
      </c>
      <c r="Z60" s="117" t="e">
        <f>VLOOKUP(A60,#REF!,63,FALSE)/F60+#REF!</f>
        <v>#REF!</v>
      </c>
      <c r="AA60" s="880" t="e">
        <f t="shared" si="21"/>
        <v>#DIV/0!</v>
      </c>
    </row>
    <row r="61" spans="1:27" ht="16.5" customHeight="1">
      <c r="A61" s="19" t="s">
        <v>248</v>
      </c>
      <c r="B61" s="20" t="s">
        <v>447</v>
      </c>
      <c r="C61" s="21" t="s">
        <v>0</v>
      </c>
      <c r="D61" s="21" t="s">
        <v>138</v>
      </c>
      <c r="E61" s="22">
        <f>VLOOKUP($A61,publ_fin!$A:$I,8,FALSE)</f>
        <v>4007763</v>
      </c>
      <c r="F61" s="114">
        <v>0.76619999999999999</v>
      </c>
      <c r="G61" s="115"/>
      <c r="H61" s="262">
        <v>0</v>
      </c>
      <c r="I61" s="22">
        <f t="shared" si="112"/>
        <v>0</v>
      </c>
      <c r="J61" s="117">
        <v>4007439.17</v>
      </c>
      <c r="K61" s="117">
        <v>3521.45</v>
      </c>
      <c r="L61" s="117">
        <v>0</v>
      </c>
      <c r="M61" s="23">
        <f t="shared" si="56"/>
        <v>3521.45</v>
      </c>
      <c r="N61" s="54">
        <f t="shared" si="113"/>
        <v>323.83000000007451</v>
      </c>
      <c r="O61" s="117">
        <f t="shared" si="114"/>
        <v>323.83000000007451</v>
      </c>
      <c r="P61" s="23">
        <v>3521</v>
      </c>
      <c r="Q61" s="23">
        <f>IFERROR(VLOOKUP(A61,lauzti_līg!A:H,8,FALSE),0)</f>
        <v>0</v>
      </c>
      <c r="R61" s="23">
        <f t="shared" si="52"/>
        <v>3521</v>
      </c>
      <c r="S61" s="23">
        <f t="shared" si="115"/>
        <v>-0.4499999999998181</v>
      </c>
      <c r="T61" s="23">
        <f>VLOOKUP(A61,Nosl_līg!A:H,8,0)</f>
        <v>4007439.17</v>
      </c>
      <c r="U61" s="23">
        <f t="shared" si="116"/>
        <v>0</v>
      </c>
      <c r="V61" s="23">
        <f t="shared" si="117"/>
        <v>324.28000000007432</v>
      </c>
      <c r="W61" s="23">
        <f t="shared" si="118"/>
        <v>324.28000000007432</v>
      </c>
      <c r="X61" s="23"/>
      <c r="Y61" s="23">
        <f>IF(H61=0,0, IF(T61-E61+R61-M61&lt;0, 0, T61-E61+R61-M61))</f>
        <v>0</v>
      </c>
      <c r="Z61" s="117" t="e">
        <f>VLOOKUP(A61,#REF!,63,FALSE)/F61+#REF!</f>
        <v>#REF!</v>
      </c>
      <c r="AA61" s="880" t="e">
        <f t="shared" si="21"/>
        <v>#DIV/0!</v>
      </c>
    </row>
    <row r="62" spans="1:27" ht="16.5" customHeight="1">
      <c r="A62" s="19" t="s">
        <v>384</v>
      </c>
      <c r="B62" s="20" t="s">
        <v>448</v>
      </c>
      <c r="C62" s="21" t="s">
        <v>0</v>
      </c>
      <c r="D62" s="21" t="s">
        <v>137</v>
      </c>
      <c r="E62" s="22">
        <f>VLOOKUP($A62,publ_fin!$A:$I,8,FALSE)</f>
        <v>3000000.4</v>
      </c>
      <c r="F62" s="114">
        <v>1</v>
      </c>
      <c r="G62" s="115"/>
      <c r="H62" s="262">
        <v>1544126</v>
      </c>
      <c r="I62" s="22">
        <f t="shared" si="112"/>
        <v>1544126</v>
      </c>
      <c r="J62" s="117">
        <v>0</v>
      </c>
      <c r="K62" s="117">
        <v>0</v>
      </c>
      <c r="L62" s="117">
        <v>0</v>
      </c>
      <c r="M62" s="23">
        <f t="shared" si="56"/>
        <v>0</v>
      </c>
      <c r="N62" s="54">
        <f t="shared" si="113"/>
        <v>3000000.4</v>
      </c>
      <c r="O62" s="117">
        <f t="shared" si="114"/>
        <v>4544126.4000000004</v>
      </c>
      <c r="P62" s="23">
        <v>0</v>
      </c>
      <c r="Q62" s="23">
        <f>IFERROR(VLOOKUP(A62,lauzti_līg!A:H,8,FALSE),0)</f>
        <v>0</v>
      </c>
      <c r="R62" s="23">
        <f t="shared" si="52"/>
        <v>0</v>
      </c>
      <c r="S62" s="23">
        <f t="shared" si="115"/>
        <v>0</v>
      </c>
      <c r="T62" s="23">
        <f>VLOOKUP(A62,Nosl_līg!A:H,8,0)</f>
        <v>4544125.8600000003</v>
      </c>
      <c r="U62" s="23">
        <f t="shared" si="116"/>
        <v>4544125.8600000003</v>
      </c>
      <c r="V62" s="23">
        <f t="shared" si="117"/>
        <v>0.5400000000372529</v>
      </c>
      <c r="W62" s="23">
        <f t="shared" si="118"/>
        <v>0</v>
      </c>
      <c r="X62" s="23"/>
      <c r="Y62" s="23">
        <f>IF(H62=0,0, IF(T62-E62+R62-M62&lt;0, 0, T62-E62+R62-M62))</f>
        <v>1544125.4600000004</v>
      </c>
      <c r="Z62" s="117" t="e">
        <f>VLOOKUP(A62,#REF!,63,FALSE)/F62+#REF!</f>
        <v>#REF!</v>
      </c>
      <c r="AA62" s="880">
        <f t="shared" si="21"/>
        <v>0.99999965028760629</v>
      </c>
    </row>
    <row r="63" spans="1:27" ht="16.5" customHeight="1">
      <c r="A63" s="19" t="s">
        <v>31</v>
      </c>
      <c r="B63" s="20" t="s">
        <v>449</v>
      </c>
      <c r="C63" s="21" t="s">
        <v>0</v>
      </c>
      <c r="D63" s="21" t="s">
        <v>137</v>
      </c>
      <c r="E63" s="22">
        <f>VLOOKUP($A63,publ_fin!$A:$I,8,FALSE)</f>
        <v>10597911.83</v>
      </c>
      <c r="F63" s="114">
        <v>0.49669999999999997</v>
      </c>
      <c r="G63" s="115"/>
      <c r="H63" s="262">
        <v>0</v>
      </c>
      <c r="I63" s="22">
        <f t="shared" si="112"/>
        <v>0</v>
      </c>
      <c r="J63" s="117">
        <v>14315238</v>
      </c>
      <c r="K63" s="117">
        <v>0</v>
      </c>
      <c r="L63" s="117">
        <v>0</v>
      </c>
      <c r="M63" s="23">
        <f t="shared" si="56"/>
        <v>0</v>
      </c>
      <c r="N63" s="54">
        <f t="shared" si="113"/>
        <v>-3717326.17</v>
      </c>
      <c r="O63" s="117">
        <f t="shared" si="114"/>
        <v>-3717326.17</v>
      </c>
      <c r="P63" s="23">
        <v>3741875</v>
      </c>
      <c r="Q63" s="23">
        <f>IFERROR(VLOOKUP(A63,lauzti_līg!A:H,8,FALSE),0)</f>
        <v>0</v>
      </c>
      <c r="R63" s="23">
        <f t="shared" si="52"/>
        <v>3741875</v>
      </c>
      <c r="S63" s="23">
        <f t="shared" si="115"/>
        <v>3741875</v>
      </c>
      <c r="T63" s="23">
        <f>VLOOKUP(A63,Nosl_līg!A:H,8,0)</f>
        <v>9955223</v>
      </c>
      <c r="U63" s="23">
        <f t="shared" si="116"/>
        <v>-4360015</v>
      </c>
      <c r="V63" s="23">
        <f t="shared" si="117"/>
        <v>-3099186.17</v>
      </c>
      <c r="W63" s="23">
        <f t="shared" si="118"/>
        <v>0</v>
      </c>
      <c r="X63" s="23"/>
      <c r="Y63" s="23">
        <f>IF(H63=0,0, IF(T63-E63+R63-M63&lt;0, 0, T63-E63+R63-M63))</f>
        <v>0</v>
      </c>
      <c r="Z63" s="117" t="e">
        <f>VLOOKUP(A63,#REF!,63,FALSE)/F63+#REF!</f>
        <v>#REF!</v>
      </c>
      <c r="AA63" s="880" t="e">
        <f t="shared" si="21"/>
        <v>#DIV/0!</v>
      </c>
    </row>
    <row r="64" spans="1:27" ht="16.5" customHeight="1">
      <c r="A64" s="19" t="s">
        <v>32</v>
      </c>
      <c r="B64" s="20" t="s">
        <v>450</v>
      </c>
      <c r="C64" s="21" t="s">
        <v>0</v>
      </c>
      <c r="D64" s="21" t="s">
        <v>138</v>
      </c>
      <c r="E64" s="23">
        <f t="shared" ref="E64:Z64" si="119">E65+E66</f>
        <v>7300105.9799999995</v>
      </c>
      <c r="F64" s="116"/>
      <c r="G64" s="116">
        <f t="shared" si="119"/>
        <v>0</v>
      </c>
      <c r="H64" s="18">
        <f t="shared" si="119"/>
        <v>0</v>
      </c>
      <c r="I64" s="18">
        <f t="shared" si="119"/>
        <v>0</v>
      </c>
      <c r="J64" s="116">
        <f t="shared" si="119"/>
        <v>7400101.870000001</v>
      </c>
      <c r="K64" s="116">
        <f t="shared" si="119"/>
        <v>88836.549999999988</v>
      </c>
      <c r="L64" s="116">
        <f t="shared" si="119"/>
        <v>0</v>
      </c>
      <c r="M64" s="18">
        <f t="shared" si="119"/>
        <v>88836.549999999988</v>
      </c>
      <c r="N64" s="54">
        <f t="shared" si="119"/>
        <v>-99995.890000000829</v>
      </c>
      <c r="O64" s="116">
        <f t="shared" si="119"/>
        <v>-99995.890000000829</v>
      </c>
      <c r="P64" s="18">
        <v>88869</v>
      </c>
      <c r="Q64" s="18">
        <f t="shared" si="119"/>
        <v>0</v>
      </c>
      <c r="R64" s="18">
        <f t="shared" si="52"/>
        <v>88869</v>
      </c>
      <c r="S64" s="18">
        <f t="shared" si="119"/>
        <v>32.450000000006185</v>
      </c>
      <c r="T64" s="23">
        <f>T65+T66</f>
        <v>7093673.5299999993</v>
      </c>
      <c r="U64" s="18">
        <f t="shared" si="119"/>
        <v>-306428.34000000078</v>
      </c>
      <c r="V64" s="18">
        <f t="shared" si="119"/>
        <v>206399.99999999994</v>
      </c>
      <c r="W64" s="18">
        <f t="shared" si="119"/>
        <v>206399.99999999994</v>
      </c>
      <c r="X64" s="18"/>
      <c r="Y64" s="18">
        <f t="shared" si="119"/>
        <v>0</v>
      </c>
      <c r="Z64" s="116" t="e">
        <f t="shared" si="119"/>
        <v>#REF!</v>
      </c>
      <c r="AA64" s="881" t="e">
        <f t="shared" si="21"/>
        <v>#DIV/0!</v>
      </c>
    </row>
    <row r="65" spans="1:27" ht="16.5" customHeight="1">
      <c r="A65" s="19" t="s">
        <v>251</v>
      </c>
      <c r="B65" s="20" t="s">
        <v>451</v>
      </c>
      <c r="C65" s="21" t="s">
        <v>0</v>
      </c>
      <c r="D65" s="21" t="s">
        <v>138</v>
      </c>
      <c r="E65" s="22">
        <f>VLOOKUP($A65,publ_fin!$A:$I,8,FALSE)</f>
        <v>611457.76</v>
      </c>
      <c r="F65" s="114">
        <v>0.85</v>
      </c>
      <c r="G65" s="115"/>
      <c r="H65" s="262">
        <v>0</v>
      </c>
      <c r="I65" s="22">
        <f t="shared" ref="I65:I72" si="120">F65*H65</f>
        <v>0</v>
      </c>
      <c r="J65" s="117">
        <v>611456.23</v>
      </c>
      <c r="K65" s="117">
        <v>73419.039999999994</v>
      </c>
      <c r="L65" s="117">
        <v>0</v>
      </c>
      <c r="M65" s="23">
        <f t="shared" si="56"/>
        <v>73419.039999999994</v>
      </c>
      <c r="N65" s="54">
        <f>E65-J65</f>
        <v>1.5300000000279397</v>
      </c>
      <c r="O65" s="117">
        <f t="shared" ref="O65:O72" si="121">H65+N65</f>
        <v>1.5300000000279397</v>
      </c>
      <c r="P65" s="23">
        <v>73419</v>
      </c>
      <c r="Q65" s="23">
        <f>IFERROR(VLOOKUP(A65,lauzti_līg!A:H,8,FALSE),0)</f>
        <v>0</v>
      </c>
      <c r="R65" s="23">
        <f t="shared" si="52"/>
        <v>73419</v>
      </c>
      <c r="S65" s="23">
        <f t="shared" ref="S65:S72" si="122">R65-M65</f>
        <v>-3.9999999993597157E-2</v>
      </c>
      <c r="T65" s="23">
        <f>VLOOKUP(A65,Nosl_līg!A:H,8,0)</f>
        <v>611456.23</v>
      </c>
      <c r="U65" s="23">
        <f t="shared" ref="U65:U72" si="123">T65-J65</f>
        <v>0</v>
      </c>
      <c r="V65" s="23">
        <f t="shared" ref="V65:V72" si="124">O65-S65-U65</f>
        <v>1.5700000000215368</v>
      </c>
      <c r="W65" s="23">
        <f t="shared" ref="W65:W72" si="125">IF(N65&gt;=S65+U65,N65-S65-U65,0)</f>
        <v>1.5700000000215368</v>
      </c>
      <c r="X65" s="23"/>
      <c r="Y65" s="23">
        <f>IF(H65=0,0, IF(T65-E65+R65-M65&lt;0, 0, T65-E65+R65-M65))</f>
        <v>0</v>
      </c>
      <c r="Z65" s="117" t="e">
        <f>VLOOKUP(A65,#REF!,63,FALSE)/F65+#REF!</f>
        <v>#REF!</v>
      </c>
      <c r="AA65" s="880" t="e">
        <f t="shared" si="21"/>
        <v>#DIV/0!</v>
      </c>
    </row>
    <row r="66" spans="1:27" ht="16.5" customHeight="1">
      <c r="A66" s="19" t="s">
        <v>253</v>
      </c>
      <c r="B66" s="20" t="s">
        <v>452</v>
      </c>
      <c r="C66" s="21" t="s">
        <v>0</v>
      </c>
      <c r="D66" s="21" t="s">
        <v>138</v>
      </c>
      <c r="E66" s="22">
        <f>VLOOKUP($A66,publ_fin!$A:$I,8,FALSE)</f>
        <v>6688648.2199999997</v>
      </c>
      <c r="F66" s="114">
        <v>0.85</v>
      </c>
      <c r="G66" s="115"/>
      <c r="H66" s="262">
        <v>0</v>
      </c>
      <c r="I66" s="22">
        <f t="shared" si="120"/>
        <v>0</v>
      </c>
      <c r="J66" s="117">
        <v>6788645.6400000006</v>
      </c>
      <c r="K66" s="117">
        <v>15417.51</v>
      </c>
      <c r="L66" s="117">
        <v>0</v>
      </c>
      <c r="M66" s="23">
        <f t="shared" si="56"/>
        <v>15417.51</v>
      </c>
      <c r="N66" s="54">
        <f>E66-J66</f>
        <v>-99997.420000000857</v>
      </c>
      <c r="O66" s="117">
        <f t="shared" si="121"/>
        <v>-99997.420000000857</v>
      </c>
      <c r="P66" s="23">
        <v>15450</v>
      </c>
      <c r="Q66" s="23">
        <f>IFERROR(VLOOKUP(A66,lauzti_līg!A:H,8,FALSE),0)</f>
        <v>0</v>
      </c>
      <c r="R66" s="23">
        <f t="shared" si="52"/>
        <v>15450</v>
      </c>
      <c r="S66" s="23">
        <f t="shared" si="122"/>
        <v>32.489999999999782</v>
      </c>
      <c r="T66" s="23">
        <f>VLOOKUP(A66,Nosl_līg!A:H,8,0)</f>
        <v>6482217.2999999998</v>
      </c>
      <c r="U66" s="23">
        <f t="shared" si="123"/>
        <v>-306428.34000000078</v>
      </c>
      <c r="V66" s="23">
        <f t="shared" si="124"/>
        <v>206398.42999999993</v>
      </c>
      <c r="W66" s="23">
        <f t="shared" si="125"/>
        <v>206398.42999999993</v>
      </c>
      <c r="X66" s="23"/>
      <c r="Y66" s="23">
        <f>IF(H66=0,0, IF(T66-E66+R66-M66&lt;0, 0, T66-E66+R66-M66))</f>
        <v>0</v>
      </c>
      <c r="Z66" s="117" t="e">
        <f>VLOOKUP(A66,#REF!,63,FALSE)/F66+#REF!</f>
        <v>#REF!</v>
      </c>
      <c r="AA66" s="880" t="e">
        <f t="shared" si="21"/>
        <v>#DIV/0!</v>
      </c>
    </row>
    <row r="67" spans="1:27" ht="16.5" customHeight="1">
      <c r="A67" s="19" t="s">
        <v>185</v>
      </c>
      <c r="B67" s="20" t="s">
        <v>453</v>
      </c>
      <c r="C67" s="21" t="s">
        <v>0</v>
      </c>
      <c r="D67" s="21" t="s">
        <v>138</v>
      </c>
      <c r="E67" s="22">
        <f>VLOOKUP($A67,publ_fin!$A:$I,8,FALSE)</f>
        <v>2318345.88</v>
      </c>
      <c r="F67" s="114">
        <v>0.85</v>
      </c>
      <c r="G67" s="115"/>
      <c r="H67" s="262">
        <v>0</v>
      </c>
      <c r="I67" s="22">
        <f t="shared" si="120"/>
        <v>0</v>
      </c>
      <c r="J67" s="117">
        <v>2313067.84</v>
      </c>
      <c r="K67" s="117">
        <v>514.86</v>
      </c>
      <c r="L67" s="117">
        <v>0</v>
      </c>
      <c r="M67" s="23">
        <f t="shared" si="56"/>
        <v>514.86</v>
      </c>
      <c r="N67" s="54">
        <f>E67-J67</f>
        <v>5278.0400000000373</v>
      </c>
      <c r="O67" s="117">
        <f t="shared" si="121"/>
        <v>5278.0400000000373</v>
      </c>
      <c r="P67" s="23">
        <v>10437</v>
      </c>
      <c r="Q67" s="23">
        <f>IFERROR(VLOOKUP(A67,lauzti_līg!A:H,8,FALSE),0)</f>
        <v>0</v>
      </c>
      <c r="R67" s="23">
        <f t="shared" si="52"/>
        <v>10437</v>
      </c>
      <c r="S67" s="23">
        <f t="shared" si="122"/>
        <v>9922.14</v>
      </c>
      <c r="T67" s="23">
        <f>VLOOKUP(A67,Nosl_līg!A:H,8,0)</f>
        <v>2313067.84</v>
      </c>
      <c r="U67" s="23">
        <f t="shared" si="123"/>
        <v>0</v>
      </c>
      <c r="V67" s="23">
        <f t="shared" si="124"/>
        <v>-4644.0999999999622</v>
      </c>
      <c r="W67" s="23">
        <f t="shared" si="125"/>
        <v>0</v>
      </c>
      <c r="X67" s="23"/>
      <c r="Y67" s="23">
        <f>IF(H67=0,0, IF(T67-E67+R67-M67&lt;0, 0, T67-E67+R67-M67))</f>
        <v>0</v>
      </c>
      <c r="Z67" s="117" t="e">
        <f>VLOOKUP(A67,#REF!,63,FALSE)/F67+#REF!</f>
        <v>#REF!</v>
      </c>
      <c r="AA67" s="880" t="e">
        <f t="shared" si="21"/>
        <v>#DIV/0!</v>
      </c>
    </row>
    <row r="68" spans="1:27" ht="16.5" customHeight="1">
      <c r="A68" s="19" t="s">
        <v>256</v>
      </c>
      <c r="B68" s="20" t="s">
        <v>454</v>
      </c>
      <c r="C68" s="21" t="s">
        <v>0</v>
      </c>
      <c r="D68" s="21" t="s">
        <v>138</v>
      </c>
      <c r="E68" s="22">
        <f>VLOOKUP($A68,publ_fin!$A:$I,8,FALSE)</f>
        <v>60503786.329999998</v>
      </c>
      <c r="F68" s="114">
        <v>0.80489999999999995</v>
      </c>
      <c r="G68" s="115">
        <v>7163639</v>
      </c>
      <c r="H68" s="262">
        <v>18889354</v>
      </c>
      <c r="I68" s="22">
        <f>H68*F68</f>
        <v>15204041.034599999</v>
      </c>
      <c r="J68" s="117">
        <v>67513597.010000005</v>
      </c>
      <c r="K68" s="117">
        <v>35995.269999999997</v>
      </c>
      <c r="L68" s="117">
        <v>0</v>
      </c>
      <c r="M68" s="23">
        <f t="shared" si="56"/>
        <v>35995.269999999997</v>
      </c>
      <c r="N68" s="54">
        <f>E68+G68-J68</f>
        <v>153828.31999999285</v>
      </c>
      <c r="O68" s="117">
        <f t="shared" si="121"/>
        <v>19043182.319999993</v>
      </c>
      <c r="P68" s="23">
        <v>53354</v>
      </c>
      <c r="Q68" s="23">
        <f>IFERROR(VLOOKUP(A68,lauzti_līg!A:H,8,FALSE),0)</f>
        <v>0</v>
      </c>
      <c r="R68" s="23">
        <f t="shared" si="52"/>
        <v>53354</v>
      </c>
      <c r="S68" s="23">
        <f t="shared" si="122"/>
        <v>17358.730000000003</v>
      </c>
      <c r="T68" s="23">
        <f>VLOOKUP(A68,Nosl_līg!A:H,8,0)</f>
        <v>76040378.469999999</v>
      </c>
      <c r="U68" s="23">
        <f t="shared" si="123"/>
        <v>8526781.4599999934</v>
      </c>
      <c r="V68" s="23">
        <f t="shared" si="124"/>
        <v>10499042.129999999</v>
      </c>
      <c r="W68" s="23">
        <f t="shared" si="125"/>
        <v>0</v>
      </c>
      <c r="X68" s="23"/>
      <c r="Y68" s="23">
        <v>15553378.93</v>
      </c>
      <c r="Z68" s="117" t="e">
        <f>VLOOKUP(A68,#REF!,63,FALSE)/F68+#REF!</f>
        <v>#REF!</v>
      </c>
      <c r="AA68" s="880">
        <f t="shared" si="21"/>
        <v>0.82339390378305155</v>
      </c>
    </row>
    <row r="69" spans="1:27" ht="16.5" customHeight="1">
      <c r="A69" s="19" t="s">
        <v>33</v>
      </c>
      <c r="B69" s="20" t="s">
        <v>455</v>
      </c>
      <c r="C69" s="21" t="s">
        <v>0</v>
      </c>
      <c r="D69" s="21" t="s">
        <v>138</v>
      </c>
      <c r="E69" s="22">
        <f>VLOOKUP($A69,publ_fin!$A:$I,8,FALSE)</f>
        <v>0</v>
      </c>
      <c r="F69" s="114">
        <v>0</v>
      </c>
      <c r="G69" s="115"/>
      <c r="H69" s="262">
        <v>0</v>
      </c>
      <c r="I69" s="22">
        <f t="shared" si="120"/>
        <v>0</v>
      </c>
      <c r="J69" s="117">
        <v>0</v>
      </c>
      <c r="K69" s="117">
        <v>0</v>
      </c>
      <c r="L69" s="117">
        <v>0</v>
      </c>
      <c r="M69" s="23">
        <f t="shared" si="56"/>
        <v>0</v>
      </c>
      <c r="N69" s="54">
        <f>E69-J69</f>
        <v>0</v>
      </c>
      <c r="O69" s="117">
        <f t="shared" si="121"/>
        <v>0</v>
      </c>
      <c r="P69" s="23">
        <v>0</v>
      </c>
      <c r="Q69" s="23">
        <f>IFERROR(VLOOKUP(A69,lauzti_līg!A:H,8,FALSE),0)</f>
        <v>0</v>
      </c>
      <c r="R69" s="23">
        <f t="shared" si="52"/>
        <v>0</v>
      </c>
      <c r="S69" s="23">
        <f t="shared" si="122"/>
        <v>0</v>
      </c>
      <c r="T69" s="23">
        <v>0</v>
      </c>
      <c r="U69" s="23">
        <f t="shared" si="123"/>
        <v>0</v>
      </c>
      <c r="V69" s="23">
        <f t="shared" si="124"/>
        <v>0</v>
      </c>
      <c r="W69" s="23">
        <f t="shared" si="125"/>
        <v>0</v>
      </c>
      <c r="X69" s="23"/>
      <c r="Y69" s="23">
        <f>IF(H69=0,0, IF(T69-E69+R69-M69&lt;0, 0, T69-E69+R69-M69))</f>
        <v>0</v>
      </c>
      <c r="Z69" s="117">
        <v>0</v>
      </c>
      <c r="AA69" s="880" t="e">
        <f t="shared" si="21"/>
        <v>#DIV/0!</v>
      </c>
    </row>
    <row r="70" spans="1:27" ht="16.5" customHeight="1">
      <c r="A70" s="19" t="s">
        <v>34</v>
      </c>
      <c r="B70" s="20" t="s">
        <v>456</v>
      </c>
      <c r="C70" s="21" t="s">
        <v>0</v>
      </c>
      <c r="D70" s="21" t="s">
        <v>138</v>
      </c>
      <c r="E70" s="22">
        <f>VLOOKUP($A70,publ_fin!$A:$I,8,FALSE)</f>
        <v>1000000.13</v>
      </c>
      <c r="F70" s="114">
        <v>0.85</v>
      </c>
      <c r="G70" s="115"/>
      <c r="H70" s="262">
        <v>0</v>
      </c>
      <c r="I70" s="22">
        <f t="shared" si="120"/>
        <v>0</v>
      </c>
      <c r="J70" s="117">
        <v>999999.96</v>
      </c>
      <c r="K70" s="117">
        <v>0</v>
      </c>
      <c r="L70" s="117">
        <v>0</v>
      </c>
      <c r="M70" s="23">
        <f t="shared" si="56"/>
        <v>0</v>
      </c>
      <c r="N70" s="54">
        <f>E70-J70</f>
        <v>0.17000000004190952</v>
      </c>
      <c r="O70" s="117">
        <f t="shared" si="121"/>
        <v>0.17000000004190952</v>
      </c>
      <c r="P70" s="23">
        <v>0</v>
      </c>
      <c r="Q70" s="23">
        <f>IFERROR(VLOOKUP(A70,lauzti_līg!A:H,8,FALSE),0)</f>
        <v>0</v>
      </c>
      <c r="R70" s="23">
        <f t="shared" si="52"/>
        <v>0</v>
      </c>
      <c r="S70" s="23">
        <f t="shared" si="122"/>
        <v>0</v>
      </c>
      <c r="T70" s="23">
        <f>VLOOKUP(A70,Nosl_līg!A:H,8,0)</f>
        <v>889542.65</v>
      </c>
      <c r="U70" s="23">
        <f t="shared" si="123"/>
        <v>-110457.30999999994</v>
      </c>
      <c r="V70" s="23">
        <f t="shared" si="124"/>
        <v>110457.47999999998</v>
      </c>
      <c r="W70" s="23">
        <f t="shared" si="125"/>
        <v>110457.47999999998</v>
      </c>
      <c r="X70" s="23"/>
      <c r="Y70" s="23">
        <f>IF(H70=0,0, IF(T70-E70+R70-M70&lt;0, 0, T70-E70+R70-M70))</f>
        <v>0</v>
      </c>
      <c r="Z70" s="117" t="e">
        <f>VLOOKUP(A70,#REF!,63,FALSE)/F70+#REF!</f>
        <v>#REF!</v>
      </c>
      <c r="AA70" s="880" t="e">
        <f t="shared" si="21"/>
        <v>#DIV/0!</v>
      </c>
    </row>
    <row r="71" spans="1:27" ht="16.5" customHeight="1">
      <c r="A71" s="19" t="s">
        <v>35</v>
      </c>
      <c r="B71" s="20" t="s">
        <v>457</v>
      </c>
      <c r="C71" s="21" t="s">
        <v>0</v>
      </c>
      <c r="D71" s="21" t="s">
        <v>138</v>
      </c>
      <c r="E71" s="22">
        <f>VLOOKUP($A71,publ_fin!$A:$I,8,FALSE)</f>
        <v>0</v>
      </c>
      <c r="F71" s="114">
        <v>0</v>
      </c>
      <c r="G71" s="115"/>
      <c r="H71" s="262">
        <v>0</v>
      </c>
      <c r="I71" s="22">
        <f t="shared" si="120"/>
        <v>0</v>
      </c>
      <c r="J71" s="117">
        <v>0</v>
      </c>
      <c r="K71" s="117">
        <v>0</v>
      </c>
      <c r="L71" s="117">
        <v>0</v>
      </c>
      <c r="M71" s="23">
        <f t="shared" si="56"/>
        <v>0</v>
      </c>
      <c r="N71" s="54">
        <f>E71-J71</f>
        <v>0</v>
      </c>
      <c r="O71" s="117">
        <f t="shared" si="121"/>
        <v>0</v>
      </c>
      <c r="P71" s="23">
        <v>0</v>
      </c>
      <c r="Q71" s="23">
        <f>IFERROR(VLOOKUP(A71,lauzti_līg!A:H,8,FALSE),0)</f>
        <v>0</v>
      </c>
      <c r="R71" s="23">
        <f t="shared" si="52"/>
        <v>0</v>
      </c>
      <c r="S71" s="23">
        <f t="shared" si="122"/>
        <v>0</v>
      </c>
      <c r="T71" s="23">
        <v>0</v>
      </c>
      <c r="U71" s="23">
        <f t="shared" si="123"/>
        <v>0</v>
      </c>
      <c r="V71" s="23">
        <f t="shared" si="124"/>
        <v>0</v>
      </c>
      <c r="W71" s="23">
        <f t="shared" si="125"/>
        <v>0</v>
      </c>
      <c r="X71" s="23"/>
      <c r="Y71" s="23">
        <f>IF(H71=0,0, IF(T71-E71+R71-M71&lt;0, 0, T71-E71+R71-M71))</f>
        <v>0</v>
      </c>
      <c r="Z71" s="117">
        <v>0</v>
      </c>
      <c r="AA71" s="880" t="e">
        <f t="shared" si="21"/>
        <v>#DIV/0!</v>
      </c>
    </row>
    <row r="72" spans="1:27" ht="16.5" customHeight="1">
      <c r="A72" s="19" t="s">
        <v>178</v>
      </c>
      <c r="B72" s="20" t="s">
        <v>458</v>
      </c>
      <c r="C72" s="21" t="s">
        <v>0</v>
      </c>
      <c r="D72" s="21" t="s">
        <v>137</v>
      </c>
      <c r="E72" s="22">
        <f>VLOOKUP($A72,publ_fin!$A:$I,8,FALSE)</f>
        <v>106292.78</v>
      </c>
      <c r="F72" s="922">
        <v>0.43430000000000002</v>
      </c>
      <c r="G72" s="115"/>
      <c r="H72" s="262">
        <v>0</v>
      </c>
      <c r="I72" s="22">
        <f t="shared" si="120"/>
        <v>0</v>
      </c>
      <c r="J72" s="117">
        <v>100952.20999999999</v>
      </c>
      <c r="K72" s="117">
        <v>0</v>
      </c>
      <c r="L72" s="117">
        <v>59115.47</v>
      </c>
      <c r="M72" s="23">
        <f t="shared" si="56"/>
        <v>59115.47</v>
      </c>
      <c r="N72" s="54">
        <f>E72-J72</f>
        <v>5340.570000000007</v>
      </c>
      <c r="O72" s="117">
        <f t="shared" si="121"/>
        <v>5340.570000000007</v>
      </c>
      <c r="P72" s="23">
        <v>0</v>
      </c>
      <c r="Q72" s="23">
        <f>IFERROR(VLOOKUP(A72,lauzti_līg!A:H,8,FALSE),0)</f>
        <v>59115.47</v>
      </c>
      <c r="R72" s="23">
        <f t="shared" si="52"/>
        <v>59115.47</v>
      </c>
      <c r="S72" s="23">
        <f t="shared" si="122"/>
        <v>0</v>
      </c>
      <c r="T72" s="23">
        <f>VLOOKUP(A72,Nosl_līg!A:H,8,0)</f>
        <v>100952.21</v>
      </c>
      <c r="U72" s="23">
        <f t="shared" si="123"/>
        <v>0</v>
      </c>
      <c r="V72" s="23">
        <f t="shared" si="124"/>
        <v>5340.570000000007</v>
      </c>
      <c r="W72" s="23">
        <f t="shared" si="125"/>
        <v>5340.570000000007</v>
      </c>
      <c r="X72" s="23"/>
      <c r="Y72" s="23">
        <f>IF(H72=0,0, IF(T72-E72+R72-M72&lt;0, 0, T72-E72+R72-M72))</f>
        <v>0</v>
      </c>
      <c r="Z72" s="117" t="e">
        <f>VLOOKUP(A72,#REF!,63,FALSE)/F72+#REF!</f>
        <v>#REF!</v>
      </c>
      <c r="AA72" s="880" t="e">
        <f t="shared" si="21"/>
        <v>#DIV/0!</v>
      </c>
    </row>
    <row r="73" spans="1:27" ht="16.5" customHeight="1">
      <c r="A73" s="14" t="s">
        <v>36</v>
      </c>
      <c r="B73" s="15" t="s">
        <v>459</v>
      </c>
      <c r="C73" s="16" t="s">
        <v>0</v>
      </c>
      <c r="D73" s="16" t="s">
        <v>626</v>
      </c>
      <c r="E73" s="17">
        <f t="shared" ref="E73:Z73" si="126">E74+E75+E76</f>
        <v>10098255.439999999</v>
      </c>
      <c r="F73" s="113"/>
      <c r="G73" s="113">
        <f t="shared" si="126"/>
        <v>0</v>
      </c>
      <c r="H73" s="261">
        <f t="shared" si="126"/>
        <v>1200000</v>
      </c>
      <c r="I73" s="17">
        <f t="shared" si="126"/>
        <v>1036259.6630849337</v>
      </c>
      <c r="J73" s="113">
        <f t="shared" si="126"/>
        <v>10098254</v>
      </c>
      <c r="K73" s="113">
        <f t="shared" si="126"/>
        <v>5331.74</v>
      </c>
      <c r="L73" s="113">
        <f t="shared" si="126"/>
        <v>0</v>
      </c>
      <c r="M73" s="17">
        <f t="shared" si="126"/>
        <v>5331.74</v>
      </c>
      <c r="N73" s="53">
        <f t="shared" si="126"/>
        <v>1.4399999994784594</v>
      </c>
      <c r="O73" s="113">
        <f t="shared" si="126"/>
        <v>1200001.4399999995</v>
      </c>
      <c r="P73" s="17">
        <v>182327</v>
      </c>
      <c r="Q73" s="17">
        <f t="shared" si="126"/>
        <v>0</v>
      </c>
      <c r="R73" s="17">
        <f t="shared" si="52"/>
        <v>182327</v>
      </c>
      <c r="S73" s="17">
        <f t="shared" si="126"/>
        <v>176995.26</v>
      </c>
      <c r="T73" s="17">
        <f t="shared" si="126"/>
        <v>11243311.609999999</v>
      </c>
      <c r="U73" s="17">
        <f t="shared" si="126"/>
        <v>1145057.6099999994</v>
      </c>
      <c r="V73" s="17">
        <f t="shared" si="126"/>
        <v>-122051.42999999993</v>
      </c>
      <c r="W73" s="17">
        <f t="shared" si="126"/>
        <v>0</v>
      </c>
      <c r="X73" s="17"/>
      <c r="Y73" s="17">
        <f t="shared" si="126"/>
        <v>1200000</v>
      </c>
      <c r="Z73" s="113" t="e">
        <f t="shared" si="126"/>
        <v>#REF!</v>
      </c>
      <c r="AA73" s="879">
        <f t="shared" si="21"/>
        <v>1</v>
      </c>
    </row>
    <row r="74" spans="1:27" ht="16.5" customHeight="1">
      <c r="A74" s="19" t="s">
        <v>37</v>
      </c>
      <c r="B74" s="20" t="s">
        <v>460</v>
      </c>
      <c r="C74" s="21" t="s">
        <v>0</v>
      </c>
      <c r="D74" s="21" t="s">
        <v>626</v>
      </c>
      <c r="E74" s="22">
        <f>VLOOKUP($A74,publ_fin!$A:$I,8,FALSE)</f>
        <v>0</v>
      </c>
      <c r="F74" s="114">
        <v>0</v>
      </c>
      <c r="G74" s="115"/>
      <c r="H74" s="262">
        <v>0</v>
      </c>
      <c r="I74" s="22">
        <f>F74*H74</f>
        <v>0</v>
      </c>
      <c r="J74" s="117">
        <v>0</v>
      </c>
      <c r="K74" s="117">
        <v>0</v>
      </c>
      <c r="L74" s="117">
        <v>0</v>
      </c>
      <c r="M74" s="23">
        <f t="shared" si="56"/>
        <v>0</v>
      </c>
      <c r="N74" s="54">
        <f>E74-J74</f>
        <v>0</v>
      </c>
      <c r="O74" s="117">
        <f>H74+N74</f>
        <v>0</v>
      </c>
      <c r="P74" s="23">
        <v>0</v>
      </c>
      <c r="Q74" s="23">
        <f>IFERROR(VLOOKUP(A74,lauzti_līg!A:H,8,FALSE),0)</f>
        <v>0</v>
      </c>
      <c r="R74" s="23">
        <f t="shared" si="52"/>
        <v>0</v>
      </c>
      <c r="S74" s="23">
        <f>R74-M74</f>
        <v>0</v>
      </c>
      <c r="T74" s="23">
        <v>0</v>
      </c>
      <c r="U74" s="23">
        <f>T74-J74</f>
        <v>0</v>
      </c>
      <c r="V74" s="23">
        <f>O74-S74-U74</f>
        <v>0</v>
      </c>
      <c r="W74" s="23">
        <f>IF(N74&gt;=S74+U74,N74-S74-U74,0)</f>
        <v>0</v>
      </c>
      <c r="X74" s="23"/>
      <c r="Y74" s="23">
        <f>IF(H74=0,0, IF(T74-E74+R74-M74&lt;0, 0, T74-E74+R74-M74))</f>
        <v>0</v>
      </c>
      <c r="Z74" s="117">
        <v>0</v>
      </c>
      <c r="AA74" s="880" t="e">
        <f t="shared" si="21"/>
        <v>#DIV/0!</v>
      </c>
    </row>
    <row r="75" spans="1:27" ht="16.5" customHeight="1">
      <c r="A75" s="19" t="s">
        <v>38</v>
      </c>
      <c r="B75" s="20" t="s">
        <v>461</v>
      </c>
      <c r="C75" s="21" t="s">
        <v>0</v>
      </c>
      <c r="D75" s="21" t="s">
        <v>626</v>
      </c>
      <c r="E75" s="22">
        <f>VLOOKUP($A75,publ_fin!$A:$I,8,FALSE)</f>
        <v>0</v>
      </c>
      <c r="F75" s="114">
        <v>0</v>
      </c>
      <c r="G75" s="115"/>
      <c r="H75" s="262">
        <v>0</v>
      </c>
      <c r="I75" s="22">
        <f>F75*H75</f>
        <v>0</v>
      </c>
      <c r="J75" s="117">
        <v>0</v>
      </c>
      <c r="K75" s="117">
        <v>0</v>
      </c>
      <c r="L75" s="117">
        <v>0</v>
      </c>
      <c r="M75" s="23">
        <f t="shared" si="56"/>
        <v>0</v>
      </c>
      <c r="N75" s="54">
        <f>E75-J75</f>
        <v>0</v>
      </c>
      <c r="O75" s="117">
        <f>H75+N75</f>
        <v>0</v>
      </c>
      <c r="P75" s="23">
        <v>0</v>
      </c>
      <c r="Q75" s="23">
        <f>IFERROR(VLOOKUP(A75,lauzti_līg!A:H,8,FALSE),0)</f>
        <v>0</v>
      </c>
      <c r="R75" s="23">
        <f t="shared" si="52"/>
        <v>0</v>
      </c>
      <c r="S75" s="23">
        <f>R75-M75</f>
        <v>0</v>
      </c>
      <c r="T75" s="23">
        <v>0</v>
      </c>
      <c r="U75" s="23">
        <f>T75-J75</f>
        <v>0</v>
      </c>
      <c r="V75" s="23">
        <f>O75-S75-U75</f>
        <v>0</v>
      </c>
      <c r="W75" s="23">
        <f>IF(N75&gt;=S75+U75,N75-S75-U75,0)</f>
        <v>0</v>
      </c>
      <c r="X75" s="23"/>
      <c r="Y75" s="23">
        <f>IF(H75=0,0, IF(T75-E75+R75-M75&lt;0, 0, T75-E75+R75-M75))</f>
        <v>0</v>
      </c>
      <c r="Z75" s="117">
        <v>0</v>
      </c>
      <c r="AA75" s="880" t="e">
        <f t="shared" si="21"/>
        <v>#DIV/0!</v>
      </c>
    </row>
    <row r="76" spans="1:27" ht="16.5" customHeight="1">
      <c r="A76" s="19" t="s">
        <v>39</v>
      </c>
      <c r="B76" s="20" t="s">
        <v>462</v>
      </c>
      <c r="C76" s="21" t="s">
        <v>0</v>
      </c>
      <c r="D76" s="21" t="s">
        <v>626</v>
      </c>
      <c r="E76" s="22">
        <f>VLOOKUP($A76,publ_fin!$A:$I,8,FALSE)</f>
        <v>10098255.439999999</v>
      </c>
      <c r="F76" s="118">
        <v>0.86354971923744472</v>
      </c>
      <c r="G76" s="115"/>
      <c r="H76" s="262">
        <v>1200000</v>
      </c>
      <c r="I76" s="22">
        <f>F76*H76</f>
        <v>1036259.6630849337</v>
      </c>
      <c r="J76" s="117">
        <v>10098254</v>
      </c>
      <c r="K76" s="117">
        <v>5331.74</v>
      </c>
      <c r="L76" s="117">
        <v>0</v>
      </c>
      <c r="M76" s="23">
        <f t="shared" si="56"/>
        <v>5331.74</v>
      </c>
      <c r="N76" s="54">
        <f>E76-J76</f>
        <v>1.4399999994784594</v>
      </c>
      <c r="O76" s="117">
        <f>H76+N76</f>
        <v>1200001.4399999995</v>
      </c>
      <c r="P76" s="23">
        <v>182327</v>
      </c>
      <c r="Q76" s="23">
        <f>IFERROR(VLOOKUP(A76,lauzti_līg!A:H,8,FALSE),0)</f>
        <v>0</v>
      </c>
      <c r="R76" s="23">
        <f t="shared" si="52"/>
        <v>182327</v>
      </c>
      <c r="S76" s="23">
        <f>R76-M76</f>
        <v>176995.26</v>
      </c>
      <c r="T76" s="23">
        <f>VLOOKUP(A76,Nosl_līg!A:H,8,0)</f>
        <v>11243311.609999999</v>
      </c>
      <c r="U76" s="23">
        <f>T76-J76</f>
        <v>1145057.6099999994</v>
      </c>
      <c r="V76" s="23">
        <f>O76-S76-U76</f>
        <v>-122051.42999999993</v>
      </c>
      <c r="W76" s="23">
        <f>IF(N76&gt;=S76+U76,N76-S76-U76,0)</f>
        <v>0</v>
      </c>
      <c r="X76" s="23"/>
      <c r="Y76" s="23">
        <v>1200000</v>
      </c>
      <c r="Z76" s="117" t="e">
        <f>VLOOKUP(A76,#REF!,63,FALSE)/F76+#REF!</f>
        <v>#REF!</v>
      </c>
      <c r="AA76" s="880">
        <f t="shared" si="21"/>
        <v>1</v>
      </c>
    </row>
    <row r="77" spans="1:27" ht="16.5" customHeight="1">
      <c r="A77" s="14" t="s">
        <v>40</v>
      </c>
      <c r="B77" s="15" t="s">
        <v>463</v>
      </c>
      <c r="C77" s="16" t="s">
        <v>0</v>
      </c>
      <c r="D77" s="16"/>
      <c r="E77" s="17">
        <f t="shared" ref="E77:Z77" si="127">E78</f>
        <v>36258630.349999994</v>
      </c>
      <c r="F77" s="113"/>
      <c r="G77" s="113">
        <f t="shared" si="127"/>
        <v>0</v>
      </c>
      <c r="H77" s="261">
        <f t="shared" si="127"/>
        <v>3325660</v>
      </c>
      <c r="I77" s="17">
        <f t="shared" si="127"/>
        <v>3076857.9969000001</v>
      </c>
      <c r="J77" s="113">
        <f t="shared" si="127"/>
        <v>35250270.540000007</v>
      </c>
      <c r="K77" s="113">
        <f t="shared" si="127"/>
        <v>29164.84</v>
      </c>
      <c r="L77" s="113">
        <f t="shared" si="127"/>
        <v>50730</v>
      </c>
      <c r="M77" s="17">
        <f t="shared" si="127"/>
        <v>79894.84</v>
      </c>
      <c r="N77" s="53">
        <f t="shared" si="127"/>
        <v>1008359.8099999998</v>
      </c>
      <c r="O77" s="113">
        <f t="shared" si="127"/>
        <v>4334019.8099999996</v>
      </c>
      <c r="P77" s="17">
        <v>100497</v>
      </c>
      <c r="Q77" s="17">
        <f t="shared" si="127"/>
        <v>199954.65</v>
      </c>
      <c r="R77" s="17">
        <f t="shared" si="52"/>
        <v>300451.65000000002</v>
      </c>
      <c r="S77" s="17">
        <f t="shared" si="127"/>
        <v>220556.81</v>
      </c>
      <c r="T77" s="17">
        <f t="shared" si="127"/>
        <v>37710946.490000002</v>
      </c>
      <c r="U77" s="17">
        <f t="shared" si="127"/>
        <v>2460675.9500000016</v>
      </c>
      <c r="V77" s="17">
        <f t="shared" si="127"/>
        <v>1652787.0499999982</v>
      </c>
      <c r="W77" s="17">
        <f t="shared" si="127"/>
        <v>784465.64000000013</v>
      </c>
      <c r="X77" s="17"/>
      <c r="Y77" s="17">
        <f t="shared" si="127"/>
        <v>2450171</v>
      </c>
      <c r="Z77" s="113" t="e">
        <f t="shared" si="127"/>
        <v>#REF!</v>
      </c>
      <c r="AA77" s="879">
        <f t="shared" ref="AA77:AA140" si="128">Y77/H77</f>
        <v>0.73674729226679814</v>
      </c>
    </row>
    <row r="78" spans="1:27" ht="16.5" customHeight="1">
      <c r="A78" s="14" t="s">
        <v>41</v>
      </c>
      <c r="B78" s="15" t="s">
        <v>464</v>
      </c>
      <c r="C78" s="16" t="s">
        <v>0</v>
      </c>
      <c r="D78" s="16"/>
      <c r="E78" s="17">
        <f t="shared" ref="E78:G78" si="129">E79+E82</f>
        <v>36258630.349999994</v>
      </c>
      <c r="F78" s="113"/>
      <c r="G78" s="113">
        <f t="shared" si="129"/>
        <v>0</v>
      </c>
      <c r="H78" s="261">
        <f t="shared" ref="H78:Y78" si="130">H79+H82</f>
        <v>3325660</v>
      </c>
      <c r="I78" s="17">
        <f t="shared" ref="I78:L78" si="131">I79+I82</f>
        <v>3076857.9969000001</v>
      </c>
      <c r="J78" s="113">
        <f t="shared" si="131"/>
        <v>35250270.540000007</v>
      </c>
      <c r="K78" s="113">
        <f t="shared" si="131"/>
        <v>29164.84</v>
      </c>
      <c r="L78" s="113">
        <f t="shared" si="131"/>
        <v>50730</v>
      </c>
      <c r="M78" s="17">
        <f t="shared" si="130"/>
        <v>79894.84</v>
      </c>
      <c r="N78" s="53">
        <f t="shared" si="130"/>
        <v>1008359.8099999998</v>
      </c>
      <c r="O78" s="113">
        <f t="shared" si="130"/>
        <v>4334019.8099999996</v>
      </c>
      <c r="P78" s="17">
        <v>100497</v>
      </c>
      <c r="Q78" s="17">
        <f t="shared" si="130"/>
        <v>199954.65</v>
      </c>
      <c r="R78" s="17">
        <f t="shared" si="52"/>
        <v>300451.65000000002</v>
      </c>
      <c r="S78" s="17">
        <f t="shared" ref="S78:T78" si="132">S79+S82</f>
        <v>220556.81</v>
      </c>
      <c r="T78" s="17">
        <f t="shared" si="132"/>
        <v>37710946.490000002</v>
      </c>
      <c r="U78" s="17">
        <f t="shared" si="130"/>
        <v>2460675.9500000016</v>
      </c>
      <c r="V78" s="17">
        <f t="shared" si="130"/>
        <v>1652787.0499999982</v>
      </c>
      <c r="W78" s="17">
        <f t="shared" si="130"/>
        <v>784465.64000000013</v>
      </c>
      <c r="X78" s="17"/>
      <c r="Y78" s="17">
        <f t="shared" si="130"/>
        <v>2450171</v>
      </c>
      <c r="Z78" s="113" t="e">
        <f t="shared" ref="Z78" si="133">Z79+Z82</f>
        <v>#REF!</v>
      </c>
      <c r="AA78" s="879">
        <f t="shared" si="128"/>
        <v>0.73674729226679814</v>
      </c>
    </row>
    <row r="79" spans="1:27" ht="16.5" customHeight="1">
      <c r="A79" s="19" t="s">
        <v>42</v>
      </c>
      <c r="B79" s="20" t="s">
        <v>465</v>
      </c>
      <c r="C79" s="21" t="s">
        <v>0</v>
      </c>
      <c r="D79" s="21" t="s">
        <v>138</v>
      </c>
      <c r="E79" s="23">
        <f t="shared" ref="E79:G79" si="134">E80+E81</f>
        <v>21274461.119999997</v>
      </c>
      <c r="F79" s="116"/>
      <c r="G79" s="116">
        <f t="shared" si="134"/>
        <v>0</v>
      </c>
      <c r="H79" s="18">
        <f t="shared" ref="H79:Y79" si="135">H80+H81</f>
        <v>3325660</v>
      </c>
      <c r="I79" s="18">
        <f t="shared" ref="I79:L79" si="136">I80+I81</f>
        <v>3076857.9969000001</v>
      </c>
      <c r="J79" s="116">
        <f t="shared" si="136"/>
        <v>20855162.880000003</v>
      </c>
      <c r="K79" s="116">
        <f t="shared" si="136"/>
        <v>10006.41</v>
      </c>
      <c r="L79" s="116">
        <f t="shared" si="136"/>
        <v>0</v>
      </c>
      <c r="M79" s="18">
        <f t="shared" si="135"/>
        <v>10006.41</v>
      </c>
      <c r="N79" s="54">
        <f t="shared" si="135"/>
        <v>419298.23999999836</v>
      </c>
      <c r="O79" s="116">
        <f t="shared" si="135"/>
        <v>3744958.2399999984</v>
      </c>
      <c r="P79" s="18">
        <v>29630</v>
      </c>
      <c r="Q79" s="18">
        <f t="shared" si="135"/>
        <v>0</v>
      </c>
      <c r="R79" s="18">
        <f t="shared" si="52"/>
        <v>29630</v>
      </c>
      <c r="S79" s="18">
        <f t="shared" ref="S79" si="137">S80+S81</f>
        <v>19623.59</v>
      </c>
      <c r="T79" s="23">
        <f>T80+T81</f>
        <v>23712176.120000001</v>
      </c>
      <c r="U79" s="18">
        <f t="shared" si="135"/>
        <v>2857013.24</v>
      </c>
      <c r="V79" s="18">
        <f t="shared" si="135"/>
        <v>868321.40999999805</v>
      </c>
      <c r="W79" s="18">
        <f t="shared" si="135"/>
        <v>0</v>
      </c>
      <c r="X79" s="18"/>
      <c r="Y79" s="18">
        <f t="shared" si="135"/>
        <v>2450171</v>
      </c>
      <c r="Z79" s="116" t="e">
        <f t="shared" ref="Z79" si="138">Z80+Z81</f>
        <v>#REF!</v>
      </c>
      <c r="AA79" s="881">
        <f t="shared" si="128"/>
        <v>0.73674729226679814</v>
      </c>
    </row>
    <row r="80" spans="1:27" ht="16.5" customHeight="1">
      <c r="A80" s="19" t="s">
        <v>177</v>
      </c>
      <c r="B80" s="20" t="s">
        <v>466</v>
      </c>
      <c r="C80" s="21" t="s">
        <v>0</v>
      </c>
      <c r="D80" s="21" t="s">
        <v>138</v>
      </c>
      <c r="E80" s="22">
        <f>VLOOKUP($A80,publ_fin!$A:$I,8,FALSE)</f>
        <v>11944613.619999999</v>
      </c>
      <c r="F80" s="114">
        <v>0.91590000000000005</v>
      </c>
      <c r="G80" s="115"/>
      <c r="H80" s="262">
        <v>1519461</v>
      </c>
      <c r="I80" s="22">
        <f>F80*H80</f>
        <v>1391674.3299</v>
      </c>
      <c r="J80" s="117">
        <v>11534821.08</v>
      </c>
      <c r="K80" s="117">
        <v>610.96</v>
      </c>
      <c r="L80" s="117">
        <v>0</v>
      </c>
      <c r="M80" s="23">
        <f t="shared" ref="M80:M137" si="139">K80+L80</f>
        <v>610.96</v>
      </c>
      <c r="N80" s="54">
        <f>E80-J80</f>
        <v>409792.53999999911</v>
      </c>
      <c r="O80" s="117">
        <f>H80+N80</f>
        <v>1929253.5399999991</v>
      </c>
      <c r="P80" s="23">
        <v>2540</v>
      </c>
      <c r="Q80" s="23">
        <f>IFERROR(VLOOKUP(A80,lauzti_līg!A:H,8,FALSE),0)</f>
        <v>0</v>
      </c>
      <c r="R80" s="23">
        <f t="shared" si="52"/>
        <v>2540</v>
      </c>
      <c r="S80" s="23">
        <f>R80-M80</f>
        <v>1929.04</v>
      </c>
      <c r="T80" s="23">
        <f>VLOOKUP(A80,Nosl_līg!A:H,8,0)</f>
        <v>13463398.470000001</v>
      </c>
      <c r="U80" s="23">
        <f>T80-J80</f>
        <v>1928577.3900000006</v>
      </c>
      <c r="V80" s="23">
        <f>O80-S80-U80</f>
        <v>-1252.8900000015274</v>
      </c>
      <c r="W80" s="23">
        <f>IF(N80&gt;=S80+U80,N80-S80-U80,0)</f>
        <v>0</v>
      </c>
      <c r="X80" s="23"/>
      <c r="Y80" s="23">
        <v>1519461</v>
      </c>
      <c r="Z80" s="117" t="e">
        <f>VLOOKUP(A80,#REF!,63,FALSE)/F80+#REF!</f>
        <v>#REF!</v>
      </c>
      <c r="AA80" s="880">
        <f t="shared" si="128"/>
        <v>1</v>
      </c>
    </row>
    <row r="81" spans="1:27" ht="16.5" customHeight="1">
      <c r="A81" s="19" t="s">
        <v>203</v>
      </c>
      <c r="B81" s="20" t="s">
        <v>467</v>
      </c>
      <c r="C81" s="21" t="s">
        <v>0</v>
      </c>
      <c r="D81" s="21" t="s">
        <v>138</v>
      </c>
      <c r="E81" s="22">
        <f>VLOOKUP($A81,publ_fin!$A:$I,8,FALSE)</f>
        <v>9329847.5</v>
      </c>
      <c r="F81" s="114">
        <v>0.93300000000000005</v>
      </c>
      <c r="G81" s="115"/>
      <c r="H81" s="262">
        <v>1806199</v>
      </c>
      <c r="I81" s="22">
        <f>F81*H81</f>
        <v>1685183.6670000001</v>
      </c>
      <c r="J81" s="117">
        <v>9320341.8000000007</v>
      </c>
      <c r="K81" s="117">
        <v>9395.4500000000007</v>
      </c>
      <c r="L81" s="117">
        <v>0</v>
      </c>
      <c r="M81" s="23">
        <f t="shared" si="139"/>
        <v>9395.4500000000007</v>
      </c>
      <c r="N81" s="54">
        <f>E81-J81</f>
        <v>9505.6999999992549</v>
      </c>
      <c r="O81" s="117">
        <f>H81+N81</f>
        <v>1815704.6999999993</v>
      </c>
      <c r="P81" s="23">
        <v>27090</v>
      </c>
      <c r="Q81" s="23">
        <f>IFERROR(VLOOKUP(A81,lauzti_līg!A:H,8,FALSE),0)</f>
        <v>0</v>
      </c>
      <c r="R81" s="23">
        <f t="shared" si="52"/>
        <v>27090</v>
      </c>
      <c r="S81" s="23">
        <f>R81-M81</f>
        <v>17694.55</v>
      </c>
      <c r="T81" s="23">
        <f>VLOOKUP(A81,Nosl_līg!A:H,8,0)</f>
        <v>10248777.65</v>
      </c>
      <c r="U81" s="23">
        <f>T81-J81</f>
        <v>928435.84999999963</v>
      </c>
      <c r="V81" s="23">
        <f>O81-S81-U81</f>
        <v>869574.29999999958</v>
      </c>
      <c r="W81" s="23">
        <f>IF(N81&gt;=S81+U81,N81-S81-U81,0)</f>
        <v>0</v>
      </c>
      <c r="X81" s="23"/>
      <c r="Y81" s="23">
        <v>930710</v>
      </c>
      <c r="Z81" s="117" t="e">
        <f>VLOOKUP(A81,#REF!,63,FALSE)/F81+#REF!</f>
        <v>#REF!</v>
      </c>
      <c r="AA81" s="880">
        <f t="shared" si="128"/>
        <v>0.5152865215848309</v>
      </c>
    </row>
    <row r="82" spans="1:27" ht="16.5" customHeight="1">
      <c r="A82" s="19" t="s">
        <v>43</v>
      </c>
      <c r="B82" s="20" t="s">
        <v>468</v>
      </c>
      <c r="C82" s="21" t="s">
        <v>0</v>
      </c>
      <c r="D82" s="21" t="s">
        <v>138</v>
      </c>
      <c r="E82" s="23">
        <f t="shared" ref="E82:Z82" si="140">E83+E84+E85</f>
        <v>14984169.23</v>
      </c>
      <c r="F82" s="116"/>
      <c r="G82" s="116">
        <f t="shared" si="140"/>
        <v>0</v>
      </c>
      <c r="H82" s="18">
        <f t="shared" si="140"/>
        <v>0</v>
      </c>
      <c r="I82" s="18">
        <f t="shared" si="140"/>
        <v>0</v>
      </c>
      <c r="J82" s="116">
        <f t="shared" si="140"/>
        <v>14395107.66</v>
      </c>
      <c r="K82" s="116">
        <f t="shared" si="140"/>
        <v>19158.43</v>
      </c>
      <c r="L82" s="116">
        <f t="shared" si="140"/>
        <v>50730</v>
      </c>
      <c r="M82" s="18">
        <f t="shared" si="140"/>
        <v>69888.429999999993</v>
      </c>
      <c r="N82" s="54">
        <f t="shared" si="140"/>
        <v>589061.57000000146</v>
      </c>
      <c r="O82" s="116">
        <f t="shared" si="140"/>
        <v>589061.57000000146</v>
      </c>
      <c r="P82" s="18">
        <v>70867</v>
      </c>
      <c r="Q82" s="18">
        <f t="shared" si="140"/>
        <v>199954.65</v>
      </c>
      <c r="R82" s="18">
        <f t="shared" ref="R82:R145" si="141">P82+Q82</f>
        <v>270821.65000000002</v>
      </c>
      <c r="S82" s="18">
        <f t="shared" si="140"/>
        <v>200933.22</v>
      </c>
      <c r="T82" s="23">
        <f>T83+T84+T85</f>
        <v>13998770.370000001</v>
      </c>
      <c r="U82" s="18">
        <f t="shared" si="140"/>
        <v>-396337.28999999864</v>
      </c>
      <c r="V82" s="18">
        <f t="shared" si="140"/>
        <v>784465.64000000013</v>
      </c>
      <c r="W82" s="18">
        <f t="shared" si="140"/>
        <v>784465.64000000013</v>
      </c>
      <c r="X82" s="18"/>
      <c r="Y82" s="18">
        <f t="shared" si="140"/>
        <v>0</v>
      </c>
      <c r="Z82" s="116" t="e">
        <f t="shared" si="140"/>
        <v>#REF!</v>
      </c>
      <c r="AA82" s="881" t="e">
        <f t="shared" si="128"/>
        <v>#DIV/0!</v>
      </c>
    </row>
    <row r="83" spans="1:27" ht="16.5" customHeight="1">
      <c r="A83" s="19" t="s">
        <v>263</v>
      </c>
      <c r="B83" s="20" t="s">
        <v>469</v>
      </c>
      <c r="C83" s="21" t="s">
        <v>0</v>
      </c>
      <c r="D83" s="21" t="s">
        <v>138</v>
      </c>
      <c r="E83" s="22">
        <f>VLOOKUP($A83,publ_fin!$A:$I,8,FALSE)</f>
        <v>1484807.69</v>
      </c>
      <c r="F83" s="114">
        <v>0.85</v>
      </c>
      <c r="G83" s="115"/>
      <c r="H83" s="262">
        <v>0</v>
      </c>
      <c r="I83" s="22">
        <f>F83*H83</f>
        <v>0</v>
      </c>
      <c r="J83" s="117">
        <v>1484806.0599999998</v>
      </c>
      <c r="K83" s="117">
        <v>17568.259999999998</v>
      </c>
      <c r="L83" s="117">
        <v>0</v>
      </c>
      <c r="M83" s="23">
        <f t="shared" si="139"/>
        <v>17568.259999999998</v>
      </c>
      <c r="N83" s="54">
        <f>E83-J83</f>
        <v>1.6300000001210719</v>
      </c>
      <c r="O83" s="117">
        <f>H83+N83</f>
        <v>1.6300000001210719</v>
      </c>
      <c r="P83" s="23">
        <v>17798</v>
      </c>
      <c r="Q83" s="23">
        <f>IFERROR(VLOOKUP(A83,lauzti_līg!A:H,8,FALSE),0)</f>
        <v>0</v>
      </c>
      <c r="R83" s="23">
        <f t="shared" si="141"/>
        <v>17798</v>
      </c>
      <c r="S83" s="23">
        <f>R83-M83</f>
        <v>229.7400000000016</v>
      </c>
      <c r="T83" s="23">
        <f>VLOOKUP(A83,Nosl_līg!A:H,8,0)</f>
        <v>1484576.11</v>
      </c>
      <c r="U83" s="23">
        <f>T83-J83</f>
        <v>-229.9499999997206</v>
      </c>
      <c r="V83" s="23">
        <f>O83-S83-U83</f>
        <v>1.8399999998400745</v>
      </c>
      <c r="W83" s="23">
        <f>IF(N83&gt;=S83+U83,N83-S83-U83,0)</f>
        <v>1.8399999998400745</v>
      </c>
      <c r="X83" s="23"/>
      <c r="Y83" s="23">
        <f>IF(H83=0,0, IF(T83-E83+R83-M83&lt;0, 0, T83-E83+R83-M83))</f>
        <v>0</v>
      </c>
      <c r="Z83" s="117" t="e">
        <f>VLOOKUP(A83,#REF!,63,FALSE)/F83+#REF!</f>
        <v>#REF!</v>
      </c>
      <c r="AA83" s="880" t="e">
        <f t="shared" si="128"/>
        <v>#DIV/0!</v>
      </c>
    </row>
    <row r="84" spans="1:27" ht="16.5" customHeight="1">
      <c r="A84" s="19" t="s">
        <v>44</v>
      </c>
      <c r="B84" s="20" t="s">
        <v>470</v>
      </c>
      <c r="C84" s="21" t="s">
        <v>0</v>
      </c>
      <c r="D84" s="21" t="s">
        <v>138</v>
      </c>
      <c r="E84" s="22">
        <f>VLOOKUP($A84,publ_fin!$A:$I,8,FALSE)</f>
        <v>3782517.83</v>
      </c>
      <c r="F84" s="114">
        <v>0.85</v>
      </c>
      <c r="G84" s="115"/>
      <c r="H84" s="262">
        <v>0</v>
      </c>
      <c r="I84" s="22">
        <f>F84*H84</f>
        <v>0</v>
      </c>
      <c r="J84" s="117">
        <v>3782513.33</v>
      </c>
      <c r="K84" s="117">
        <v>2.4</v>
      </c>
      <c r="L84" s="117">
        <v>0</v>
      </c>
      <c r="M84" s="23">
        <f t="shared" si="139"/>
        <v>2.4</v>
      </c>
      <c r="N84" s="54">
        <f>E84-J84</f>
        <v>4.5</v>
      </c>
      <c r="O84" s="117">
        <f>H84+N84</f>
        <v>4.5</v>
      </c>
      <c r="P84" s="23">
        <v>868</v>
      </c>
      <c r="Q84" s="23">
        <f>IFERROR(VLOOKUP(A84,lauzti_līg!A:H,8,FALSE),0)</f>
        <v>0</v>
      </c>
      <c r="R84" s="23">
        <f t="shared" si="141"/>
        <v>868</v>
      </c>
      <c r="S84" s="23">
        <f>R84-M84</f>
        <v>865.6</v>
      </c>
      <c r="T84" s="23">
        <f>VLOOKUP(A84,Nosl_līg!A:H,8,0)</f>
        <v>3781648.04</v>
      </c>
      <c r="U84" s="23">
        <f>T84-J84</f>
        <v>-865.29000000003725</v>
      </c>
      <c r="V84" s="23">
        <f>O84-S84-U84</f>
        <v>4.1900000000372302</v>
      </c>
      <c r="W84" s="23">
        <f>IF(N84&gt;=S84+U84,N84-S84-U84,0)</f>
        <v>4.1900000000372302</v>
      </c>
      <c r="X84" s="23"/>
      <c r="Y84" s="23">
        <f>IF(H84=0,0, IF(T84-E84+R84-M84&lt;0, 0, T84-E84+R84-M84))</f>
        <v>0</v>
      </c>
      <c r="Z84" s="117" t="e">
        <f>VLOOKUP(A84,#REF!,63,FALSE)/F84+#REF!</f>
        <v>#REF!</v>
      </c>
      <c r="AA84" s="880" t="e">
        <f t="shared" si="128"/>
        <v>#DIV/0!</v>
      </c>
    </row>
    <row r="85" spans="1:27" ht="16.5" customHeight="1">
      <c r="A85" s="19" t="s">
        <v>266</v>
      </c>
      <c r="B85" s="20" t="s">
        <v>657</v>
      </c>
      <c r="C85" s="21" t="s">
        <v>0</v>
      </c>
      <c r="D85" s="21" t="s">
        <v>138</v>
      </c>
      <c r="E85" s="22">
        <f>VLOOKUP($A85,publ_fin!$A:$I,8,FALSE)</f>
        <v>9716843.7100000009</v>
      </c>
      <c r="F85" s="114">
        <v>0.99029999999999996</v>
      </c>
      <c r="G85" s="115"/>
      <c r="H85" s="262">
        <v>0</v>
      </c>
      <c r="I85" s="22">
        <f>F85*H85</f>
        <v>0</v>
      </c>
      <c r="J85" s="117">
        <v>9127788.2699999996</v>
      </c>
      <c r="K85" s="117">
        <v>1587.77</v>
      </c>
      <c r="L85" s="117">
        <v>50730</v>
      </c>
      <c r="M85" s="23">
        <f t="shared" si="139"/>
        <v>52317.77</v>
      </c>
      <c r="N85" s="54">
        <f>E85-J85</f>
        <v>589055.44000000134</v>
      </c>
      <c r="O85" s="117">
        <f>H85+N85</f>
        <v>589055.44000000134</v>
      </c>
      <c r="P85" s="23">
        <v>52201</v>
      </c>
      <c r="Q85" s="23">
        <f>IFERROR(VLOOKUP(A85,lauzti_līg!A:H,8,FALSE),0)</f>
        <v>199954.65</v>
      </c>
      <c r="R85" s="23">
        <f t="shared" si="141"/>
        <v>252155.65</v>
      </c>
      <c r="S85" s="23">
        <f>R85-M85</f>
        <v>199837.88</v>
      </c>
      <c r="T85" s="23">
        <f>VLOOKUP(A85,Nosl_līg!A:H,8,0)</f>
        <v>8732546.2200000007</v>
      </c>
      <c r="U85" s="23">
        <f>T85-J85</f>
        <v>-395242.04999999888</v>
      </c>
      <c r="V85" s="23">
        <f>O85-S85-U85</f>
        <v>784459.61000000022</v>
      </c>
      <c r="W85" s="23">
        <f>IF(N85&gt;=S85+U85,N85-S85-U85,0)</f>
        <v>784459.61000000022</v>
      </c>
      <c r="X85" s="23"/>
      <c r="Y85" s="23">
        <f>IF(H85=0,0, IF(T85-E85+R85-M85&lt;0, 0, T85-E85+R85-M85))</f>
        <v>0</v>
      </c>
      <c r="Z85" s="117" t="e">
        <f>VLOOKUP(A85,#REF!,63,FALSE)/F85+#REF!</f>
        <v>#REF!</v>
      </c>
      <c r="AA85" s="880" t="e">
        <f t="shared" si="128"/>
        <v>#DIV/0!</v>
      </c>
    </row>
    <row r="86" spans="1:27" ht="16.5" customHeight="1">
      <c r="A86" s="14" t="s">
        <v>45</v>
      </c>
      <c r="B86" s="15" t="s">
        <v>471</v>
      </c>
      <c r="C86" s="16" t="s">
        <v>0</v>
      </c>
      <c r="D86" s="16" t="s">
        <v>1</v>
      </c>
      <c r="E86" s="17">
        <f t="shared" ref="E86:G86" si="142">E87+E95+E101</f>
        <v>16877607.539999999</v>
      </c>
      <c r="F86" s="113"/>
      <c r="G86" s="113">
        <f t="shared" si="142"/>
        <v>0</v>
      </c>
      <c r="H86" s="261">
        <f t="shared" ref="H86:Y86" si="143">H87+H95+H101</f>
        <v>0</v>
      </c>
      <c r="I86" s="17">
        <f t="shared" ref="I86:L86" si="144">I87+I95+I101</f>
        <v>0</v>
      </c>
      <c r="J86" s="113">
        <f t="shared" si="144"/>
        <v>15801863.040000001</v>
      </c>
      <c r="K86" s="113">
        <f t="shared" si="144"/>
        <v>62278.15</v>
      </c>
      <c r="L86" s="113">
        <f t="shared" si="144"/>
        <v>2525528.4000000004</v>
      </c>
      <c r="M86" s="17">
        <f t="shared" si="143"/>
        <v>2587806.5499999998</v>
      </c>
      <c r="N86" s="53">
        <f t="shared" si="143"/>
        <v>1075744.4999999995</v>
      </c>
      <c r="O86" s="113">
        <f t="shared" si="143"/>
        <v>1075744.4999999995</v>
      </c>
      <c r="P86" s="17">
        <v>286181</v>
      </c>
      <c r="Q86" s="17">
        <f t="shared" si="143"/>
        <v>2675544.6700000004</v>
      </c>
      <c r="R86" s="17">
        <f t="shared" si="141"/>
        <v>2961725.6700000004</v>
      </c>
      <c r="S86" s="17">
        <f t="shared" ref="S86:T86" si="145">S87+S95+S101</f>
        <v>373919.12000000005</v>
      </c>
      <c r="T86" s="17">
        <f t="shared" si="145"/>
        <v>16201751.690000001</v>
      </c>
      <c r="U86" s="17">
        <f t="shared" si="143"/>
        <v>399888.65000000026</v>
      </c>
      <c r="V86" s="17">
        <f t="shared" si="143"/>
        <v>301936.72999999934</v>
      </c>
      <c r="W86" s="17">
        <f t="shared" si="143"/>
        <v>311239.27999999974</v>
      </c>
      <c r="X86" s="17"/>
      <c r="Y86" s="17">
        <f t="shared" si="143"/>
        <v>0</v>
      </c>
      <c r="Z86" s="113" t="e">
        <f t="shared" ref="Z86" si="146">Z87+Z95+Z101</f>
        <v>#REF!</v>
      </c>
      <c r="AA86" s="879" t="e">
        <f t="shared" si="128"/>
        <v>#DIV/0!</v>
      </c>
    </row>
    <row r="87" spans="1:27" ht="16.5" customHeight="1">
      <c r="A87" s="14" t="s">
        <v>46</v>
      </c>
      <c r="B87" s="15" t="s">
        <v>472</v>
      </c>
      <c r="C87" s="16" t="s">
        <v>0</v>
      </c>
      <c r="D87" s="16" t="s">
        <v>1</v>
      </c>
      <c r="E87" s="17">
        <f t="shared" ref="E87:G87" si="147">E88+E91+E92</f>
        <v>5743831.5500000007</v>
      </c>
      <c r="F87" s="113"/>
      <c r="G87" s="113">
        <f t="shared" si="147"/>
        <v>0</v>
      </c>
      <c r="H87" s="261">
        <f t="shared" ref="H87:Y87" si="148">H88+H91+H92</f>
        <v>0</v>
      </c>
      <c r="I87" s="17">
        <f t="shared" ref="I87:L87" si="149">I88+I91+I92</f>
        <v>0</v>
      </c>
      <c r="J87" s="113">
        <f t="shared" si="149"/>
        <v>5688333.8300000001</v>
      </c>
      <c r="K87" s="113">
        <f t="shared" si="149"/>
        <v>2356.3999999999996</v>
      </c>
      <c r="L87" s="113">
        <f t="shared" si="149"/>
        <v>206785.97</v>
      </c>
      <c r="M87" s="17">
        <f t="shared" si="148"/>
        <v>209142.37</v>
      </c>
      <c r="N87" s="53">
        <f t="shared" si="148"/>
        <v>55497.719999999972</v>
      </c>
      <c r="O87" s="113">
        <f t="shared" si="148"/>
        <v>55497.719999999972</v>
      </c>
      <c r="P87" s="17">
        <v>2578</v>
      </c>
      <c r="Q87" s="17">
        <f t="shared" si="148"/>
        <v>206785.97</v>
      </c>
      <c r="R87" s="17">
        <f t="shared" si="141"/>
        <v>209363.97</v>
      </c>
      <c r="S87" s="17">
        <f t="shared" ref="S87:T87" si="150">S88+S91+S92</f>
        <v>221.60000000000719</v>
      </c>
      <c r="T87" s="17">
        <f t="shared" si="150"/>
        <v>5707402.1999999993</v>
      </c>
      <c r="U87" s="17">
        <f t="shared" si="148"/>
        <v>19068.369999999995</v>
      </c>
      <c r="V87" s="17">
        <f t="shared" si="148"/>
        <v>36207.749999999971</v>
      </c>
      <c r="W87" s="17">
        <f t="shared" si="148"/>
        <v>36207.749999999971</v>
      </c>
      <c r="X87" s="17"/>
      <c r="Y87" s="17">
        <f t="shared" si="148"/>
        <v>0</v>
      </c>
      <c r="Z87" s="113" t="e">
        <f t="shared" ref="Z87" si="151">Z88+Z91+Z92</f>
        <v>#REF!</v>
      </c>
      <c r="AA87" s="879" t="e">
        <f t="shared" si="128"/>
        <v>#DIV/0!</v>
      </c>
    </row>
    <row r="88" spans="1:27" ht="16.5" customHeight="1">
      <c r="A88" s="19" t="s">
        <v>47</v>
      </c>
      <c r="B88" s="20" t="s">
        <v>473</v>
      </c>
      <c r="C88" s="21" t="s">
        <v>0</v>
      </c>
      <c r="D88" s="21" t="s">
        <v>1</v>
      </c>
      <c r="E88" s="23">
        <f t="shared" ref="E88:G88" si="152">E89+E90</f>
        <v>2781474.04</v>
      </c>
      <c r="F88" s="116"/>
      <c r="G88" s="116">
        <f t="shared" si="152"/>
        <v>0</v>
      </c>
      <c r="H88" s="18">
        <f t="shared" ref="H88:Y88" si="153">H89+H90</f>
        <v>0</v>
      </c>
      <c r="I88" s="18">
        <f t="shared" ref="I88:L88" si="154">I89+I90</f>
        <v>0</v>
      </c>
      <c r="J88" s="116">
        <f t="shared" si="154"/>
        <v>2781474</v>
      </c>
      <c r="K88" s="116">
        <f t="shared" si="154"/>
        <v>0</v>
      </c>
      <c r="L88" s="116">
        <f t="shared" si="154"/>
        <v>0</v>
      </c>
      <c r="M88" s="18">
        <f t="shared" si="153"/>
        <v>0</v>
      </c>
      <c r="N88" s="54">
        <f t="shared" si="153"/>
        <v>4.0000000037252903E-2</v>
      </c>
      <c r="O88" s="116">
        <f t="shared" si="153"/>
        <v>4.0000000037252903E-2</v>
      </c>
      <c r="P88" s="18">
        <v>0</v>
      </c>
      <c r="Q88" s="18">
        <f t="shared" si="153"/>
        <v>0</v>
      </c>
      <c r="R88" s="18">
        <f t="shared" si="141"/>
        <v>0</v>
      </c>
      <c r="S88" s="18">
        <f t="shared" ref="S88" si="155">S89+S90</f>
        <v>0</v>
      </c>
      <c r="T88" s="23">
        <f>T89+T90</f>
        <v>2781474</v>
      </c>
      <c r="U88" s="18">
        <f t="shared" si="153"/>
        <v>0</v>
      </c>
      <c r="V88" s="18">
        <f t="shared" si="153"/>
        <v>4.0000000037252903E-2</v>
      </c>
      <c r="W88" s="18">
        <f t="shared" si="153"/>
        <v>4.0000000037252903E-2</v>
      </c>
      <c r="X88" s="18"/>
      <c r="Y88" s="18">
        <f t="shared" si="153"/>
        <v>0</v>
      </c>
      <c r="Z88" s="116" t="e">
        <f t="shared" ref="Z88" si="156">Z89+Z90</f>
        <v>#REF!</v>
      </c>
      <c r="AA88" s="881" t="e">
        <f t="shared" si="128"/>
        <v>#DIV/0!</v>
      </c>
    </row>
    <row r="89" spans="1:27" ht="16.5" customHeight="1">
      <c r="A89" s="19" t="s">
        <v>48</v>
      </c>
      <c r="B89" s="20" t="s">
        <v>474</v>
      </c>
      <c r="C89" s="21" t="s">
        <v>0</v>
      </c>
      <c r="D89" s="21" t="s">
        <v>139</v>
      </c>
      <c r="E89" s="22">
        <f>VLOOKUP($A89,publ_fin!$A:$I,8,FALSE)</f>
        <v>2781474.04</v>
      </c>
      <c r="F89" s="114">
        <v>1</v>
      </c>
      <c r="G89" s="115"/>
      <c r="H89" s="262">
        <v>0</v>
      </c>
      <c r="I89" s="22">
        <f>F89*H89</f>
        <v>0</v>
      </c>
      <c r="J89" s="117">
        <v>2781474</v>
      </c>
      <c r="K89" s="117">
        <v>0</v>
      </c>
      <c r="L89" s="117">
        <v>0</v>
      </c>
      <c r="M89" s="23">
        <f t="shared" si="139"/>
        <v>0</v>
      </c>
      <c r="N89" s="54">
        <f>E89-J89</f>
        <v>4.0000000037252903E-2</v>
      </c>
      <c r="O89" s="117">
        <f>H89+N89</f>
        <v>4.0000000037252903E-2</v>
      </c>
      <c r="P89" s="23">
        <v>0</v>
      </c>
      <c r="Q89" s="23">
        <f>IFERROR(VLOOKUP(A89,lauzti_līg!A:H,8,FALSE),0)</f>
        <v>0</v>
      </c>
      <c r="R89" s="23">
        <f t="shared" si="141"/>
        <v>0</v>
      </c>
      <c r="S89" s="23">
        <f>R89-M89</f>
        <v>0</v>
      </c>
      <c r="T89" s="23">
        <f>VLOOKUP(A89,Nosl_līg!A:H,8,0)</f>
        <v>2781474</v>
      </c>
      <c r="U89" s="23">
        <f>T89-J89</f>
        <v>0</v>
      </c>
      <c r="V89" s="23">
        <f>O89-S89-U89</f>
        <v>4.0000000037252903E-2</v>
      </c>
      <c r="W89" s="23">
        <f>IF(N89&gt;=S89+U89,N89-S89-U89,0)</f>
        <v>4.0000000037252903E-2</v>
      </c>
      <c r="X89" s="23"/>
      <c r="Y89" s="23">
        <f>IF(H89=0,0, IF(T89-E89+R89-M89&lt;0, 0, T89-E89+R89-M89))</f>
        <v>0</v>
      </c>
      <c r="Z89" s="117" t="e">
        <f>VLOOKUP(A89,#REF!,63,FALSE)/F89+#REF!</f>
        <v>#REF!</v>
      </c>
      <c r="AA89" s="880" t="e">
        <f t="shared" si="128"/>
        <v>#DIV/0!</v>
      </c>
    </row>
    <row r="90" spans="1:27" ht="16.5" customHeight="1">
      <c r="A90" s="19" t="s">
        <v>49</v>
      </c>
      <c r="B90" s="20" t="s">
        <v>475</v>
      </c>
      <c r="C90" s="21" t="s">
        <v>0</v>
      </c>
      <c r="D90" s="21" t="s">
        <v>627</v>
      </c>
      <c r="E90" s="22">
        <f>VLOOKUP($A90,publ_fin!$A:$I,8,FALSE)</f>
        <v>0</v>
      </c>
      <c r="F90" s="114">
        <v>0</v>
      </c>
      <c r="G90" s="115"/>
      <c r="H90" s="262">
        <v>0</v>
      </c>
      <c r="I90" s="22">
        <f>F90*H90</f>
        <v>0</v>
      </c>
      <c r="J90" s="117">
        <v>0</v>
      </c>
      <c r="K90" s="117">
        <v>0</v>
      </c>
      <c r="L90" s="117">
        <v>0</v>
      </c>
      <c r="M90" s="23">
        <f t="shared" si="139"/>
        <v>0</v>
      </c>
      <c r="N90" s="54">
        <f>E90-J90</f>
        <v>0</v>
      </c>
      <c r="O90" s="117">
        <f>H90+N90</f>
        <v>0</v>
      </c>
      <c r="P90" s="23">
        <v>0</v>
      </c>
      <c r="Q90" s="23">
        <f>IFERROR(VLOOKUP(A90,lauzti_līg!A:H,8,FALSE),0)</f>
        <v>0</v>
      </c>
      <c r="R90" s="23">
        <f t="shared" si="141"/>
        <v>0</v>
      </c>
      <c r="S90" s="23">
        <f>R90-M90</f>
        <v>0</v>
      </c>
      <c r="T90" s="23">
        <v>0</v>
      </c>
      <c r="U90" s="23">
        <f>T90-J90</f>
        <v>0</v>
      </c>
      <c r="V90" s="23">
        <f>O90-S90-U90</f>
        <v>0</v>
      </c>
      <c r="W90" s="23">
        <f>IF(N90&gt;=S90+U90,N90-S90-U90,0)</f>
        <v>0</v>
      </c>
      <c r="X90" s="23"/>
      <c r="Y90" s="23">
        <f>IF(H90=0,0, IF(T90-E90+R90-M90&lt;0, 0, T90-E90+R90-M90))</f>
        <v>0</v>
      </c>
      <c r="Z90" s="117">
        <v>0</v>
      </c>
      <c r="AA90" s="880" t="e">
        <f t="shared" si="128"/>
        <v>#DIV/0!</v>
      </c>
    </row>
    <row r="91" spans="1:27" ht="16.5" customHeight="1">
      <c r="A91" s="19" t="s">
        <v>50</v>
      </c>
      <c r="B91" s="20" t="s">
        <v>476</v>
      </c>
      <c r="C91" s="21" t="s">
        <v>0</v>
      </c>
      <c r="D91" s="21" t="s">
        <v>627</v>
      </c>
      <c r="E91" s="22">
        <f>VLOOKUP($A91,publ_fin!$A:$I,8,FALSE)</f>
        <v>2027522.77</v>
      </c>
      <c r="F91" s="114">
        <v>0.85</v>
      </c>
      <c r="G91" s="115"/>
      <c r="H91" s="262">
        <v>0</v>
      </c>
      <c r="I91" s="22">
        <f>F91*H91</f>
        <v>0</v>
      </c>
      <c r="J91" s="117">
        <v>2066020</v>
      </c>
      <c r="K91" s="117">
        <v>0</v>
      </c>
      <c r="L91" s="117">
        <v>0</v>
      </c>
      <c r="M91" s="23">
        <f t="shared" si="139"/>
        <v>0</v>
      </c>
      <c r="N91" s="54">
        <f>E91-J91</f>
        <v>-38497.229999999981</v>
      </c>
      <c r="O91" s="117">
        <f>H91+N91</f>
        <v>-38497.229999999981</v>
      </c>
      <c r="P91" s="23">
        <v>0</v>
      </c>
      <c r="Q91" s="23">
        <f>IFERROR(VLOOKUP(A91,lauzti_līg!A:H,8,FALSE),0)</f>
        <v>0</v>
      </c>
      <c r="R91" s="23">
        <f t="shared" si="141"/>
        <v>0</v>
      </c>
      <c r="S91" s="23">
        <f>R91-M91</f>
        <v>0</v>
      </c>
      <c r="T91" s="23">
        <f>VLOOKUP(A91,Nosl_līg!A:H,8,0)</f>
        <v>2027513.35</v>
      </c>
      <c r="U91" s="23">
        <f>T91-J91</f>
        <v>-38506.649999999907</v>
      </c>
      <c r="V91" s="23">
        <f>O91-S91-U91</f>
        <v>9.4199999999254942</v>
      </c>
      <c r="W91" s="23">
        <f>IF(N91&gt;=S91+U91,N91-S91-U91,0)</f>
        <v>9.4199999999254942</v>
      </c>
      <c r="X91" s="23"/>
      <c r="Y91" s="23">
        <f>IF(H91=0,0, IF(T91-E91+R91-M91&lt;0, 0, T91-E91+R91-M91))</f>
        <v>0</v>
      </c>
      <c r="Z91" s="117" t="e">
        <f>VLOOKUP(A91,#REF!,63,FALSE)/F91+#REF!</f>
        <v>#REF!</v>
      </c>
      <c r="AA91" s="880" t="e">
        <f t="shared" si="128"/>
        <v>#DIV/0!</v>
      </c>
    </row>
    <row r="92" spans="1:27" ht="16.5" customHeight="1">
      <c r="A92" s="19" t="s">
        <v>51</v>
      </c>
      <c r="B92" s="20" t="s">
        <v>477</v>
      </c>
      <c r="C92" s="21" t="s">
        <v>0</v>
      </c>
      <c r="D92" s="21" t="s">
        <v>627</v>
      </c>
      <c r="E92" s="23">
        <f t="shared" ref="E92:Z92" si="157">E93+E94</f>
        <v>934834.74</v>
      </c>
      <c r="F92" s="116"/>
      <c r="G92" s="116">
        <f t="shared" si="157"/>
        <v>0</v>
      </c>
      <c r="H92" s="18">
        <f t="shared" si="157"/>
        <v>0</v>
      </c>
      <c r="I92" s="18">
        <f t="shared" si="157"/>
        <v>0</v>
      </c>
      <c r="J92" s="116">
        <f t="shared" si="157"/>
        <v>840839.83000000007</v>
      </c>
      <c r="K92" s="116">
        <f t="shared" si="157"/>
        <v>2356.3999999999996</v>
      </c>
      <c r="L92" s="116">
        <f t="shared" si="157"/>
        <v>206785.97</v>
      </c>
      <c r="M92" s="18">
        <f t="shared" si="157"/>
        <v>209142.37</v>
      </c>
      <c r="N92" s="54">
        <f t="shared" si="157"/>
        <v>93994.909999999916</v>
      </c>
      <c r="O92" s="116">
        <f t="shared" si="157"/>
        <v>93994.909999999916</v>
      </c>
      <c r="P92" s="18">
        <v>2578</v>
      </c>
      <c r="Q92" s="18">
        <f t="shared" si="157"/>
        <v>206785.97</v>
      </c>
      <c r="R92" s="18">
        <f t="shared" si="141"/>
        <v>209363.97</v>
      </c>
      <c r="S92" s="18">
        <f t="shared" si="157"/>
        <v>221.60000000000719</v>
      </c>
      <c r="T92" s="23">
        <f>T93+T94</f>
        <v>898414.85</v>
      </c>
      <c r="U92" s="18">
        <f t="shared" si="157"/>
        <v>57575.019999999902</v>
      </c>
      <c r="V92" s="18">
        <f t="shared" si="157"/>
        <v>36198.290000000008</v>
      </c>
      <c r="W92" s="18">
        <f t="shared" si="157"/>
        <v>36198.290000000008</v>
      </c>
      <c r="X92" s="18"/>
      <c r="Y92" s="18">
        <f t="shared" si="157"/>
        <v>0</v>
      </c>
      <c r="Z92" s="116" t="e">
        <f t="shared" si="157"/>
        <v>#REF!</v>
      </c>
      <c r="AA92" s="881" t="e">
        <f t="shared" si="128"/>
        <v>#DIV/0!</v>
      </c>
    </row>
    <row r="93" spans="1:27" ht="16.5" customHeight="1">
      <c r="A93" s="19" t="s">
        <v>270</v>
      </c>
      <c r="B93" s="20" t="s">
        <v>478</v>
      </c>
      <c r="C93" s="21" t="s">
        <v>0</v>
      </c>
      <c r="D93" s="21" t="s">
        <v>627</v>
      </c>
      <c r="E93" s="22">
        <f>VLOOKUP($A93,publ_fin!$A:$I,8,FALSE)</f>
        <v>401298.27</v>
      </c>
      <c r="F93" s="114">
        <v>0.85</v>
      </c>
      <c r="G93" s="115"/>
      <c r="H93" s="262">
        <v>0</v>
      </c>
      <c r="I93" s="22">
        <f>F93*H93</f>
        <v>0</v>
      </c>
      <c r="J93" s="117">
        <v>392589.37</v>
      </c>
      <c r="K93" s="117">
        <v>224.68</v>
      </c>
      <c r="L93" s="117">
        <v>206785.97</v>
      </c>
      <c r="M93" s="23">
        <f t="shared" si="139"/>
        <v>207010.65</v>
      </c>
      <c r="N93" s="54">
        <f>E93-J93</f>
        <v>8708.9000000000233</v>
      </c>
      <c r="O93" s="117">
        <f>H93+N93</f>
        <v>8708.9000000000233</v>
      </c>
      <c r="P93" s="23">
        <v>225</v>
      </c>
      <c r="Q93" s="23">
        <f>IFERROR(VLOOKUP(A93,lauzti_līg!A:H,8,FALSE),0)</f>
        <v>206785.97</v>
      </c>
      <c r="R93" s="23">
        <f t="shared" si="141"/>
        <v>207010.97</v>
      </c>
      <c r="S93" s="23">
        <f>R93-M93</f>
        <v>0.32000000000698492</v>
      </c>
      <c r="T93" s="23">
        <f>VLOOKUP(A93,Nosl_līg!A:H,8,0)</f>
        <v>392589.37</v>
      </c>
      <c r="U93" s="23">
        <f>T93-J93</f>
        <v>0</v>
      </c>
      <c r="V93" s="23">
        <f>O93-S93-U93</f>
        <v>8708.5800000000163</v>
      </c>
      <c r="W93" s="23">
        <f>IF(N93&gt;=S93+U93,N93-S93-U93,0)</f>
        <v>8708.5800000000163</v>
      </c>
      <c r="X93" s="23"/>
      <c r="Y93" s="23">
        <f>IF(H93=0,0, IF(T93-E93+R93-M93&lt;0, 0, T93-E93+R93-M93))</f>
        <v>0</v>
      </c>
      <c r="Z93" s="117" t="e">
        <f>VLOOKUP(A93,#REF!,63,FALSE)/F93+#REF!</f>
        <v>#REF!</v>
      </c>
      <c r="AA93" s="880" t="e">
        <f t="shared" si="128"/>
        <v>#DIV/0!</v>
      </c>
    </row>
    <row r="94" spans="1:27" ht="16.5" customHeight="1">
      <c r="A94" s="19" t="s">
        <v>272</v>
      </c>
      <c r="B94" s="20" t="s">
        <v>479</v>
      </c>
      <c r="C94" s="21" t="s">
        <v>0</v>
      </c>
      <c r="D94" s="21" t="s">
        <v>627</v>
      </c>
      <c r="E94" s="22">
        <f>VLOOKUP($A94,publ_fin!$A:$I,8,FALSE)</f>
        <v>533536.47</v>
      </c>
      <c r="F94" s="118">
        <v>0.85</v>
      </c>
      <c r="G94" s="115"/>
      <c r="H94" s="262">
        <v>0</v>
      </c>
      <c r="I94" s="22">
        <f>F94*H94</f>
        <v>0</v>
      </c>
      <c r="J94" s="117">
        <v>448250.46000000008</v>
      </c>
      <c r="K94" s="117">
        <v>2131.7199999999998</v>
      </c>
      <c r="L94" s="117">
        <v>0</v>
      </c>
      <c r="M94" s="23">
        <f t="shared" si="139"/>
        <v>2131.7199999999998</v>
      </c>
      <c r="N94" s="54">
        <f>E94-J94</f>
        <v>85286.009999999893</v>
      </c>
      <c r="O94" s="117">
        <f>H94+N94</f>
        <v>85286.009999999893</v>
      </c>
      <c r="P94" s="23">
        <v>2353</v>
      </c>
      <c r="Q94" s="23">
        <f>IFERROR(VLOOKUP(A94,lauzti_līg!A:H,8,FALSE),0)</f>
        <v>0</v>
      </c>
      <c r="R94" s="23">
        <f t="shared" si="141"/>
        <v>2353</v>
      </c>
      <c r="S94" s="23">
        <f>R94-M94</f>
        <v>221.2800000000002</v>
      </c>
      <c r="T94" s="23">
        <f>VLOOKUP(A94,Nosl_līg!A:H,8,0)</f>
        <v>505825.48</v>
      </c>
      <c r="U94" s="23">
        <f>T94-J94</f>
        <v>57575.019999999902</v>
      </c>
      <c r="V94" s="23">
        <f>O94-S94-U94</f>
        <v>27489.709999999992</v>
      </c>
      <c r="W94" s="23">
        <f>IF(N94&gt;=S94+U94,N94-S94-U94,0)</f>
        <v>27489.709999999992</v>
      </c>
      <c r="X94" s="23"/>
      <c r="Y94" s="23">
        <f>IF(H94=0,0, IF(T94-E94+R94-M94&lt;0, 0, T94-E94+R94-M94))</f>
        <v>0</v>
      </c>
      <c r="Z94" s="117" t="e">
        <f>VLOOKUP(A94,#REF!,63,FALSE)/F94+#REF!</f>
        <v>#REF!</v>
      </c>
      <c r="AA94" s="880" t="e">
        <f t="shared" si="128"/>
        <v>#DIV/0!</v>
      </c>
    </row>
    <row r="95" spans="1:27" ht="16.5" customHeight="1">
      <c r="A95" s="14" t="s">
        <v>52</v>
      </c>
      <c r="B95" s="15" t="s">
        <v>480</v>
      </c>
      <c r="C95" s="16" t="s">
        <v>0</v>
      </c>
      <c r="D95" s="16" t="s">
        <v>627</v>
      </c>
      <c r="E95" s="17">
        <f t="shared" ref="E95:Z95" si="158">E96+E97</f>
        <v>6107059.6299999999</v>
      </c>
      <c r="F95" s="113"/>
      <c r="G95" s="113">
        <f t="shared" si="158"/>
        <v>0</v>
      </c>
      <c r="H95" s="17">
        <f t="shared" si="158"/>
        <v>0</v>
      </c>
      <c r="I95" s="17">
        <f t="shared" si="158"/>
        <v>0</v>
      </c>
      <c r="J95" s="113">
        <f t="shared" si="158"/>
        <v>5165860.38</v>
      </c>
      <c r="K95" s="113">
        <f t="shared" si="158"/>
        <v>54487.97</v>
      </c>
      <c r="L95" s="113">
        <f t="shared" si="158"/>
        <v>2287235.4300000002</v>
      </c>
      <c r="M95" s="17">
        <f t="shared" si="158"/>
        <v>2341723.4</v>
      </c>
      <c r="N95" s="53">
        <f t="shared" si="158"/>
        <v>941199.24999999988</v>
      </c>
      <c r="O95" s="113">
        <f t="shared" si="158"/>
        <v>941199.24999999988</v>
      </c>
      <c r="P95" s="17">
        <v>146158</v>
      </c>
      <c r="Q95" s="17">
        <f t="shared" si="158"/>
        <v>2437251.7000000002</v>
      </c>
      <c r="R95" s="17">
        <f t="shared" si="141"/>
        <v>2583409.7000000002</v>
      </c>
      <c r="S95" s="17">
        <f t="shared" si="158"/>
        <v>241686.30000000005</v>
      </c>
      <c r="T95" s="17">
        <f t="shared" si="158"/>
        <v>5874349.7400000012</v>
      </c>
      <c r="U95" s="17">
        <f t="shared" si="158"/>
        <v>708489.36000000034</v>
      </c>
      <c r="V95" s="17">
        <f t="shared" si="158"/>
        <v>-8976.4100000005019</v>
      </c>
      <c r="W95" s="17">
        <f t="shared" si="158"/>
        <v>326.13999999985026</v>
      </c>
      <c r="X95" s="17"/>
      <c r="Y95" s="17">
        <f t="shared" si="158"/>
        <v>0</v>
      </c>
      <c r="Z95" s="113" t="e">
        <f t="shared" si="158"/>
        <v>#REF!</v>
      </c>
      <c r="AA95" s="879" t="e">
        <f t="shared" si="128"/>
        <v>#DIV/0!</v>
      </c>
    </row>
    <row r="96" spans="1:27" ht="16.5" customHeight="1">
      <c r="A96" s="19" t="s">
        <v>274</v>
      </c>
      <c r="B96" s="20" t="s">
        <v>481</v>
      </c>
      <c r="C96" s="21" t="s">
        <v>0</v>
      </c>
      <c r="D96" s="21" t="s">
        <v>627</v>
      </c>
      <c r="E96" s="22">
        <f>VLOOKUP($A96,publ_fin!$A:$I,8,FALSE)</f>
        <v>64830.86</v>
      </c>
      <c r="F96" s="114">
        <v>0.85</v>
      </c>
      <c r="G96" s="115"/>
      <c r="H96" s="22">
        <v>0</v>
      </c>
      <c r="I96" s="22">
        <f>F96*H96</f>
        <v>0</v>
      </c>
      <c r="J96" s="117">
        <v>60220.02</v>
      </c>
      <c r="K96" s="117">
        <v>0</v>
      </c>
      <c r="L96" s="117">
        <v>2138191.6</v>
      </c>
      <c r="M96" s="23">
        <f t="shared" si="139"/>
        <v>2138191.6</v>
      </c>
      <c r="N96" s="54">
        <f>E96-J96</f>
        <v>4610.8400000000038</v>
      </c>
      <c r="O96" s="117">
        <f>H96+N96</f>
        <v>4610.8400000000038</v>
      </c>
      <c r="P96" s="23">
        <v>6733</v>
      </c>
      <c r="Q96" s="23">
        <f>IFERROR(VLOOKUP(A96,lauzti_līg!A:H,8,FALSE),0)</f>
        <v>2198411.62</v>
      </c>
      <c r="R96" s="23">
        <f t="shared" si="141"/>
        <v>2205144.62</v>
      </c>
      <c r="S96" s="23">
        <f>R96-M96</f>
        <v>66953.020000000019</v>
      </c>
      <c r="T96" s="23">
        <v>0</v>
      </c>
      <c r="U96" s="23">
        <f>T96-J96</f>
        <v>-60220.02</v>
      </c>
      <c r="V96" s="23">
        <f>O96-S96-U96</f>
        <v>-2122.160000000018</v>
      </c>
      <c r="W96" s="23">
        <f>IF(N96&gt;=S96+U96,N96-S96-U96,0)</f>
        <v>0</v>
      </c>
      <c r="X96" s="23"/>
      <c r="Y96" s="23">
        <f>IF(H96=0,0, IF(T96-E96+R96-M96&lt;0, 0, T96-E96+R96-M96))</f>
        <v>0</v>
      </c>
      <c r="Z96" s="117" t="e">
        <f>VLOOKUP(A96,#REF!,63,FALSE)/F96+#REF!</f>
        <v>#REF!</v>
      </c>
      <c r="AA96" s="880" t="e">
        <f t="shared" si="128"/>
        <v>#DIV/0!</v>
      </c>
    </row>
    <row r="97" spans="1:27" ht="16.5" customHeight="1">
      <c r="A97" s="19" t="s">
        <v>53</v>
      </c>
      <c r="B97" s="20" t="s">
        <v>482</v>
      </c>
      <c r="C97" s="21" t="s">
        <v>0</v>
      </c>
      <c r="D97" s="21" t="s">
        <v>627</v>
      </c>
      <c r="E97" s="23">
        <f t="shared" ref="E97:Z97" si="159">E98+E99+E100</f>
        <v>6042228.7699999996</v>
      </c>
      <c r="F97" s="116"/>
      <c r="G97" s="116">
        <f t="shared" si="159"/>
        <v>0</v>
      </c>
      <c r="H97" s="23">
        <f t="shared" si="159"/>
        <v>0</v>
      </c>
      <c r="I97" s="18">
        <f t="shared" si="159"/>
        <v>0</v>
      </c>
      <c r="J97" s="116">
        <f t="shared" si="159"/>
        <v>5105640.3600000003</v>
      </c>
      <c r="K97" s="116">
        <f t="shared" si="159"/>
        <v>54487.97</v>
      </c>
      <c r="L97" s="116">
        <f t="shared" si="159"/>
        <v>149043.83000000002</v>
      </c>
      <c r="M97" s="18">
        <f t="shared" si="159"/>
        <v>203531.8</v>
      </c>
      <c r="N97" s="54">
        <f t="shared" si="159"/>
        <v>936588.40999999992</v>
      </c>
      <c r="O97" s="116">
        <f t="shared" si="159"/>
        <v>936588.40999999992</v>
      </c>
      <c r="P97" s="18">
        <v>139425</v>
      </c>
      <c r="Q97" s="18">
        <f t="shared" si="159"/>
        <v>238840.08000000002</v>
      </c>
      <c r="R97" s="18">
        <f t="shared" si="141"/>
        <v>378265.08</v>
      </c>
      <c r="S97" s="18">
        <f t="shared" si="159"/>
        <v>174733.28000000003</v>
      </c>
      <c r="T97" s="23">
        <f>T98+T99+T100</f>
        <v>5874349.7400000012</v>
      </c>
      <c r="U97" s="18">
        <f t="shared" si="159"/>
        <v>768709.38000000035</v>
      </c>
      <c r="V97" s="18">
        <f t="shared" si="159"/>
        <v>-6854.2500000004839</v>
      </c>
      <c r="W97" s="18">
        <f t="shared" si="159"/>
        <v>326.13999999985026</v>
      </c>
      <c r="X97" s="18"/>
      <c r="Y97" s="18">
        <f t="shared" si="159"/>
        <v>0</v>
      </c>
      <c r="Z97" s="116" t="e">
        <f t="shared" si="159"/>
        <v>#REF!</v>
      </c>
      <c r="AA97" s="881" t="e">
        <f t="shared" si="128"/>
        <v>#DIV/0!</v>
      </c>
    </row>
    <row r="98" spans="1:27" ht="16.5" customHeight="1">
      <c r="A98" s="19" t="s">
        <v>145</v>
      </c>
      <c r="B98" s="20" t="s">
        <v>483</v>
      </c>
      <c r="C98" s="21" t="s">
        <v>0</v>
      </c>
      <c r="D98" s="21" t="s">
        <v>627</v>
      </c>
      <c r="E98" s="22">
        <f>VLOOKUP($A98,publ_fin!$A:$I,8,FALSE)</f>
        <v>2237544.5</v>
      </c>
      <c r="F98" s="114">
        <v>0.85</v>
      </c>
      <c r="G98" s="115"/>
      <c r="H98" s="22">
        <v>0</v>
      </c>
      <c r="I98" s="22">
        <f>F98*H98</f>
        <v>0</v>
      </c>
      <c r="J98" s="117">
        <v>2244184.9900000002</v>
      </c>
      <c r="K98" s="117">
        <v>7052.05</v>
      </c>
      <c r="L98" s="117">
        <v>0</v>
      </c>
      <c r="M98" s="23">
        <f t="shared" si="139"/>
        <v>7052.05</v>
      </c>
      <c r="N98" s="54">
        <f>E98-J98</f>
        <v>-6640.4900000002235</v>
      </c>
      <c r="O98" s="117">
        <f>H98+N98</f>
        <v>-6640.4900000002235</v>
      </c>
      <c r="P98" s="23">
        <v>13573</v>
      </c>
      <c r="Q98" s="23">
        <f>IFERROR(VLOOKUP(A98,lauzti_līg!A:H,8,FALSE),0)</f>
        <v>0</v>
      </c>
      <c r="R98" s="23">
        <f t="shared" si="141"/>
        <v>13573</v>
      </c>
      <c r="S98" s="23">
        <f>R98-M98</f>
        <v>6520.95</v>
      </c>
      <c r="T98" s="23">
        <f>VLOOKUP(A98,Nosl_līg!A:H,8,0)</f>
        <v>2230697.41</v>
      </c>
      <c r="U98" s="23">
        <f>T98-J98</f>
        <v>-13487.580000000075</v>
      </c>
      <c r="V98" s="23">
        <f>O98-S98-U98</f>
        <v>326.13999999985026</v>
      </c>
      <c r="W98" s="23">
        <f>IF(N98&gt;=S98+U98,N98-S98-U98,0)</f>
        <v>326.13999999985026</v>
      </c>
      <c r="X98" s="23"/>
      <c r="Y98" s="23">
        <f>IF(H98=0,0, IF(T98-E98+R98-M98&lt;0, 0, T98-E98+R98-M98))</f>
        <v>0</v>
      </c>
      <c r="Z98" s="117" t="e">
        <f>VLOOKUP(A98,#REF!,63,FALSE)/F98+#REF!</f>
        <v>#REF!</v>
      </c>
      <c r="AA98" s="880" t="e">
        <f t="shared" si="128"/>
        <v>#DIV/0!</v>
      </c>
    </row>
    <row r="99" spans="1:27" ht="16.5" customHeight="1">
      <c r="A99" s="19" t="s">
        <v>277</v>
      </c>
      <c r="B99" s="20" t="s">
        <v>484</v>
      </c>
      <c r="C99" s="21" t="s">
        <v>0</v>
      </c>
      <c r="D99" s="21" t="s">
        <v>627</v>
      </c>
      <c r="E99" s="22">
        <f>VLOOKUP($A99,publ_fin!$A:$I,8,FALSE)</f>
        <v>2386548.79</v>
      </c>
      <c r="F99" s="114">
        <v>0.92979999999999996</v>
      </c>
      <c r="G99" s="115"/>
      <c r="H99" s="22">
        <v>0</v>
      </c>
      <c r="I99" s="22">
        <f>F99*H99</f>
        <v>0</v>
      </c>
      <c r="J99" s="117">
        <v>1391035.7199999997</v>
      </c>
      <c r="K99" s="117">
        <v>2939.21</v>
      </c>
      <c r="L99" s="117">
        <v>52810.32</v>
      </c>
      <c r="M99" s="23">
        <f t="shared" si="139"/>
        <v>55749.53</v>
      </c>
      <c r="N99" s="54">
        <f>E99-J99</f>
        <v>995513.0700000003</v>
      </c>
      <c r="O99" s="117">
        <f>H99+N99</f>
        <v>995513.0700000003</v>
      </c>
      <c r="P99" s="23">
        <v>53103</v>
      </c>
      <c r="Q99" s="23">
        <f>IFERROR(VLOOKUP(A99,lauzti_līg!A:H,8,FALSE),0)</f>
        <v>96246.57</v>
      </c>
      <c r="R99" s="23">
        <f t="shared" si="141"/>
        <v>149349.57</v>
      </c>
      <c r="S99" s="23">
        <f>R99-M99</f>
        <v>93600.040000000008</v>
      </c>
      <c r="T99" s="23">
        <f>VLOOKUP(A99,Nosl_līg!A:H,8,0)</f>
        <v>2297144.9700000002</v>
      </c>
      <c r="U99" s="23">
        <f>T99-J99</f>
        <v>906109.25000000047</v>
      </c>
      <c r="V99" s="23">
        <f>O99-S99-U99</f>
        <v>-4196.2200000002049</v>
      </c>
      <c r="W99" s="23">
        <f>IF(N99&gt;=S99+U99,N99-S99-U99,0)</f>
        <v>0</v>
      </c>
      <c r="X99" s="23"/>
      <c r="Y99" s="23">
        <f>IF(H99=0,0, IF(T99-E99+R99-M99&lt;0, 0, T99-E99+R99-M99))</f>
        <v>0</v>
      </c>
      <c r="Z99" s="117" t="e">
        <f>VLOOKUP(A99,#REF!,63,FALSE)/F99+#REF!</f>
        <v>#REF!</v>
      </c>
      <c r="AA99" s="880" t="e">
        <f t="shared" si="128"/>
        <v>#DIV/0!</v>
      </c>
    </row>
    <row r="100" spans="1:27" ht="16.5" customHeight="1">
      <c r="A100" s="19" t="s">
        <v>279</v>
      </c>
      <c r="B100" s="20" t="s">
        <v>485</v>
      </c>
      <c r="C100" s="21" t="s">
        <v>0</v>
      </c>
      <c r="D100" s="21" t="s">
        <v>627</v>
      </c>
      <c r="E100" s="22">
        <f>VLOOKUP($A100,publ_fin!$A:$I,8,FALSE)</f>
        <v>1418135.48</v>
      </c>
      <c r="F100" s="114">
        <v>1</v>
      </c>
      <c r="G100" s="115"/>
      <c r="H100" s="22">
        <v>0</v>
      </c>
      <c r="I100" s="22">
        <f>F100*H100</f>
        <v>0</v>
      </c>
      <c r="J100" s="117">
        <v>1470419.6500000001</v>
      </c>
      <c r="K100" s="117">
        <v>44496.71</v>
      </c>
      <c r="L100" s="117">
        <v>96233.510000000009</v>
      </c>
      <c r="M100" s="23">
        <f t="shared" si="139"/>
        <v>140730.22</v>
      </c>
      <c r="N100" s="54">
        <f>E100-J100</f>
        <v>-52284.170000000158</v>
      </c>
      <c r="O100" s="117">
        <f>H100+N100</f>
        <v>-52284.170000000158</v>
      </c>
      <c r="P100" s="58">
        <v>72749</v>
      </c>
      <c r="Q100" s="23">
        <f>IFERROR(VLOOKUP(A100,lauzti_līg!A:H,8,FALSE),0)</f>
        <v>142593.51</v>
      </c>
      <c r="R100" s="23">
        <f t="shared" si="141"/>
        <v>215342.51</v>
      </c>
      <c r="S100" s="23">
        <f>R100-M100</f>
        <v>74612.290000000008</v>
      </c>
      <c r="T100" s="23">
        <f>VLOOKUP(A100,Nosl_līg!A:H,8,0)</f>
        <v>1346507.36</v>
      </c>
      <c r="U100" s="23">
        <f>T100-J100</f>
        <v>-123912.29000000004</v>
      </c>
      <c r="V100" s="23">
        <f>O100-S100-U100</f>
        <v>-2984.1700000001292</v>
      </c>
      <c r="W100" s="23">
        <f>IF(N100&gt;=S100+U100,N100-S100-U100,0)</f>
        <v>0</v>
      </c>
      <c r="X100" s="23"/>
      <c r="Y100" s="23">
        <f>IF(H100=0,0, IF(T100-E100+R100-M100&lt;0, 0, T100-E100+R100-M100))</f>
        <v>0</v>
      </c>
      <c r="Z100" s="117" t="e">
        <f>VLOOKUP(A100,#REF!,63,FALSE)/F100+#REF!</f>
        <v>#REF!</v>
      </c>
      <c r="AA100" s="880" t="e">
        <f t="shared" si="128"/>
        <v>#DIV/0!</v>
      </c>
    </row>
    <row r="101" spans="1:27" ht="16.5" customHeight="1">
      <c r="A101" s="14" t="s">
        <v>54</v>
      </c>
      <c r="B101" s="15" t="s">
        <v>486</v>
      </c>
      <c r="C101" s="16" t="s">
        <v>0</v>
      </c>
      <c r="D101" s="16" t="s">
        <v>628</v>
      </c>
      <c r="E101" s="17">
        <f t="shared" ref="E101:Z101" si="160">E102+E103</f>
        <v>5026716.3599999994</v>
      </c>
      <c r="F101" s="113"/>
      <c r="G101" s="113">
        <f t="shared" si="160"/>
        <v>0</v>
      </c>
      <c r="H101" s="17">
        <f t="shared" si="160"/>
        <v>0</v>
      </c>
      <c r="I101" s="17">
        <f t="shared" si="160"/>
        <v>0</v>
      </c>
      <c r="J101" s="113">
        <f t="shared" si="160"/>
        <v>4947668.83</v>
      </c>
      <c r="K101" s="113">
        <f t="shared" si="160"/>
        <v>5433.78</v>
      </c>
      <c r="L101" s="113">
        <f t="shared" si="160"/>
        <v>31507</v>
      </c>
      <c r="M101" s="17">
        <f t="shared" si="160"/>
        <v>36940.78</v>
      </c>
      <c r="N101" s="53">
        <f t="shared" si="160"/>
        <v>79047.529999999795</v>
      </c>
      <c r="O101" s="113">
        <f t="shared" si="160"/>
        <v>79047.529999999795</v>
      </c>
      <c r="P101" s="17">
        <v>137445</v>
      </c>
      <c r="Q101" s="17">
        <f t="shared" si="160"/>
        <v>31507</v>
      </c>
      <c r="R101" s="17">
        <f t="shared" si="141"/>
        <v>168952</v>
      </c>
      <c r="S101" s="17">
        <f t="shared" si="160"/>
        <v>132011.22</v>
      </c>
      <c r="T101" s="17">
        <f t="shared" si="160"/>
        <v>4619999.75</v>
      </c>
      <c r="U101" s="17">
        <f t="shared" si="160"/>
        <v>-327669.08000000007</v>
      </c>
      <c r="V101" s="17">
        <f t="shared" si="160"/>
        <v>274705.3899999999</v>
      </c>
      <c r="W101" s="17">
        <f t="shared" si="160"/>
        <v>274705.3899999999</v>
      </c>
      <c r="X101" s="17"/>
      <c r="Y101" s="17">
        <f t="shared" si="160"/>
        <v>0</v>
      </c>
      <c r="Z101" s="113" t="e">
        <f t="shared" si="160"/>
        <v>#REF!</v>
      </c>
      <c r="AA101" s="879" t="e">
        <f t="shared" si="128"/>
        <v>#DIV/0!</v>
      </c>
    </row>
    <row r="102" spans="1:27" ht="16.5" customHeight="1">
      <c r="A102" s="19" t="s">
        <v>281</v>
      </c>
      <c r="B102" s="20" t="s">
        <v>487</v>
      </c>
      <c r="C102" s="21" t="s">
        <v>0</v>
      </c>
      <c r="D102" s="21" t="s">
        <v>628</v>
      </c>
      <c r="E102" s="22">
        <f>VLOOKUP($A102,publ_fin!$A:$I,8,FALSE)</f>
        <v>2543141.96</v>
      </c>
      <c r="F102" s="114">
        <v>1</v>
      </c>
      <c r="G102" s="115"/>
      <c r="H102" s="22">
        <v>0</v>
      </c>
      <c r="I102" s="22">
        <f>F102*H102</f>
        <v>0</v>
      </c>
      <c r="J102" s="117">
        <v>2503446.7699999996</v>
      </c>
      <c r="K102" s="117">
        <v>3750.18</v>
      </c>
      <c r="L102" s="117">
        <v>31507</v>
      </c>
      <c r="M102" s="23">
        <f t="shared" si="139"/>
        <v>35257.18</v>
      </c>
      <c r="N102" s="54">
        <f>E102-J102</f>
        <v>39695.19000000041</v>
      </c>
      <c r="O102" s="117">
        <f>H102+N102</f>
        <v>39695.19000000041</v>
      </c>
      <c r="P102" s="23">
        <v>22074</v>
      </c>
      <c r="Q102" s="23">
        <f>IFERROR(VLOOKUP(A102,lauzti_līg!A:H,8,FALSE),0)</f>
        <v>31507</v>
      </c>
      <c r="R102" s="23">
        <f t="shared" si="141"/>
        <v>53581</v>
      </c>
      <c r="S102" s="23">
        <f>R102-M102</f>
        <v>18323.82</v>
      </c>
      <c r="T102" s="23">
        <f>VLOOKUP(A102,Nosl_līg!A:H,8,0)</f>
        <v>2444039.7000000002</v>
      </c>
      <c r="U102" s="23">
        <f>T102-J102</f>
        <v>-59407.069999999367</v>
      </c>
      <c r="V102" s="23">
        <f>O102-S102-U102</f>
        <v>80778.439999999769</v>
      </c>
      <c r="W102" s="23">
        <f>IF(N102&gt;=S102+U102,N102-S102-U102,0)</f>
        <v>80778.439999999769</v>
      </c>
      <c r="X102" s="23"/>
      <c r="Y102" s="23">
        <f>IF(H102=0,0, IF(T102-E102+R102-M102&lt;0, 0, T102-E102+R102-M102))</f>
        <v>0</v>
      </c>
      <c r="Z102" s="117" t="e">
        <f>VLOOKUP(A102,#REF!,63,FALSE)/F102+#REF!</f>
        <v>#REF!</v>
      </c>
      <c r="AA102" s="880" t="e">
        <f t="shared" si="128"/>
        <v>#DIV/0!</v>
      </c>
    </row>
    <row r="103" spans="1:27" ht="16.5" customHeight="1">
      <c r="A103" s="19" t="s">
        <v>283</v>
      </c>
      <c r="B103" s="20" t="s">
        <v>488</v>
      </c>
      <c r="C103" s="21" t="s">
        <v>0</v>
      </c>
      <c r="D103" s="21" t="s">
        <v>628</v>
      </c>
      <c r="E103" s="22">
        <f>VLOOKUP($A103,publ_fin!$A:$I,8,FALSE)</f>
        <v>2483574.4</v>
      </c>
      <c r="F103" s="114">
        <v>1</v>
      </c>
      <c r="G103" s="115"/>
      <c r="H103" s="22">
        <v>0</v>
      </c>
      <c r="I103" s="22">
        <f>F103*H103</f>
        <v>0</v>
      </c>
      <c r="J103" s="117">
        <v>2444222.0600000005</v>
      </c>
      <c r="K103" s="117">
        <v>1683.6</v>
      </c>
      <c r="L103" s="117">
        <v>0</v>
      </c>
      <c r="M103" s="23">
        <f t="shared" si="139"/>
        <v>1683.6</v>
      </c>
      <c r="N103" s="54">
        <f>E103-J103</f>
        <v>39352.339999999385</v>
      </c>
      <c r="O103" s="117">
        <f>H103+N103</f>
        <v>39352.339999999385</v>
      </c>
      <c r="P103" s="23">
        <v>115371</v>
      </c>
      <c r="Q103" s="23">
        <f>IFERROR(VLOOKUP(A103,lauzti_līg!A:H,8,FALSE),0)</f>
        <v>0</v>
      </c>
      <c r="R103" s="23">
        <f t="shared" si="141"/>
        <v>115371</v>
      </c>
      <c r="S103" s="23">
        <f>R103-M103</f>
        <v>113687.4</v>
      </c>
      <c r="T103" s="23">
        <f>VLOOKUP(A103,Nosl_līg!A:H,8,0)</f>
        <v>2175960.0499999998</v>
      </c>
      <c r="U103" s="23">
        <f>T103-J103</f>
        <v>-268262.01000000071</v>
      </c>
      <c r="V103" s="23">
        <f>O103-S103-U103</f>
        <v>193926.9500000001</v>
      </c>
      <c r="W103" s="23">
        <f>IF(N103&gt;=S103+U103,N103-S103-U103,0)</f>
        <v>193926.9500000001</v>
      </c>
      <c r="X103" s="23"/>
      <c r="Y103" s="23">
        <f>IF(H103=0,0, IF(T103-E103+R103-M103&lt;0, 0, T103-E103+R103-M103))</f>
        <v>0</v>
      </c>
      <c r="Z103" s="117" t="e">
        <f>VLOOKUP(A103,#REF!,63,FALSE)/F103+#REF!</f>
        <v>#REF!</v>
      </c>
      <c r="AA103" s="880" t="e">
        <f t="shared" si="128"/>
        <v>#DIV/0!</v>
      </c>
    </row>
    <row r="104" spans="1:27" ht="16.5" customHeight="1">
      <c r="A104" s="14" t="s">
        <v>205</v>
      </c>
      <c r="B104" s="15" t="s">
        <v>489</v>
      </c>
      <c r="C104" s="16" t="s">
        <v>0</v>
      </c>
      <c r="D104" s="16" t="s">
        <v>139</v>
      </c>
      <c r="E104" s="17">
        <f t="shared" ref="E104:T105" si="161">E105</f>
        <v>12847761.029999999</v>
      </c>
      <c r="F104" s="113"/>
      <c r="G104" s="113">
        <f t="shared" si="161"/>
        <v>0</v>
      </c>
      <c r="H104" s="17">
        <f t="shared" si="161"/>
        <v>0</v>
      </c>
      <c r="I104" s="17">
        <f t="shared" si="161"/>
        <v>0</v>
      </c>
      <c r="J104" s="113">
        <f t="shared" si="161"/>
        <v>12630647.49</v>
      </c>
      <c r="K104" s="113">
        <f t="shared" si="161"/>
        <v>35169.22</v>
      </c>
      <c r="L104" s="113">
        <f t="shared" si="161"/>
        <v>0</v>
      </c>
      <c r="M104" s="17">
        <f t="shared" si="161"/>
        <v>35169.22</v>
      </c>
      <c r="N104" s="53">
        <f t="shared" si="161"/>
        <v>217113.53999999911</v>
      </c>
      <c r="O104" s="113">
        <f t="shared" si="161"/>
        <v>217113.53999999911</v>
      </c>
      <c r="P104" s="17">
        <v>35532</v>
      </c>
      <c r="Q104" s="17">
        <f t="shared" si="161"/>
        <v>0</v>
      </c>
      <c r="R104" s="17">
        <f t="shared" si="141"/>
        <v>35532</v>
      </c>
      <c r="S104" s="17">
        <f t="shared" si="161"/>
        <v>362.77999999999884</v>
      </c>
      <c r="T104" s="17">
        <f t="shared" si="161"/>
        <v>12607981.789999999</v>
      </c>
      <c r="U104" s="17">
        <f t="shared" ref="H104:Z105" si="162">U105</f>
        <v>-22665.700000001118</v>
      </c>
      <c r="V104" s="17">
        <f t="shared" si="162"/>
        <v>239416.46000000022</v>
      </c>
      <c r="W104" s="17">
        <f t="shared" si="162"/>
        <v>239416.46000000022</v>
      </c>
      <c r="X104" s="17"/>
      <c r="Y104" s="17">
        <f t="shared" si="162"/>
        <v>0</v>
      </c>
      <c r="Z104" s="113" t="e">
        <f t="shared" si="162"/>
        <v>#REF!</v>
      </c>
      <c r="AA104" s="879" t="e">
        <f t="shared" si="128"/>
        <v>#DIV/0!</v>
      </c>
    </row>
    <row r="105" spans="1:27" ht="16.5" customHeight="1">
      <c r="A105" s="14" t="s">
        <v>155</v>
      </c>
      <c r="B105" s="15" t="s">
        <v>490</v>
      </c>
      <c r="C105" s="16" t="s">
        <v>0</v>
      </c>
      <c r="D105" s="16" t="s">
        <v>139</v>
      </c>
      <c r="E105" s="17">
        <f t="shared" si="161"/>
        <v>12847761.029999999</v>
      </c>
      <c r="F105" s="113"/>
      <c r="G105" s="113">
        <f t="shared" si="161"/>
        <v>0</v>
      </c>
      <c r="H105" s="17">
        <f t="shared" si="162"/>
        <v>0</v>
      </c>
      <c r="I105" s="17">
        <f t="shared" si="162"/>
        <v>0</v>
      </c>
      <c r="J105" s="113">
        <f t="shared" si="162"/>
        <v>12630647.49</v>
      </c>
      <c r="K105" s="113">
        <f t="shared" si="162"/>
        <v>35169.22</v>
      </c>
      <c r="L105" s="113">
        <f t="shared" si="162"/>
        <v>0</v>
      </c>
      <c r="M105" s="17">
        <f t="shared" si="162"/>
        <v>35169.22</v>
      </c>
      <c r="N105" s="53">
        <f t="shared" si="162"/>
        <v>217113.53999999911</v>
      </c>
      <c r="O105" s="113">
        <f t="shared" si="162"/>
        <v>217113.53999999911</v>
      </c>
      <c r="P105" s="17">
        <v>35532</v>
      </c>
      <c r="Q105" s="17">
        <f t="shared" si="162"/>
        <v>0</v>
      </c>
      <c r="R105" s="17">
        <f t="shared" si="141"/>
        <v>35532</v>
      </c>
      <c r="S105" s="17">
        <f t="shared" si="162"/>
        <v>362.77999999999884</v>
      </c>
      <c r="T105" s="17">
        <f t="shared" si="162"/>
        <v>12607981.789999999</v>
      </c>
      <c r="U105" s="17">
        <f t="shared" si="162"/>
        <v>-22665.700000001118</v>
      </c>
      <c r="V105" s="17">
        <f t="shared" si="162"/>
        <v>239416.46000000022</v>
      </c>
      <c r="W105" s="17">
        <f t="shared" si="162"/>
        <v>239416.46000000022</v>
      </c>
      <c r="X105" s="17"/>
      <c r="Y105" s="17">
        <f t="shared" si="162"/>
        <v>0</v>
      </c>
      <c r="Z105" s="113" t="e">
        <f t="shared" ref="Z105" si="163">Z106</f>
        <v>#REF!</v>
      </c>
      <c r="AA105" s="879" t="e">
        <f t="shared" si="128"/>
        <v>#DIV/0!</v>
      </c>
    </row>
    <row r="106" spans="1:27" ht="16.5" customHeight="1">
      <c r="A106" s="19" t="s">
        <v>285</v>
      </c>
      <c r="B106" s="20" t="s">
        <v>491</v>
      </c>
      <c r="C106" s="21" t="s">
        <v>0</v>
      </c>
      <c r="D106" s="21" t="s">
        <v>139</v>
      </c>
      <c r="E106" s="22">
        <f>VLOOKUP($A106,publ_fin!$A:$I,8,FALSE)</f>
        <v>12847761.029999999</v>
      </c>
      <c r="F106" s="114">
        <v>1</v>
      </c>
      <c r="G106" s="115"/>
      <c r="H106" s="22">
        <v>0</v>
      </c>
      <c r="I106" s="22">
        <f>F106*H106</f>
        <v>0</v>
      </c>
      <c r="J106" s="117">
        <v>12630647.49</v>
      </c>
      <c r="K106" s="117">
        <v>35169.22</v>
      </c>
      <c r="L106" s="117">
        <v>0</v>
      </c>
      <c r="M106" s="23">
        <f t="shared" si="139"/>
        <v>35169.22</v>
      </c>
      <c r="N106" s="54">
        <f>E106-J106</f>
        <v>217113.53999999911</v>
      </c>
      <c r="O106" s="117">
        <f>H106+N106</f>
        <v>217113.53999999911</v>
      </c>
      <c r="P106" s="23">
        <v>35532</v>
      </c>
      <c r="Q106" s="23">
        <f>IFERROR(VLOOKUP(A106,lauzti_līg!A:H,8,FALSE),0)</f>
        <v>0</v>
      </c>
      <c r="R106" s="23">
        <f t="shared" si="141"/>
        <v>35532</v>
      </c>
      <c r="S106" s="23">
        <f>R106-M106</f>
        <v>362.77999999999884</v>
      </c>
      <c r="T106" s="23">
        <f>VLOOKUP(A106,Nosl_līg!A:H,8,0)</f>
        <v>12607981.789999999</v>
      </c>
      <c r="U106" s="23">
        <f>T106-J106</f>
        <v>-22665.700000001118</v>
      </c>
      <c r="V106" s="23">
        <f>O106-S106-U106</f>
        <v>239416.46000000022</v>
      </c>
      <c r="W106" s="23">
        <f>IF(N106&gt;=S106+U106,N106-S106-U106,0)</f>
        <v>239416.46000000022</v>
      </c>
      <c r="X106" s="23"/>
      <c r="Y106" s="23">
        <f>IF(H106=0,0, IF(T106-E106+R106-M106&lt;0, 0, T106-E106+R106-M106))</f>
        <v>0</v>
      </c>
      <c r="Z106" s="117" t="e">
        <f>VLOOKUP(A106,#REF!,63,FALSE)/F106+#REF!</f>
        <v>#REF!</v>
      </c>
      <c r="AA106" s="880" t="e">
        <f t="shared" si="128"/>
        <v>#DIV/0!</v>
      </c>
    </row>
    <row r="107" spans="1:27" ht="16.5" customHeight="1">
      <c r="A107" s="34">
        <v>2</v>
      </c>
      <c r="B107" s="35" t="s">
        <v>492</v>
      </c>
      <c r="C107" s="36" t="s">
        <v>55</v>
      </c>
      <c r="D107" s="36" t="s">
        <v>1</v>
      </c>
      <c r="E107" s="37">
        <f t="shared" ref="E107:G107" si="164">E108+E128+E138+E149</f>
        <v>544793770.04000008</v>
      </c>
      <c r="F107" s="119"/>
      <c r="G107" s="119">
        <f t="shared" si="164"/>
        <v>0</v>
      </c>
      <c r="H107" s="13">
        <f t="shared" ref="H107:Y107" si="165">H108+H128+H138+H149</f>
        <v>46814550</v>
      </c>
      <c r="I107" s="37">
        <f t="shared" ref="I107:L107" si="166">I108+I128+I138+I149</f>
        <v>46814405.118455425</v>
      </c>
      <c r="J107" s="119">
        <f t="shared" si="166"/>
        <v>449619275</v>
      </c>
      <c r="K107" s="119">
        <f t="shared" si="166"/>
        <v>1531874.9100000001</v>
      </c>
      <c r="L107" s="119">
        <f t="shared" si="166"/>
        <v>43649918.289999992</v>
      </c>
      <c r="M107" s="37">
        <f t="shared" si="165"/>
        <v>45181793.200000003</v>
      </c>
      <c r="N107" s="55">
        <f t="shared" si="165"/>
        <v>95174495.039999992</v>
      </c>
      <c r="O107" s="119">
        <f t="shared" si="165"/>
        <v>141989045.04000002</v>
      </c>
      <c r="P107" s="37">
        <f t="shared" ref="P107" si="167">P108+P128+P138+P149</f>
        <v>1789635</v>
      </c>
      <c r="Q107" s="37">
        <f t="shared" si="165"/>
        <v>5595303</v>
      </c>
      <c r="R107" s="37">
        <f t="shared" si="141"/>
        <v>7384938</v>
      </c>
      <c r="S107" s="37">
        <f t="shared" ref="S107:T107" si="168">S108+S128+S138+S149</f>
        <v>6802920.5800000001</v>
      </c>
      <c r="T107" s="37">
        <f t="shared" si="168"/>
        <v>452697626.89000005</v>
      </c>
      <c r="U107" s="37">
        <f t="shared" si="165"/>
        <v>3078351.8899999894</v>
      </c>
      <c r="V107" s="37">
        <f t="shared" si="165"/>
        <v>132107772.57000001</v>
      </c>
      <c r="W107" s="37">
        <f t="shared" si="165"/>
        <v>85884131.140000001</v>
      </c>
      <c r="X107" s="37"/>
      <c r="Y107" s="37">
        <f t="shared" si="165"/>
        <v>7829105.6600000001</v>
      </c>
      <c r="Z107" s="119" t="e">
        <f t="shared" ref="Z107" si="169">Z108+Z128+Z138+Z149</f>
        <v>#REF!</v>
      </c>
      <c r="AA107" s="882">
        <f t="shared" si="128"/>
        <v>0.167236589051908</v>
      </c>
    </row>
    <row r="108" spans="1:27" ht="16.5" customHeight="1">
      <c r="A108" s="14" t="s">
        <v>146</v>
      </c>
      <c r="B108" s="15" t="s">
        <v>493</v>
      </c>
      <c r="C108" s="16"/>
      <c r="D108" s="16"/>
      <c r="E108" s="17">
        <f t="shared" ref="E108:G108" si="170">E109+E115</f>
        <v>351120609.92000002</v>
      </c>
      <c r="F108" s="113"/>
      <c r="G108" s="113">
        <f t="shared" si="170"/>
        <v>0</v>
      </c>
      <c r="H108" s="17">
        <f t="shared" ref="H108:Y108" si="171">H109+H115</f>
        <v>40814550</v>
      </c>
      <c r="I108" s="17">
        <f t="shared" ref="I108:L108" si="172">I109+I115</f>
        <v>40814405.118455425</v>
      </c>
      <c r="J108" s="113">
        <f t="shared" si="172"/>
        <v>246765222.30000001</v>
      </c>
      <c r="K108" s="113">
        <f t="shared" si="172"/>
        <v>985747.34000000008</v>
      </c>
      <c r="L108" s="113">
        <f t="shared" si="172"/>
        <v>30084453.299999997</v>
      </c>
      <c r="M108" s="17">
        <f t="shared" si="171"/>
        <v>31070200.640000001</v>
      </c>
      <c r="N108" s="53">
        <f t="shared" si="171"/>
        <v>104355387.62</v>
      </c>
      <c r="O108" s="113">
        <f t="shared" si="171"/>
        <v>145169937.62</v>
      </c>
      <c r="P108" s="17">
        <f t="shared" ref="P108" si="173">P109+P115</f>
        <v>1700145</v>
      </c>
      <c r="Q108" s="17">
        <f t="shared" si="171"/>
        <v>5595303</v>
      </c>
      <c r="R108" s="17">
        <f t="shared" si="141"/>
        <v>7295448</v>
      </c>
      <c r="S108" s="17">
        <f t="shared" ref="S108:T108" si="174">S109+S115</f>
        <v>6797420.8300000001</v>
      </c>
      <c r="T108" s="17">
        <f t="shared" si="174"/>
        <v>274791717.21999997</v>
      </c>
      <c r="U108" s="17">
        <f t="shared" si="171"/>
        <v>28026494.919999987</v>
      </c>
      <c r="V108" s="17">
        <f t="shared" si="171"/>
        <v>110346021.87000002</v>
      </c>
      <c r="W108" s="17">
        <f t="shared" si="171"/>
        <v>70122380.440000013</v>
      </c>
      <c r="X108" s="17"/>
      <c r="Y108" s="17">
        <f t="shared" si="171"/>
        <v>7829105.6600000001</v>
      </c>
      <c r="Z108" s="113" t="e">
        <f t="shared" ref="Z108" si="175">Z109+Z115</f>
        <v>#REF!</v>
      </c>
      <c r="AA108" s="879">
        <f t="shared" si="128"/>
        <v>0.1918214376980758</v>
      </c>
    </row>
    <row r="109" spans="1:27" ht="16.5" customHeight="1">
      <c r="A109" s="14" t="s">
        <v>56</v>
      </c>
      <c r="B109" s="15" t="s">
        <v>494</v>
      </c>
      <c r="C109" s="16" t="s">
        <v>55</v>
      </c>
      <c r="D109" s="16" t="s">
        <v>5</v>
      </c>
      <c r="E109" s="17">
        <f t="shared" ref="E109:G109" si="176">E110+E111+E112</f>
        <v>156013039.5</v>
      </c>
      <c r="F109" s="113"/>
      <c r="G109" s="113">
        <f t="shared" si="176"/>
        <v>0</v>
      </c>
      <c r="H109" s="17">
        <f t="shared" ref="H109:Y109" si="177">H110+H111+H112</f>
        <v>5418</v>
      </c>
      <c r="I109" s="17">
        <f t="shared" ref="I109:L109" si="178">I110+I111+I112</f>
        <v>5273.1184554231786</v>
      </c>
      <c r="J109" s="113">
        <f t="shared" si="178"/>
        <v>112903984</v>
      </c>
      <c r="K109" s="113">
        <f t="shared" si="178"/>
        <v>159827.16999999998</v>
      </c>
      <c r="L109" s="113">
        <f t="shared" si="178"/>
        <v>338200</v>
      </c>
      <c r="M109" s="17">
        <f t="shared" si="177"/>
        <v>498027.17000000004</v>
      </c>
      <c r="N109" s="53">
        <f t="shared" si="177"/>
        <v>43109055.500000007</v>
      </c>
      <c r="O109" s="113">
        <f t="shared" si="177"/>
        <v>43114473.500000007</v>
      </c>
      <c r="P109" s="17">
        <f t="shared" ref="P109" si="179">P110+P111+P112</f>
        <v>1700145</v>
      </c>
      <c r="Q109" s="17">
        <f t="shared" si="177"/>
        <v>5595303</v>
      </c>
      <c r="R109" s="17">
        <f t="shared" si="141"/>
        <v>7295448</v>
      </c>
      <c r="S109" s="17">
        <f t="shared" ref="S109" si="180">S110+S111+S112</f>
        <v>6797420.8300000001</v>
      </c>
      <c r="T109" s="17">
        <f>T110+T111+T112</f>
        <v>133177126.7</v>
      </c>
      <c r="U109" s="17">
        <f t="shared" si="177"/>
        <v>20273142.699999999</v>
      </c>
      <c r="V109" s="17">
        <f t="shared" si="177"/>
        <v>16043909.970000008</v>
      </c>
      <c r="W109" s="17">
        <f t="shared" si="177"/>
        <v>16629400.540000001</v>
      </c>
      <c r="X109" s="17"/>
      <c r="Y109" s="17">
        <f t="shared" si="177"/>
        <v>0</v>
      </c>
      <c r="Z109" s="113" t="e">
        <f t="shared" ref="Z109" si="181">Z110+Z111+Z112</f>
        <v>#REF!</v>
      </c>
      <c r="AA109" s="879">
        <f t="shared" si="128"/>
        <v>0</v>
      </c>
    </row>
    <row r="110" spans="1:27" ht="16.5" customHeight="1">
      <c r="A110" s="19" t="s">
        <v>287</v>
      </c>
      <c r="B110" s="20" t="s">
        <v>495</v>
      </c>
      <c r="C110" s="21" t="s">
        <v>55</v>
      </c>
      <c r="D110" s="21" t="s">
        <v>5</v>
      </c>
      <c r="E110" s="22">
        <f>VLOOKUP($A110,publ_fin!$A:$I,8,FALSE)</f>
        <v>53275863.240000002</v>
      </c>
      <c r="F110" s="114">
        <v>0.97325922027005873</v>
      </c>
      <c r="G110" s="115"/>
      <c r="H110" s="22">
        <v>5418</v>
      </c>
      <c r="I110" s="22">
        <f>F110*H110</f>
        <v>5273.1184554231786</v>
      </c>
      <c r="J110" s="117">
        <v>33601038</v>
      </c>
      <c r="K110" s="117">
        <v>108965.7</v>
      </c>
      <c r="L110" s="117">
        <v>338200</v>
      </c>
      <c r="M110" s="23">
        <f t="shared" si="139"/>
        <v>447165.7</v>
      </c>
      <c r="N110" s="54">
        <f>E110-J110</f>
        <v>19674825.240000002</v>
      </c>
      <c r="O110" s="117">
        <f>H110+N110</f>
        <v>19680243.240000002</v>
      </c>
      <c r="P110" s="23">
        <v>681292</v>
      </c>
      <c r="Q110" s="23">
        <f>IFERROR(VLOOKUP(A110,lauzti_līg!A:H,8,FALSE),0)</f>
        <v>338200</v>
      </c>
      <c r="R110" s="23">
        <f t="shared" si="141"/>
        <v>1019492</v>
      </c>
      <c r="S110" s="23">
        <f>R110-M110</f>
        <v>572326.30000000005</v>
      </c>
      <c r="T110" s="23">
        <f>VLOOKUP(A110,Nosl_līg!A:H,8,0)</f>
        <v>36450323.890000001</v>
      </c>
      <c r="U110" s="23">
        <f>T110-J110</f>
        <v>2849285.8900000006</v>
      </c>
      <c r="V110" s="23">
        <f>O110-S110-U110</f>
        <v>16258631.050000001</v>
      </c>
      <c r="W110" s="23">
        <f>IF(N110&gt;=S110+U110,N110-S110-U110,0)</f>
        <v>16253213.050000001</v>
      </c>
      <c r="X110" s="23"/>
      <c r="Y110" s="23">
        <f>IF(H110=0,0, IF(T110-E110+R110-M110&lt;0, 0, T110-E110+R110-M110))</f>
        <v>0</v>
      </c>
      <c r="Z110" s="117" t="e">
        <f>VLOOKUP(A110,#REF!,63,FALSE)/F110+#REF!</f>
        <v>#REF!</v>
      </c>
      <c r="AA110" s="880">
        <f t="shared" si="128"/>
        <v>0</v>
      </c>
    </row>
    <row r="111" spans="1:27" ht="16.5" customHeight="1">
      <c r="A111" s="19" t="s">
        <v>289</v>
      </c>
      <c r="B111" s="20" t="s">
        <v>496</v>
      </c>
      <c r="C111" s="21" t="s">
        <v>55</v>
      </c>
      <c r="D111" s="21" t="s">
        <v>5</v>
      </c>
      <c r="E111" s="22">
        <f>VLOOKUP($A111,publ_fin!$A:$I,8,FALSE)</f>
        <v>4366559.91</v>
      </c>
      <c r="F111" s="114">
        <v>1</v>
      </c>
      <c r="G111" s="115"/>
      <c r="H111" s="22">
        <v>0</v>
      </c>
      <c r="I111" s="22">
        <f>F111*H111</f>
        <v>0</v>
      </c>
      <c r="J111" s="117">
        <v>4144512</v>
      </c>
      <c r="K111" s="117">
        <v>50861.47</v>
      </c>
      <c r="L111" s="117">
        <v>0</v>
      </c>
      <c r="M111" s="23">
        <f t="shared" si="139"/>
        <v>50861.47</v>
      </c>
      <c r="N111" s="54">
        <f>E111-J111</f>
        <v>222047.91000000015</v>
      </c>
      <c r="O111" s="117">
        <f>H111+N111</f>
        <v>222047.91000000015</v>
      </c>
      <c r="P111" s="23">
        <v>126974</v>
      </c>
      <c r="Q111" s="23">
        <f>IFERROR(VLOOKUP(A111,lauzti_līg!A:H,8,FALSE),0)</f>
        <v>0</v>
      </c>
      <c r="R111" s="23">
        <f t="shared" si="141"/>
        <v>126974</v>
      </c>
      <c r="S111" s="23">
        <f>R111-M111</f>
        <v>76112.53</v>
      </c>
      <c r="T111" s="23">
        <f>VLOOKUP(A111,Nosl_līg!A:H,8,0)</f>
        <v>3914260.09</v>
      </c>
      <c r="U111" s="23">
        <f>T111-J111</f>
        <v>-230251.91000000015</v>
      </c>
      <c r="V111" s="23">
        <f>O111-S111-U111</f>
        <v>376187.29000000027</v>
      </c>
      <c r="W111" s="23">
        <f>IF(N111&gt;=S111+U111,N111-S111-U111,0)</f>
        <v>376187.29000000027</v>
      </c>
      <c r="X111" s="23"/>
      <c r="Y111" s="23">
        <f>IF(H111=0,0, IF(T111-E111+R111-M111&lt;0, 0, T111-E111+R111-M111))</f>
        <v>0</v>
      </c>
      <c r="Z111" s="117" t="e">
        <f>VLOOKUP(A111,#REF!,63,FALSE)/F111+#REF!</f>
        <v>#REF!</v>
      </c>
      <c r="AA111" s="880" t="e">
        <f t="shared" si="128"/>
        <v>#DIV/0!</v>
      </c>
    </row>
    <row r="112" spans="1:27" ht="16.5" customHeight="1">
      <c r="A112" s="19" t="s">
        <v>57</v>
      </c>
      <c r="B112" s="20" t="s">
        <v>497</v>
      </c>
      <c r="C112" s="21" t="s">
        <v>55</v>
      </c>
      <c r="D112" s="21" t="s">
        <v>5</v>
      </c>
      <c r="E112" s="23">
        <f t="shared" ref="E112:Z112" si="182">E113+E114</f>
        <v>98370616.350000009</v>
      </c>
      <c r="F112" s="116"/>
      <c r="G112" s="116">
        <f t="shared" si="182"/>
        <v>0</v>
      </c>
      <c r="H112" s="23">
        <f t="shared" si="182"/>
        <v>0</v>
      </c>
      <c r="I112" s="18">
        <f t="shared" si="182"/>
        <v>0</v>
      </c>
      <c r="J112" s="116">
        <f t="shared" si="182"/>
        <v>75158434</v>
      </c>
      <c r="K112" s="116">
        <f t="shared" si="182"/>
        <v>0</v>
      </c>
      <c r="L112" s="116">
        <f t="shared" si="182"/>
        <v>0</v>
      </c>
      <c r="M112" s="18">
        <f t="shared" si="182"/>
        <v>0</v>
      </c>
      <c r="N112" s="54">
        <f t="shared" si="182"/>
        <v>23212182.350000005</v>
      </c>
      <c r="O112" s="116">
        <f t="shared" si="182"/>
        <v>23212182.350000005</v>
      </c>
      <c r="P112" s="18">
        <v>891879</v>
      </c>
      <c r="Q112" s="18">
        <f t="shared" si="182"/>
        <v>5257103</v>
      </c>
      <c r="R112" s="18">
        <f t="shared" si="141"/>
        <v>6148982</v>
      </c>
      <c r="S112" s="18">
        <f t="shared" si="182"/>
        <v>6148982</v>
      </c>
      <c r="T112" s="23">
        <f>T113+T114</f>
        <v>92812542.719999999</v>
      </c>
      <c r="U112" s="18">
        <f t="shared" si="182"/>
        <v>17654108.719999999</v>
      </c>
      <c r="V112" s="18">
        <f t="shared" si="182"/>
        <v>-590908.36999999359</v>
      </c>
      <c r="W112" s="18">
        <f t="shared" si="182"/>
        <v>0.19999999925494194</v>
      </c>
      <c r="X112" s="18"/>
      <c r="Y112" s="18">
        <f t="shared" si="182"/>
        <v>0</v>
      </c>
      <c r="Z112" s="116" t="e">
        <f t="shared" si="182"/>
        <v>#REF!</v>
      </c>
      <c r="AA112" s="881" t="e">
        <f t="shared" si="128"/>
        <v>#DIV/0!</v>
      </c>
    </row>
    <row r="113" spans="1:27" ht="16.5" customHeight="1">
      <c r="A113" s="19" t="s">
        <v>58</v>
      </c>
      <c r="B113" s="20" t="s">
        <v>498</v>
      </c>
      <c r="C113" s="21" t="s">
        <v>55</v>
      </c>
      <c r="D113" s="21" t="s">
        <v>5</v>
      </c>
      <c r="E113" s="22">
        <f>VLOOKUP($A113,publ_fin!$A:$I,8,FALSE)</f>
        <v>87856253.150000006</v>
      </c>
      <c r="F113" s="114">
        <v>0.98997639568464757</v>
      </c>
      <c r="G113" s="115"/>
      <c r="H113" s="22">
        <v>0</v>
      </c>
      <c r="I113" s="22">
        <f>F113*H113</f>
        <v>0</v>
      </c>
      <c r="J113" s="117">
        <v>64644071</v>
      </c>
      <c r="K113" s="117">
        <v>0</v>
      </c>
      <c r="L113" s="117">
        <v>0</v>
      </c>
      <c r="M113" s="23">
        <f t="shared" si="139"/>
        <v>0</v>
      </c>
      <c r="N113" s="54">
        <f>E113-J113</f>
        <v>23212182.150000006</v>
      </c>
      <c r="O113" s="117">
        <f>H113+N113</f>
        <v>23212182.150000006</v>
      </c>
      <c r="P113" s="23">
        <v>891879</v>
      </c>
      <c r="Q113" s="23">
        <f>IFERROR(VLOOKUP(A113,lauzti_līg!A:H,8,FALSE),0)</f>
        <v>5257103</v>
      </c>
      <c r="R113" s="23">
        <f t="shared" si="141"/>
        <v>6148982</v>
      </c>
      <c r="S113" s="23">
        <f>R113-M113</f>
        <v>6148982</v>
      </c>
      <c r="T113" s="23">
        <f>VLOOKUP(A113,Nosl_līg!A:H,8,0)</f>
        <v>82298179.719999999</v>
      </c>
      <c r="U113" s="23">
        <f>T113-J113</f>
        <v>17654108.719999999</v>
      </c>
      <c r="V113" s="23">
        <f>O113-S113-U113</f>
        <v>-590908.56999999285</v>
      </c>
      <c r="W113" s="23">
        <f>IF(N113&gt;=S113+U113,N113-S113-U113,0)</f>
        <v>0</v>
      </c>
      <c r="X113" s="23"/>
      <c r="Y113" s="23">
        <f>IF(H113=0,0, IF(T113-E113+R113-M113&lt;0, 0, T113-E113+R113-M113))</f>
        <v>0</v>
      </c>
      <c r="Z113" s="117" t="e">
        <f>VLOOKUP(A113,#REF!,63,FALSE)/F113+#REF!</f>
        <v>#REF!</v>
      </c>
      <c r="AA113" s="880" t="e">
        <f t="shared" si="128"/>
        <v>#DIV/0!</v>
      </c>
    </row>
    <row r="114" spans="1:27" ht="16.5" customHeight="1">
      <c r="A114" s="19" t="s">
        <v>59</v>
      </c>
      <c r="B114" s="20" t="s">
        <v>499</v>
      </c>
      <c r="C114" s="21" t="s">
        <v>55</v>
      </c>
      <c r="D114" s="21" t="s">
        <v>5</v>
      </c>
      <c r="E114" s="22">
        <f>VLOOKUP($A114,publ_fin!$A:$I,8,FALSE)</f>
        <v>10514363.199999999</v>
      </c>
      <c r="F114" s="114">
        <v>1</v>
      </c>
      <c r="G114" s="115"/>
      <c r="H114" s="22">
        <v>0</v>
      </c>
      <c r="I114" s="22">
        <f>F114*H114</f>
        <v>0</v>
      </c>
      <c r="J114" s="117">
        <v>10514363</v>
      </c>
      <c r="K114" s="117">
        <v>0</v>
      </c>
      <c r="L114" s="117">
        <v>0</v>
      </c>
      <c r="M114" s="23">
        <f t="shared" si="139"/>
        <v>0</v>
      </c>
      <c r="N114" s="54">
        <f>E114-J114</f>
        <v>0.19999999925494194</v>
      </c>
      <c r="O114" s="117">
        <f>H114+N114</f>
        <v>0.19999999925494194</v>
      </c>
      <c r="P114" s="23">
        <v>0</v>
      </c>
      <c r="Q114" s="23">
        <f>IFERROR(VLOOKUP(A114,lauzti_līg!A:H,8,FALSE),0)</f>
        <v>0</v>
      </c>
      <c r="R114" s="23">
        <f t="shared" si="141"/>
        <v>0</v>
      </c>
      <c r="S114" s="23">
        <f>R114-M114</f>
        <v>0</v>
      </c>
      <c r="T114" s="23">
        <f>VLOOKUP(A114,Nosl_līg!A:H,8,0)</f>
        <v>10514363</v>
      </c>
      <c r="U114" s="23">
        <f>T114-J114</f>
        <v>0</v>
      </c>
      <c r="V114" s="23">
        <f>O114-S114-U114</f>
        <v>0.19999999925494194</v>
      </c>
      <c r="W114" s="23">
        <f>IF(N114&gt;=S114+U114,N114-S114-U114,0)</f>
        <v>0.19999999925494194</v>
      </c>
      <c r="X114" s="23"/>
      <c r="Y114" s="23">
        <f>IF(H114=0,0, IF(T114-E114+R114-M114&lt;0, 0, T114-E114+R114-M114))</f>
        <v>0</v>
      </c>
      <c r="Z114" s="117" t="e">
        <f>VLOOKUP(A114,#REF!,63,FALSE)/F114+#REF!</f>
        <v>#REF!</v>
      </c>
      <c r="AA114" s="880" t="e">
        <f t="shared" si="128"/>
        <v>#DIV/0!</v>
      </c>
    </row>
    <row r="115" spans="1:27" ht="16.5" customHeight="1">
      <c r="A115" s="14" t="s">
        <v>60</v>
      </c>
      <c r="B115" s="15" t="s">
        <v>500</v>
      </c>
      <c r="C115" s="16" t="s">
        <v>55</v>
      </c>
      <c r="D115" s="16" t="s">
        <v>137</v>
      </c>
      <c r="E115" s="17">
        <f t="shared" ref="E115:G115" si="183">E116+E120+E125+E127</f>
        <v>195107570.42000002</v>
      </c>
      <c r="F115" s="113"/>
      <c r="G115" s="113">
        <f t="shared" si="183"/>
        <v>0</v>
      </c>
      <c r="H115" s="17">
        <f t="shared" ref="H115:Y115" si="184">H116+H120+H125+H127</f>
        <v>40809132</v>
      </c>
      <c r="I115" s="17">
        <f t="shared" ref="I115:L115" si="185">I116+I120+I125+I127</f>
        <v>40809132</v>
      </c>
      <c r="J115" s="113">
        <f t="shared" si="185"/>
        <v>133861238.3</v>
      </c>
      <c r="K115" s="113">
        <f t="shared" si="185"/>
        <v>825920.17</v>
      </c>
      <c r="L115" s="113">
        <f t="shared" si="185"/>
        <v>29746253.299999997</v>
      </c>
      <c r="M115" s="17">
        <f t="shared" si="184"/>
        <v>30572173.469999999</v>
      </c>
      <c r="N115" s="53">
        <f t="shared" si="184"/>
        <v>61246332.119999997</v>
      </c>
      <c r="O115" s="113">
        <f t="shared" si="184"/>
        <v>102055464.11999999</v>
      </c>
      <c r="P115" s="929">
        <v>0</v>
      </c>
      <c r="Q115" s="929">
        <f t="shared" si="184"/>
        <v>0</v>
      </c>
      <c r="R115" s="929">
        <f t="shared" si="141"/>
        <v>0</v>
      </c>
      <c r="S115" s="929">
        <f t="shared" ref="S115:T115" si="186">S116+S120+S125+S127</f>
        <v>0</v>
      </c>
      <c r="T115" s="17">
        <f t="shared" si="186"/>
        <v>141614590.51999998</v>
      </c>
      <c r="U115" s="17">
        <f t="shared" si="184"/>
        <v>7753352.2199999876</v>
      </c>
      <c r="V115" s="17">
        <f t="shared" si="184"/>
        <v>94302111.900000006</v>
      </c>
      <c r="W115" s="17">
        <f t="shared" si="184"/>
        <v>53492979.900000006</v>
      </c>
      <c r="X115" s="17"/>
      <c r="Y115" s="17">
        <f t="shared" si="184"/>
        <v>7829105.6600000001</v>
      </c>
      <c r="Z115" s="113" t="e">
        <f t="shared" ref="Z115" si="187">Z116+Z120+Z125+Z127</f>
        <v>#REF!</v>
      </c>
      <c r="AA115" s="879">
        <f t="shared" si="128"/>
        <v>0.19184690475651381</v>
      </c>
    </row>
    <row r="116" spans="1:27" ht="16.5" customHeight="1">
      <c r="A116" s="19" t="s">
        <v>61</v>
      </c>
      <c r="B116" s="20" t="s">
        <v>501</v>
      </c>
      <c r="C116" s="21" t="s">
        <v>55</v>
      </c>
      <c r="D116" s="21" t="s">
        <v>137</v>
      </c>
      <c r="E116" s="23">
        <f t="shared" ref="E116:G116" si="188">E117+E118+E119</f>
        <v>39280168.170000002</v>
      </c>
      <c r="F116" s="116"/>
      <c r="G116" s="116">
        <f t="shared" si="188"/>
        <v>0</v>
      </c>
      <c r="H116" s="23">
        <f t="shared" ref="H116:Y116" si="189">H117+H118+H119</f>
        <v>0</v>
      </c>
      <c r="I116" s="18">
        <f t="shared" ref="I116:L116" si="190">I117+I118+I119</f>
        <v>0</v>
      </c>
      <c r="J116" s="116">
        <f t="shared" si="190"/>
        <v>39069440.390000001</v>
      </c>
      <c r="K116" s="116">
        <f t="shared" si="190"/>
        <v>15534.16</v>
      </c>
      <c r="L116" s="116">
        <f t="shared" si="190"/>
        <v>0</v>
      </c>
      <c r="M116" s="18">
        <f t="shared" si="189"/>
        <v>15534.16</v>
      </c>
      <c r="N116" s="54">
        <f t="shared" si="189"/>
        <v>210727.78000000049</v>
      </c>
      <c r="O116" s="116">
        <f t="shared" si="189"/>
        <v>210727.78000000049</v>
      </c>
      <c r="P116" s="927">
        <v>0</v>
      </c>
      <c r="Q116" s="927">
        <f t="shared" si="189"/>
        <v>0</v>
      </c>
      <c r="R116" s="927">
        <f t="shared" si="141"/>
        <v>0</v>
      </c>
      <c r="S116" s="927">
        <v>0</v>
      </c>
      <c r="T116" s="23">
        <f>T117+T118+T119</f>
        <v>39259554.549999997</v>
      </c>
      <c r="U116" s="18">
        <f t="shared" si="189"/>
        <v>190114.15999999596</v>
      </c>
      <c r="V116" s="18">
        <f t="shared" si="189"/>
        <v>20613.620000004536</v>
      </c>
      <c r="W116" s="18">
        <f t="shared" si="189"/>
        <v>20613.620000004536</v>
      </c>
      <c r="X116" s="18"/>
      <c r="Y116" s="18">
        <f t="shared" si="189"/>
        <v>0</v>
      </c>
      <c r="Z116" s="116" t="e">
        <f t="shared" ref="Z116" si="191">Z117+Z118+Z119</f>
        <v>#REF!</v>
      </c>
      <c r="AA116" s="881" t="e">
        <f t="shared" si="128"/>
        <v>#DIV/0!</v>
      </c>
    </row>
    <row r="117" spans="1:27" ht="16.5" customHeight="1">
      <c r="A117" s="19" t="s">
        <v>162</v>
      </c>
      <c r="B117" s="20" t="s">
        <v>502</v>
      </c>
      <c r="C117" s="21" t="s">
        <v>55</v>
      </c>
      <c r="D117" s="21" t="s">
        <v>137</v>
      </c>
      <c r="E117" s="22">
        <f>VLOOKUP($A117,publ_fin!$A:$I,8,FALSE)</f>
        <v>37373845.350000001</v>
      </c>
      <c r="F117" s="114">
        <v>1</v>
      </c>
      <c r="G117" s="115"/>
      <c r="H117" s="22">
        <v>0</v>
      </c>
      <c r="I117" s="22">
        <f>F117*H117</f>
        <v>0</v>
      </c>
      <c r="J117" s="117">
        <v>37373552.460000001</v>
      </c>
      <c r="K117" s="117">
        <v>18.760000000000002</v>
      </c>
      <c r="L117" s="117">
        <v>0</v>
      </c>
      <c r="M117" s="23">
        <f t="shared" si="139"/>
        <v>18.760000000000002</v>
      </c>
      <c r="N117" s="54">
        <f>E117-J117</f>
        <v>292.89000000059605</v>
      </c>
      <c r="O117" s="117">
        <f>H117+N117</f>
        <v>292.89000000059605</v>
      </c>
      <c r="P117" s="927">
        <v>0</v>
      </c>
      <c r="Q117" s="928">
        <f>IFERROR(VLOOKUP(A117,lauzti_līg!A:H,8,FALSE),0)</f>
        <v>0</v>
      </c>
      <c r="R117" s="928">
        <f t="shared" si="141"/>
        <v>0</v>
      </c>
      <c r="S117" s="928">
        <v>0</v>
      </c>
      <c r="T117" s="23">
        <f>VLOOKUP(A117,Nosl_līg!A:H,8,0)</f>
        <v>37373530.799999997</v>
      </c>
      <c r="U117" s="23">
        <f>T117-J117</f>
        <v>-21.660000003874302</v>
      </c>
      <c r="V117" s="23">
        <f>O117-S117-U117</f>
        <v>314.55000000447035</v>
      </c>
      <c r="W117" s="23">
        <f>IF(N117&gt;=S117+U117,N117-S117-U117,0)</f>
        <v>314.55000000447035</v>
      </c>
      <c r="X117" s="23"/>
      <c r="Y117" s="23">
        <f>IF(H117=0,0, IF(T117-E117+R117-M117&lt;0, 0, T117-E117+R117-M117))</f>
        <v>0</v>
      </c>
      <c r="Z117" s="117" t="e">
        <f>VLOOKUP(A117,#REF!,63,FALSE)/F117+#REF!</f>
        <v>#REF!</v>
      </c>
      <c r="AA117" s="880" t="e">
        <f t="shared" si="128"/>
        <v>#DIV/0!</v>
      </c>
    </row>
    <row r="118" spans="1:27" ht="16.5" customHeight="1">
      <c r="A118" s="19" t="s">
        <v>206</v>
      </c>
      <c r="B118" s="20" t="s">
        <v>503</v>
      </c>
      <c r="C118" s="21" t="s">
        <v>55</v>
      </c>
      <c r="D118" s="21" t="s">
        <v>137</v>
      </c>
      <c r="E118" s="22">
        <f>VLOOKUP($A118,publ_fin!$A:$I,8,FALSE)</f>
        <v>1906322.82</v>
      </c>
      <c r="F118" s="114">
        <v>1</v>
      </c>
      <c r="G118" s="115"/>
      <c r="H118" s="22">
        <v>0</v>
      </c>
      <c r="I118" s="22">
        <f>F118*H118</f>
        <v>0</v>
      </c>
      <c r="J118" s="117">
        <v>1695887.9300000002</v>
      </c>
      <c r="K118" s="117">
        <v>15515.4</v>
      </c>
      <c r="L118" s="117">
        <v>0</v>
      </c>
      <c r="M118" s="23">
        <f t="shared" si="139"/>
        <v>15515.4</v>
      </c>
      <c r="N118" s="54">
        <f>E118-J118</f>
        <v>210434.8899999999</v>
      </c>
      <c r="O118" s="117">
        <f>H118+N118</f>
        <v>210434.8899999999</v>
      </c>
      <c r="P118" s="927">
        <v>0</v>
      </c>
      <c r="Q118" s="928">
        <f>IFERROR(VLOOKUP(A118,lauzti_līg!A:H,8,FALSE),0)</f>
        <v>0</v>
      </c>
      <c r="R118" s="928">
        <f t="shared" si="141"/>
        <v>0</v>
      </c>
      <c r="S118" s="928">
        <v>0</v>
      </c>
      <c r="T118" s="23">
        <f>VLOOKUP(A118,Nosl_līg!A:H,8,0)</f>
        <v>1886023.75</v>
      </c>
      <c r="U118" s="23">
        <f>T118-J118</f>
        <v>190135.81999999983</v>
      </c>
      <c r="V118" s="23">
        <f>O118-S118-U118</f>
        <v>20299.070000000065</v>
      </c>
      <c r="W118" s="23">
        <f>IF(N118&gt;=S118+U118,N118-S118-U118,0)</f>
        <v>20299.070000000065</v>
      </c>
      <c r="X118" s="23"/>
      <c r="Y118" s="23">
        <f>IF(H118=0,0, IF(T118-E118+R118-M118&lt;0, 0, T118-E118+R118-M118))</f>
        <v>0</v>
      </c>
      <c r="Z118" s="117" t="e">
        <f>VLOOKUP(A118,#REF!,63,FALSE)/F118+#REF!</f>
        <v>#REF!</v>
      </c>
      <c r="AA118" s="880" t="e">
        <f t="shared" si="128"/>
        <v>#DIV/0!</v>
      </c>
    </row>
    <row r="119" spans="1:27" ht="16.5" customHeight="1">
      <c r="A119" s="19" t="s">
        <v>62</v>
      </c>
      <c r="B119" s="20" t="s">
        <v>504</v>
      </c>
      <c r="C119" s="21" t="s">
        <v>55</v>
      </c>
      <c r="D119" s="21" t="s">
        <v>137</v>
      </c>
      <c r="E119" s="22">
        <f>VLOOKUP($A119,publ_fin!$A:$I,8,FALSE)</f>
        <v>0</v>
      </c>
      <c r="F119" s="114">
        <v>0</v>
      </c>
      <c r="G119" s="115"/>
      <c r="H119" s="22">
        <v>0</v>
      </c>
      <c r="I119" s="22">
        <f>F119*H119</f>
        <v>0</v>
      </c>
      <c r="J119" s="117">
        <v>0</v>
      </c>
      <c r="K119" s="117">
        <v>0</v>
      </c>
      <c r="L119" s="117">
        <v>0</v>
      </c>
      <c r="M119" s="23">
        <f t="shared" si="139"/>
        <v>0</v>
      </c>
      <c r="N119" s="54">
        <f>E119-J119</f>
        <v>0</v>
      </c>
      <c r="O119" s="117">
        <f>H119+N119</f>
        <v>0</v>
      </c>
      <c r="P119" s="927">
        <v>0</v>
      </c>
      <c r="Q119" s="928">
        <f>IFERROR(VLOOKUP(A119,lauzti_līg!A:H,8,FALSE),0)</f>
        <v>0</v>
      </c>
      <c r="R119" s="928">
        <f t="shared" si="141"/>
        <v>0</v>
      </c>
      <c r="S119" s="928">
        <f>R119-M119</f>
        <v>0</v>
      </c>
      <c r="T119" s="23">
        <v>0</v>
      </c>
      <c r="U119" s="23">
        <f>T119-J119</f>
        <v>0</v>
      </c>
      <c r="V119" s="23">
        <f>O119-S119-U119</f>
        <v>0</v>
      </c>
      <c r="W119" s="23">
        <f>IF(N119&gt;=S119+U119,N119-S119-U119,0)</f>
        <v>0</v>
      </c>
      <c r="X119" s="23"/>
      <c r="Y119" s="23">
        <f>IF(H119=0,0, IF(T119-E119+R119-M119&lt;0, 0, T119-E119+R119-M119))</f>
        <v>0</v>
      </c>
      <c r="Z119" s="117">
        <v>0</v>
      </c>
      <c r="AA119" s="880" t="e">
        <f t="shared" si="128"/>
        <v>#DIV/0!</v>
      </c>
    </row>
    <row r="120" spans="1:27" ht="16.5" customHeight="1">
      <c r="A120" s="19" t="s">
        <v>63</v>
      </c>
      <c r="B120" s="20" t="s">
        <v>505</v>
      </c>
      <c r="C120" s="21" t="s">
        <v>55</v>
      </c>
      <c r="D120" s="21" t="s">
        <v>137</v>
      </c>
      <c r="E120" s="23">
        <f t="shared" ref="E120:Z120" si="192">E121+E122+E123+E124</f>
        <v>48769572.549999997</v>
      </c>
      <c r="F120" s="116"/>
      <c r="G120" s="116">
        <f t="shared" si="192"/>
        <v>0</v>
      </c>
      <c r="H120" s="23">
        <f t="shared" si="192"/>
        <v>0</v>
      </c>
      <c r="I120" s="18">
        <f t="shared" si="192"/>
        <v>0</v>
      </c>
      <c r="J120" s="116">
        <f t="shared" si="192"/>
        <v>45891594.990000002</v>
      </c>
      <c r="K120" s="116">
        <f t="shared" si="192"/>
        <v>808431.1</v>
      </c>
      <c r="L120" s="116">
        <f t="shared" si="192"/>
        <v>7702771.1199999992</v>
      </c>
      <c r="M120" s="18">
        <f t="shared" si="192"/>
        <v>8511202.2200000007</v>
      </c>
      <c r="N120" s="54">
        <f t="shared" si="192"/>
        <v>2877977.559999994</v>
      </c>
      <c r="O120" s="116">
        <f t="shared" si="192"/>
        <v>2877977.559999994</v>
      </c>
      <c r="P120" s="927">
        <v>0</v>
      </c>
      <c r="Q120" s="927">
        <v>0</v>
      </c>
      <c r="R120" s="927">
        <f t="shared" si="141"/>
        <v>0</v>
      </c>
      <c r="S120" s="927">
        <f t="shared" si="192"/>
        <v>0</v>
      </c>
      <c r="T120" s="23">
        <f>T121+T122+T123+T124</f>
        <v>32515031</v>
      </c>
      <c r="U120" s="18">
        <f t="shared" si="192"/>
        <v>-13376563.990000006</v>
      </c>
      <c r="V120" s="18">
        <f t="shared" si="192"/>
        <v>16254541.550000001</v>
      </c>
      <c r="W120" s="18">
        <f t="shared" si="192"/>
        <v>16254541.550000001</v>
      </c>
      <c r="X120" s="18"/>
      <c r="Y120" s="18">
        <f t="shared" si="192"/>
        <v>0</v>
      </c>
      <c r="Z120" s="116" t="e">
        <f t="shared" si="192"/>
        <v>#REF!</v>
      </c>
      <c r="AA120" s="881" t="e">
        <f t="shared" si="128"/>
        <v>#DIV/0!</v>
      </c>
    </row>
    <row r="121" spans="1:27" ht="16.5" customHeight="1">
      <c r="A121" s="19" t="s">
        <v>295</v>
      </c>
      <c r="B121" s="20" t="s">
        <v>506</v>
      </c>
      <c r="C121" s="21" t="s">
        <v>55</v>
      </c>
      <c r="D121" s="21" t="s">
        <v>137</v>
      </c>
      <c r="E121" s="22">
        <f>VLOOKUP($A121,publ_fin!$A:$I,8,FALSE)</f>
        <v>7295504.0099999998</v>
      </c>
      <c r="F121" s="114">
        <v>1</v>
      </c>
      <c r="G121" s="115"/>
      <c r="H121" s="22">
        <v>0</v>
      </c>
      <c r="I121" s="22">
        <f>F121*H121</f>
        <v>0</v>
      </c>
      <c r="J121" s="117">
        <v>6571293.9800000004</v>
      </c>
      <c r="K121" s="117">
        <v>104559.62</v>
      </c>
      <c r="L121" s="117">
        <v>1431923.31</v>
      </c>
      <c r="M121" s="23">
        <f t="shared" si="139"/>
        <v>1536482.9300000002</v>
      </c>
      <c r="N121" s="54">
        <f>E121-J121</f>
        <v>724210.02999999933</v>
      </c>
      <c r="O121" s="117">
        <f>H121+N121</f>
        <v>724210.02999999933</v>
      </c>
      <c r="P121" s="927">
        <v>0</v>
      </c>
      <c r="Q121" s="928">
        <v>0</v>
      </c>
      <c r="R121" s="928">
        <f t="shared" si="141"/>
        <v>0</v>
      </c>
      <c r="S121" s="928">
        <v>0</v>
      </c>
      <c r="T121" s="23">
        <f>VLOOKUP(A121,Nosl_līg!A:H,8,0)</f>
        <v>5133640.7300000004</v>
      </c>
      <c r="U121" s="23">
        <f>T121-J121</f>
        <v>-1437653.25</v>
      </c>
      <c r="V121" s="23">
        <f>O121-S121-U121</f>
        <v>2161863.2799999993</v>
      </c>
      <c r="W121" s="23">
        <f>IF(N121&gt;=S121+U121,N121-S121-U121,0)</f>
        <v>2161863.2799999993</v>
      </c>
      <c r="X121" s="23"/>
      <c r="Y121" s="23">
        <f>IF(H121=0,0, IF(T121-E121+R121-M121&lt;0, 0, T121-E121+R121-M121))</f>
        <v>0</v>
      </c>
      <c r="Z121" s="117" t="e">
        <f>VLOOKUP(A121,#REF!,63,FALSE)/F121+#REF!</f>
        <v>#REF!</v>
      </c>
      <c r="AA121" s="880" t="e">
        <f t="shared" si="128"/>
        <v>#DIV/0!</v>
      </c>
    </row>
    <row r="122" spans="1:27" ht="16.5" customHeight="1">
      <c r="A122" s="19" t="s">
        <v>297</v>
      </c>
      <c r="B122" s="20" t="s">
        <v>507</v>
      </c>
      <c r="C122" s="21" t="s">
        <v>55</v>
      </c>
      <c r="D122" s="21" t="s">
        <v>137</v>
      </c>
      <c r="E122" s="22">
        <f>VLOOKUP($A122,publ_fin!$A:$I,8,FALSE)</f>
        <v>39299304.109999999</v>
      </c>
      <c r="F122" s="114">
        <v>1</v>
      </c>
      <c r="G122" s="115"/>
      <c r="H122" s="22">
        <v>0</v>
      </c>
      <c r="I122" s="22">
        <f>F122*H122</f>
        <v>0</v>
      </c>
      <c r="J122" s="117">
        <v>39247184.050000004</v>
      </c>
      <c r="K122" s="117">
        <v>703844.49</v>
      </c>
      <c r="L122" s="117">
        <v>6114188.21</v>
      </c>
      <c r="M122" s="23">
        <f t="shared" si="139"/>
        <v>6818032.7000000002</v>
      </c>
      <c r="N122" s="54">
        <f>E122-J122</f>
        <v>52120.059999994934</v>
      </c>
      <c r="O122" s="117">
        <f>H122+N122</f>
        <v>52120.059999994934</v>
      </c>
      <c r="P122" s="927">
        <v>0</v>
      </c>
      <c r="Q122" s="928">
        <v>0</v>
      </c>
      <c r="R122" s="928">
        <f t="shared" si="141"/>
        <v>0</v>
      </c>
      <c r="S122" s="928">
        <v>0</v>
      </c>
      <c r="T122" s="23">
        <f>VLOOKUP(A122,Nosl_līg!A:H,8,0)</f>
        <v>27220021.309999999</v>
      </c>
      <c r="U122" s="23">
        <f>T122-J122</f>
        <v>-12027162.740000006</v>
      </c>
      <c r="V122" s="23">
        <f>O122-S122-U122</f>
        <v>12079282.800000001</v>
      </c>
      <c r="W122" s="23">
        <f>IF(N122&gt;=S122+U122,N122-S122-U122,0)</f>
        <v>12079282.800000001</v>
      </c>
      <c r="X122" s="23"/>
      <c r="Y122" s="23">
        <f>IF(H122=0,0, IF(T122-E122+R122-M122&lt;0, 0, T122-E122+R122-M122))</f>
        <v>0</v>
      </c>
      <c r="Z122" s="117" t="e">
        <f>VLOOKUP(A122,#REF!,63,FALSE)/F122+#REF!</f>
        <v>#REF!</v>
      </c>
      <c r="AA122" s="880" t="e">
        <f t="shared" si="128"/>
        <v>#DIV/0!</v>
      </c>
    </row>
    <row r="123" spans="1:27" ht="16.5" customHeight="1">
      <c r="A123" s="19" t="s">
        <v>207</v>
      </c>
      <c r="B123" s="20" t="s">
        <v>508</v>
      </c>
      <c r="C123" s="21" t="s">
        <v>55</v>
      </c>
      <c r="D123" s="21" t="s">
        <v>137</v>
      </c>
      <c r="E123" s="22">
        <f>VLOOKUP($A123,publ_fin!$A:$I,8,FALSE)</f>
        <v>174764.16</v>
      </c>
      <c r="F123" s="114">
        <v>1</v>
      </c>
      <c r="G123" s="115"/>
      <c r="H123" s="22">
        <v>0</v>
      </c>
      <c r="I123" s="22">
        <f>F123*H123</f>
        <v>0</v>
      </c>
      <c r="J123" s="117">
        <v>73116.959999999992</v>
      </c>
      <c r="K123" s="117">
        <v>26.99</v>
      </c>
      <c r="L123" s="117">
        <v>156659.6</v>
      </c>
      <c r="M123" s="23">
        <f t="shared" si="139"/>
        <v>156686.59</v>
      </c>
      <c r="N123" s="54">
        <f>E123-J123</f>
        <v>101647.20000000001</v>
      </c>
      <c r="O123" s="117">
        <f>H123+N123</f>
        <v>101647.20000000001</v>
      </c>
      <c r="P123" s="927">
        <v>0</v>
      </c>
      <c r="Q123" s="928">
        <v>0</v>
      </c>
      <c r="R123" s="928">
        <f t="shared" si="141"/>
        <v>0</v>
      </c>
      <c r="S123" s="928">
        <v>0</v>
      </c>
      <c r="T123" s="23">
        <f>VLOOKUP(A123,Nosl_līg!A:H,8,0)</f>
        <v>71837.5</v>
      </c>
      <c r="U123" s="23">
        <f>T123-J123</f>
        <v>-1279.4599999999919</v>
      </c>
      <c r="V123" s="23">
        <f>O123-S123-U123</f>
        <v>102926.66</v>
      </c>
      <c r="W123" s="23">
        <f>IF(N123&gt;=S123+U123,N123-S123-U123,0)</f>
        <v>102926.66</v>
      </c>
      <c r="X123" s="23"/>
      <c r="Y123" s="23">
        <f>IF(H123=0,0, IF(T123-E123+R123-M123&lt;0, 0, T123-E123+R123-M123))</f>
        <v>0</v>
      </c>
      <c r="Z123" s="117" t="e">
        <f>VLOOKUP(A123,#REF!,63,FALSE)/F123+#REF!</f>
        <v>#REF!</v>
      </c>
      <c r="AA123" s="880" t="e">
        <f t="shared" si="128"/>
        <v>#DIV/0!</v>
      </c>
    </row>
    <row r="124" spans="1:27" ht="16.5" customHeight="1">
      <c r="A124" s="39" t="s">
        <v>163</v>
      </c>
      <c r="B124" s="61" t="s">
        <v>509</v>
      </c>
      <c r="C124" s="21" t="s">
        <v>55</v>
      </c>
      <c r="D124" s="21" t="s">
        <v>137</v>
      </c>
      <c r="E124" s="22">
        <f>VLOOKUP($A124,publ_fin!$A:$I,8,FALSE)</f>
        <v>2000000.27</v>
      </c>
      <c r="F124" s="114">
        <v>1</v>
      </c>
      <c r="G124" s="115"/>
      <c r="H124" s="22">
        <v>0</v>
      </c>
      <c r="I124" s="22">
        <f>F124*H124</f>
        <v>0</v>
      </c>
      <c r="J124" s="117">
        <v>0</v>
      </c>
      <c r="K124" s="117">
        <v>0</v>
      </c>
      <c r="L124" s="117">
        <v>0</v>
      </c>
      <c r="M124" s="23">
        <f t="shared" si="139"/>
        <v>0</v>
      </c>
      <c r="N124" s="54">
        <f>E124-J124</f>
        <v>2000000.27</v>
      </c>
      <c r="O124" s="117">
        <f>H124+N124</f>
        <v>2000000.27</v>
      </c>
      <c r="P124" s="928">
        <v>0</v>
      </c>
      <c r="Q124" s="928">
        <f>IFERROR(VLOOKUP(A124,lauzti_līg!A:H,8,FALSE),0)</f>
        <v>0</v>
      </c>
      <c r="R124" s="928">
        <f t="shared" si="141"/>
        <v>0</v>
      </c>
      <c r="S124" s="928">
        <f>R124-M124</f>
        <v>0</v>
      </c>
      <c r="T124" s="23">
        <f>VLOOKUP(A124,Nosl_līg!A:H,8,0)</f>
        <v>89531.46</v>
      </c>
      <c r="U124" s="23">
        <f>T124-J124</f>
        <v>89531.46</v>
      </c>
      <c r="V124" s="23">
        <f>O124-S124-U124</f>
        <v>1910468.81</v>
      </c>
      <c r="W124" s="23">
        <f>IF(N124&gt;=S124+U124,N124-S124-U124,0)</f>
        <v>1910468.81</v>
      </c>
      <c r="X124" s="23"/>
      <c r="Y124" s="23">
        <f>IF(H124=0,0, IF(T124-E124+R124-M124&lt;0, 0, T124-E124+R124-M124))</f>
        <v>0</v>
      </c>
      <c r="Z124" s="117" t="e">
        <f>VLOOKUP(A124,#REF!,63,FALSE)/F124+#REF!</f>
        <v>#REF!</v>
      </c>
      <c r="AA124" s="880" t="e">
        <f t="shared" si="128"/>
        <v>#DIV/0!</v>
      </c>
    </row>
    <row r="125" spans="1:27" ht="16.5" customHeight="1">
      <c r="A125" s="19" t="s">
        <v>64</v>
      </c>
      <c r="B125" s="20" t="s">
        <v>510</v>
      </c>
      <c r="C125" s="21" t="s">
        <v>55</v>
      </c>
      <c r="D125" s="21" t="s">
        <v>137</v>
      </c>
      <c r="E125" s="23">
        <f t="shared" ref="E125:Y125" si="193">E126</f>
        <v>0</v>
      </c>
      <c r="F125" s="116"/>
      <c r="G125" s="116">
        <f t="shared" si="193"/>
        <v>0</v>
      </c>
      <c r="H125" s="23">
        <f t="shared" si="193"/>
        <v>0</v>
      </c>
      <c r="I125" s="18">
        <f t="shared" si="193"/>
        <v>0</v>
      </c>
      <c r="J125" s="116">
        <f t="shared" si="193"/>
        <v>0</v>
      </c>
      <c r="K125" s="116">
        <f t="shared" si="193"/>
        <v>0</v>
      </c>
      <c r="L125" s="116">
        <f t="shared" si="193"/>
        <v>0</v>
      </c>
      <c r="M125" s="18">
        <f t="shared" si="193"/>
        <v>0</v>
      </c>
      <c r="N125" s="54">
        <f t="shared" si="193"/>
        <v>0</v>
      </c>
      <c r="O125" s="116">
        <f t="shared" si="193"/>
        <v>0</v>
      </c>
      <c r="P125" s="927">
        <v>0</v>
      </c>
      <c r="Q125" s="927">
        <f t="shared" si="193"/>
        <v>0</v>
      </c>
      <c r="R125" s="927">
        <f t="shared" si="141"/>
        <v>0</v>
      </c>
      <c r="S125" s="927">
        <f t="shared" si="193"/>
        <v>0</v>
      </c>
      <c r="T125" s="23">
        <f>T126</f>
        <v>0</v>
      </c>
      <c r="U125" s="18">
        <f t="shared" si="193"/>
        <v>0</v>
      </c>
      <c r="V125" s="18">
        <f t="shared" si="193"/>
        <v>0</v>
      </c>
      <c r="W125" s="18">
        <f t="shared" si="193"/>
        <v>0</v>
      </c>
      <c r="X125" s="18"/>
      <c r="Y125" s="18">
        <f t="shared" si="193"/>
        <v>0</v>
      </c>
      <c r="Z125" s="116">
        <v>0</v>
      </c>
      <c r="AA125" s="881" t="e">
        <f t="shared" si="128"/>
        <v>#DIV/0!</v>
      </c>
    </row>
    <row r="126" spans="1:27" ht="16.5" customHeight="1">
      <c r="A126" s="19" t="s">
        <v>135</v>
      </c>
      <c r="B126" s="20" t="s">
        <v>511</v>
      </c>
      <c r="C126" s="21" t="s">
        <v>55</v>
      </c>
      <c r="D126" s="21" t="s">
        <v>137</v>
      </c>
      <c r="E126" s="22">
        <f>VLOOKUP($A126,publ_fin!$A:$I,8,FALSE)</f>
        <v>0</v>
      </c>
      <c r="F126" s="114">
        <v>0</v>
      </c>
      <c r="G126" s="115"/>
      <c r="H126" s="22">
        <v>0</v>
      </c>
      <c r="I126" s="22">
        <f>F126*H126</f>
        <v>0</v>
      </c>
      <c r="J126" s="117">
        <v>0</v>
      </c>
      <c r="K126" s="117">
        <v>0</v>
      </c>
      <c r="L126" s="117">
        <v>0</v>
      </c>
      <c r="M126" s="23">
        <f t="shared" si="139"/>
        <v>0</v>
      </c>
      <c r="N126" s="54">
        <f>E126-J126</f>
        <v>0</v>
      </c>
      <c r="O126" s="117">
        <f>H126+N126</f>
        <v>0</v>
      </c>
      <c r="P126" s="928">
        <v>0</v>
      </c>
      <c r="Q126" s="928">
        <f>IFERROR(VLOOKUP(A126,lauzti_līg!A:H,8,FALSE),0)</f>
        <v>0</v>
      </c>
      <c r="R126" s="928">
        <f t="shared" si="141"/>
        <v>0</v>
      </c>
      <c r="S126" s="928">
        <f>R126-M126</f>
        <v>0</v>
      </c>
      <c r="T126" s="23">
        <v>0</v>
      </c>
      <c r="U126" s="23">
        <f>T126-J126</f>
        <v>0</v>
      </c>
      <c r="V126" s="23">
        <f>O126-S126-U126</f>
        <v>0</v>
      </c>
      <c r="W126" s="23">
        <f>IF(N126&gt;=S126+U126,N126-S126-U126,0)</f>
        <v>0</v>
      </c>
      <c r="X126" s="23"/>
      <c r="Y126" s="23">
        <f>IF(H126=0,0, IF(T126-E126+R126-M126&lt;0, 0, T126-E126+R126-M126))</f>
        <v>0</v>
      </c>
      <c r="Z126" s="117">
        <v>0</v>
      </c>
      <c r="AA126" s="880" t="e">
        <f t="shared" si="128"/>
        <v>#DIV/0!</v>
      </c>
    </row>
    <row r="127" spans="1:27" ht="16.5" customHeight="1">
      <c r="A127" s="19" t="s">
        <v>300</v>
      </c>
      <c r="B127" s="20" t="s">
        <v>512</v>
      </c>
      <c r="C127" s="21" t="s">
        <v>55</v>
      </c>
      <c r="D127" s="21" t="s">
        <v>137</v>
      </c>
      <c r="E127" s="22">
        <f>VLOOKUP($A127,publ_fin!$A:$I,8,FALSE)</f>
        <v>107057829.7</v>
      </c>
      <c r="F127" s="114">
        <v>1</v>
      </c>
      <c r="G127" s="115"/>
      <c r="H127" s="22">
        <v>40809132</v>
      </c>
      <c r="I127" s="22">
        <f>F127*H127</f>
        <v>40809132</v>
      </c>
      <c r="J127" s="117">
        <v>48900202.920000002</v>
      </c>
      <c r="K127" s="117">
        <v>1954.91</v>
      </c>
      <c r="L127" s="117">
        <v>22043482.18</v>
      </c>
      <c r="M127" s="23">
        <f t="shared" si="139"/>
        <v>22045437.09</v>
      </c>
      <c r="N127" s="54">
        <f>E127-J127</f>
        <v>58157626.780000001</v>
      </c>
      <c r="O127" s="117">
        <f>H127+N127</f>
        <v>98966758.780000001</v>
      </c>
      <c r="P127" s="928">
        <v>0</v>
      </c>
      <c r="Q127" s="928">
        <v>0</v>
      </c>
      <c r="R127" s="928">
        <f t="shared" si="141"/>
        <v>0</v>
      </c>
      <c r="S127" s="928">
        <v>0</v>
      </c>
      <c r="T127" s="23">
        <f>VLOOKUP(A127,Nosl_līg!A:H,8,0)</f>
        <v>69840004.969999999</v>
      </c>
      <c r="U127" s="23">
        <f>T127-J127</f>
        <v>20939802.049999997</v>
      </c>
      <c r="V127" s="23">
        <f>O127-S127-U127</f>
        <v>78026956.730000004</v>
      </c>
      <c r="W127" s="23">
        <f>IF(N127&gt;=S127+U127,N127-S127-U127,0)</f>
        <v>37217824.730000004</v>
      </c>
      <c r="X127" s="23"/>
      <c r="Y127" s="23">
        <v>7829105.6600000001</v>
      </c>
      <c r="Z127" s="117" t="e">
        <f>VLOOKUP(A127,#REF!,63,FALSE)/F127+#REF!</f>
        <v>#REF!</v>
      </c>
      <c r="AA127" s="880">
        <f t="shared" si="128"/>
        <v>0.19184690475651381</v>
      </c>
    </row>
    <row r="128" spans="1:27" ht="16.5" customHeight="1">
      <c r="A128" s="14" t="s">
        <v>65</v>
      </c>
      <c r="B128" s="15" t="s">
        <v>513</v>
      </c>
      <c r="C128" s="16" t="s">
        <v>55</v>
      </c>
      <c r="D128" s="16" t="s">
        <v>137</v>
      </c>
      <c r="E128" s="17">
        <f t="shared" ref="E128:Z128" si="194">E129</f>
        <v>116418850.78</v>
      </c>
      <c r="F128" s="113"/>
      <c r="G128" s="113">
        <f t="shared" si="194"/>
        <v>0</v>
      </c>
      <c r="H128" s="17">
        <f t="shared" si="194"/>
        <v>0</v>
      </c>
      <c r="I128" s="17">
        <f t="shared" si="194"/>
        <v>0</v>
      </c>
      <c r="J128" s="113">
        <f t="shared" si="194"/>
        <v>147494365</v>
      </c>
      <c r="K128" s="113">
        <f t="shared" si="194"/>
        <v>0</v>
      </c>
      <c r="L128" s="113">
        <f t="shared" si="194"/>
        <v>0</v>
      </c>
      <c r="M128" s="17">
        <f t="shared" si="194"/>
        <v>0</v>
      </c>
      <c r="N128" s="53">
        <f t="shared" si="194"/>
        <v>-31075514.220000006</v>
      </c>
      <c r="O128" s="113">
        <f t="shared" si="194"/>
        <v>-31075514.220000006</v>
      </c>
      <c r="P128" s="929">
        <v>0</v>
      </c>
      <c r="Q128" s="929">
        <f t="shared" si="194"/>
        <v>0</v>
      </c>
      <c r="R128" s="929">
        <f t="shared" si="141"/>
        <v>0</v>
      </c>
      <c r="S128" s="929">
        <f t="shared" si="194"/>
        <v>0</v>
      </c>
      <c r="T128" s="17">
        <f t="shared" si="194"/>
        <v>115049773.65000001</v>
      </c>
      <c r="U128" s="17">
        <f t="shared" si="194"/>
        <v>-32444591.350000001</v>
      </c>
      <c r="V128" s="17">
        <f t="shared" si="194"/>
        <v>1369077.1299999971</v>
      </c>
      <c r="W128" s="17">
        <f t="shared" si="194"/>
        <v>1369077.1299999971</v>
      </c>
      <c r="X128" s="17"/>
      <c r="Y128" s="17">
        <f t="shared" si="194"/>
        <v>0</v>
      </c>
      <c r="Z128" s="113" t="e">
        <f t="shared" si="194"/>
        <v>#REF!</v>
      </c>
      <c r="AA128" s="879" t="e">
        <f t="shared" si="128"/>
        <v>#DIV/0!</v>
      </c>
    </row>
    <row r="129" spans="1:27" ht="16.5" customHeight="1">
      <c r="A129" s="14" t="s">
        <v>66</v>
      </c>
      <c r="B129" s="15" t="s">
        <v>514</v>
      </c>
      <c r="C129" s="16" t="s">
        <v>55</v>
      </c>
      <c r="D129" s="16" t="s">
        <v>137</v>
      </c>
      <c r="E129" s="17">
        <f t="shared" ref="E129:G129" si="195">E130+E131+E134+E135</f>
        <v>116418850.78</v>
      </c>
      <c r="F129" s="113"/>
      <c r="G129" s="113">
        <f t="shared" si="195"/>
        <v>0</v>
      </c>
      <c r="H129" s="17">
        <f t="shared" ref="H129:Y129" si="196">H130+H131+H134+H135</f>
        <v>0</v>
      </c>
      <c r="I129" s="17">
        <f t="shared" ref="I129:L129" si="197">I130+I131+I134+I135</f>
        <v>0</v>
      </c>
      <c r="J129" s="113">
        <f t="shared" si="197"/>
        <v>147494365</v>
      </c>
      <c r="K129" s="113">
        <f t="shared" si="197"/>
        <v>0</v>
      </c>
      <c r="L129" s="113">
        <f t="shared" si="197"/>
        <v>0</v>
      </c>
      <c r="M129" s="17">
        <f t="shared" si="196"/>
        <v>0</v>
      </c>
      <c r="N129" s="53">
        <f t="shared" si="196"/>
        <v>-31075514.220000006</v>
      </c>
      <c r="O129" s="113">
        <f t="shared" si="196"/>
        <v>-31075514.220000006</v>
      </c>
      <c r="P129" s="929">
        <v>0</v>
      </c>
      <c r="Q129" s="929">
        <f t="shared" si="196"/>
        <v>0</v>
      </c>
      <c r="R129" s="929">
        <f t="shared" si="141"/>
        <v>0</v>
      </c>
      <c r="S129" s="929">
        <f t="shared" ref="S129:T129" si="198">S130+S131+S134+S135</f>
        <v>0</v>
      </c>
      <c r="T129" s="17">
        <f t="shared" si="198"/>
        <v>115049773.65000001</v>
      </c>
      <c r="U129" s="17">
        <f t="shared" si="196"/>
        <v>-32444591.350000001</v>
      </c>
      <c r="V129" s="17">
        <f t="shared" si="196"/>
        <v>1369077.1299999971</v>
      </c>
      <c r="W129" s="17">
        <f t="shared" si="196"/>
        <v>1369077.1299999971</v>
      </c>
      <c r="X129" s="17"/>
      <c r="Y129" s="17">
        <f t="shared" si="196"/>
        <v>0</v>
      </c>
      <c r="Z129" s="113" t="e">
        <f t="shared" ref="Z129" si="199">Z130+Z131+Z134+Z135</f>
        <v>#REF!</v>
      </c>
      <c r="AA129" s="879" t="e">
        <f t="shared" si="128"/>
        <v>#DIV/0!</v>
      </c>
    </row>
    <row r="130" spans="1:27" ht="16.5" customHeight="1">
      <c r="A130" s="19" t="s">
        <v>67</v>
      </c>
      <c r="B130" s="20" t="s">
        <v>515</v>
      </c>
      <c r="C130" s="21" t="s">
        <v>55</v>
      </c>
      <c r="D130" s="21" t="s">
        <v>137</v>
      </c>
      <c r="E130" s="22">
        <f>VLOOKUP($A130,publ_fin!$A:$I,8,FALSE)</f>
        <v>51189241.689999998</v>
      </c>
      <c r="F130" s="114">
        <v>0.91016834968298566</v>
      </c>
      <c r="G130" s="115"/>
      <c r="H130" s="22">
        <v>0</v>
      </c>
      <c r="I130" s="22">
        <f>F130*H130</f>
        <v>0</v>
      </c>
      <c r="J130" s="117">
        <v>64306566</v>
      </c>
      <c r="K130" s="117">
        <v>0</v>
      </c>
      <c r="L130" s="117">
        <v>0</v>
      </c>
      <c r="M130" s="23">
        <f t="shared" si="139"/>
        <v>0</v>
      </c>
      <c r="N130" s="54">
        <f>E130-J130</f>
        <v>-13117324.310000002</v>
      </c>
      <c r="O130" s="117">
        <f>H130+N130</f>
        <v>-13117324.310000002</v>
      </c>
      <c r="P130" s="928">
        <v>0</v>
      </c>
      <c r="Q130" s="928">
        <f>IFERROR(VLOOKUP(A130,lauzti_līg!A:H,8,FALSE),0)</f>
        <v>0</v>
      </c>
      <c r="R130" s="928">
        <f t="shared" si="141"/>
        <v>0</v>
      </c>
      <c r="S130" s="928">
        <f>R130-M130</f>
        <v>0</v>
      </c>
      <c r="T130" s="23">
        <f>VLOOKUP(A130,Nosl_līg!A:H,8,0)</f>
        <v>51189241.68</v>
      </c>
      <c r="U130" s="23">
        <f>T130-J130</f>
        <v>-13117324.32</v>
      </c>
      <c r="V130" s="23">
        <f>O130-S130-U130</f>
        <v>9.9999979138374329E-3</v>
      </c>
      <c r="W130" s="23">
        <f>IF(N130&gt;=S130+U130,N130-S130-U130,0)</f>
        <v>9.9999979138374329E-3</v>
      </c>
      <c r="X130" s="23"/>
      <c r="Y130" s="23">
        <f>IF(H130=0,0, IF(T130-E130+R130-M130&lt;0, 0, T130-E130+R130-M130))</f>
        <v>0</v>
      </c>
      <c r="Z130" s="117" t="e">
        <f>VLOOKUP(A130,#REF!,63,FALSE)/F130+#REF!</f>
        <v>#REF!</v>
      </c>
      <c r="AA130" s="880" t="e">
        <f t="shared" si="128"/>
        <v>#DIV/0!</v>
      </c>
    </row>
    <row r="131" spans="1:27" ht="16.5" customHeight="1">
      <c r="A131" s="19" t="s">
        <v>68</v>
      </c>
      <c r="B131" s="20" t="s">
        <v>516</v>
      </c>
      <c r="C131" s="21" t="s">
        <v>55</v>
      </c>
      <c r="D131" s="21" t="s">
        <v>137</v>
      </c>
      <c r="E131" s="23">
        <f t="shared" ref="E131:Y131" si="200">E132+E133</f>
        <v>0</v>
      </c>
      <c r="F131" s="116"/>
      <c r="G131" s="116">
        <f t="shared" si="200"/>
        <v>0</v>
      </c>
      <c r="H131" s="23">
        <f t="shared" si="200"/>
        <v>0</v>
      </c>
      <c r="I131" s="18">
        <f t="shared" si="200"/>
        <v>0</v>
      </c>
      <c r="J131" s="116">
        <f t="shared" si="200"/>
        <v>0</v>
      </c>
      <c r="K131" s="116">
        <f t="shared" si="200"/>
        <v>0</v>
      </c>
      <c r="L131" s="116">
        <f t="shared" si="200"/>
        <v>0</v>
      </c>
      <c r="M131" s="18">
        <f t="shared" si="200"/>
        <v>0</v>
      </c>
      <c r="N131" s="54">
        <f t="shared" si="200"/>
        <v>0</v>
      </c>
      <c r="O131" s="116">
        <f t="shared" si="200"/>
        <v>0</v>
      </c>
      <c r="P131" s="927">
        <v>0</v>
      </c>
      <c r="Q131" s="927">
        <f t="shared" si="200"/>
        <v>0</v>
      </c>
      <c r="R131" s="927">
        <f t="shared" si="141"/>
        <v>0</v>
      </c>
      <c r="S131" s="927">
        <f t="shared" si="200"/>
        <v>0</v>
      </c>
      <c r="T131" s="23">
        <v>0</v>
      </c>
      <c r="U131" s="18">
        <f t="shared" si="200"/>
        <v>0</v>
      </c>
      <c r="V131" s="18">
        <f t="shared" si="200"/>
        <v>0</v>
      </c>
      <c r="W131" s="18">
        <f t="shared" si="200"/>
        <v>0</v>
      </c>
      <c r="X131" s="18"/>
      <c r="Y131" s="18">
        <f t="shared" si="200"/>
        <v>0</v>
      </c>
      <c r="Z131" s="116">
        <v>0</v>
      </c>
      <c r="AA131" s="881" t="e">
        <f t="shared" si="128"/>
        <v>#DIV/0!</v>
      </c>
    </row>
    <row r="132" spans="1:27" ht="16.5" customHeight="1">
      <c r="A132" s="19" t="s">
        <v>69</v>
      </c>
      <c r="B132" s="20" t="s">
        <v>517</v>
      </c>
      <c r="C132" s="21" t="s">
        <v>55</v>
      </c>
      <c r="D132" s="21" t="s">
        <v>137</v>
      </c>
      <c r="E132" s="22">
        <f>VLOOKUP($A132,publ_fin!$A:$I,8,FALSE)</f>
        <v>0</v>
      </c>
      <c r="F132" s="114">
        <v>0</v>
      </c>
      <c r="G132" s="115"/>
      <c r="H132" s="22">
        <v>0</v>
      </c>
      <c r="I132" s="22">
        <f>F132*H132</f>
        <v>0</v>
      </c>
      <c r="J132" s="117">
        <v>0</v>
      </c>
      <c r="K132" s="117">
        <v>0</v>
      </c>
      <c r="L132" s="117">
        <v>0</v>
      </c>
      <c r="M132" s="23">
        <f t="shared" si="139"/>
        <v>0</v>
      </c>
      <c r="N132" s="54">
        <f>E132-J132</f>
        <v>0</v>
      </c>
      <c r="O132" s="117">
        <f>H132+N132</f>
        <v>0</v>
      </c>
      <c r="P132" s="928">
        <v>0</v>
      </c>
      <c r="Q132" s="928">
        <f>IFERROR(VLOOKUP(A132,lauzti_līg!A:H,8,FALSE),0)</f>
        <v>0</v>
      </c>
      <c r="R132" s="928">
        <f t="shared" si="141"/>
        <v>0</v>
      </c>
      <c r="S132" s="928">
        <f>R132-M132</f>
        <v>0</v>
      </c>
      <c r="T132" s="23">
        <v>0</v>
      </c>
      <c r="U132" s="23">
        <f>T132-J132</f>
        <v>0</v>
      </c>
      <c r="V132" s="23">
        <f>O132-S132-U132</f>
        <v>0</v>
      </c>
      <c r="W132" s="23">
        <f>IF(N132&gt;=S132+U132,N132-S132-U132,0)</f>
        <v>0</v>
      </c>
      <c r="X132" s="23"/>
      <c r="Y132" s="23">
        <f>IF(H132=0,0, IF(T132-E132+R132-M132&lt;0, 0, T132-E132+R132-M132))</f>
        <v>0</v>
      </c>
      <c r="Z132" s="117">
        <v>0</v>
      </c>
      <c r="AA132" s="880" t="e">
        <f t="shared" si="128"/>
        <v>#DIV/0!</v>
      </c>
    </row>
    <row r="133" spans="1:27" ht="16.5" customHeight="1">
      <c r="A133" s="19" t="s">
        <v>70</v>
      </c>
      <c r="B133" s="20" t="s">
        <v>518</v>
      </c>
      <c r="C133" s="21" t="s">
        <v>55</v>
      </c>
      <c r="D133" s="21" t="s">
        <v>137</v>
      </c>
      <c r="E133" s="22">
        <f>VLOOKUP($A133,publ_fin!$A:$I,8,FALSE)</f>
        <v>0</v>
      </c>
      <c r="F133" s="114">
        <v>0</v>
      </c>
      <c r="G133" s="115"/>
      <c r="H133" s="22">
        <v>0</v>
      </c>
      <c r="I133" s="22">
        <f>F133*H133</f>
        <v>0</v>
      </c>
      <c r="J133" s="117">
        <v>0</v>
      </c>
      <c r="K133" s="117">
        <v>0</v>
      </c>
      <c r="L133" s="117">
        <v>0</v>
      </c>
      <c r="M133" s="23">
        <f t="shared" si="139"/>
        <v>0</v>
      </c>
      <c r="N133" s="54">
        <f>E133-J133</f>
        <v>0</v>
      </c>
      <c r="O133" s="117">
        <f>H133+N133</f>
        <v>0</v>
      </c>
      <c r="P133" s="928">
        <v>0</v>
      </c>
      <c r="Q133" s="928">
        <f>IFERROR(VLOOKUP(A133,lauzti_līg!A:H,8,FALSE),0)</f>
        <v>0</v>
      </c>
      <c r="R133" s="928">
        <f t="shared" si="141"/>
        <v>0</v>
      </c>
      <c r="S133" s="928">
        <f>R133-M133</f>
        <v>0</v>
      </c>
      <c r="T133" s="23">
        <v>0</v>
      </c>
      <c r="U133" s="23">
        <f>T133-J133</f>
        <v>0</v>
      </c>
      <c r="V133" s="23">
        <f>O133-S133-U133</f>
        <v>0</v>
      </c>
      <c r="W133" s="23">
        <f>IF(N133&gt;=S133+U133,N133-S133-U133,0)</f>
        <v>0</v>
      </c>
      <c r="X133" s="23"/>
      <c r="Y133" s="23">
        <f>IF(H133=0,0, IF(T133-E133+R133-M133&lt;0, 0, T133-E133+R133-M133))</f>
        <v>0</v>
      </c>
      <c r="Z133" s="117">
        <v>0</v>
      </c>
      <c r="AA133" s="880" t="e">
        <f t="shared" si="128"/>
        <v>#DIV/0!</v>
      </c>
    </row>
    <row r="134" spans="1:27" ht="16.5" customHeight="1">
      <c r="A134" s="19" t="s">
        <v>303</v>
      </c>
      <c r="B134" s="20" t="s">
        <v>519</v>
      </c>
      <c r="C134" s="21" t="s">
        <v>55</v>
      </c>
      <c r="D134" s="21" t="s">
        <v>137</v>
      </c>
      <c r="E134" s="22">
        <f>VLOOKUP($A134,publ_fin!$A:$I,8,FALSE)</f>
        <v>11207966.09</v>
      </c>
      <c r="F134" s="114">
        <v>1</v>
      </c>
      <c r="G134" s="115"/>
      <c r="H134" s="22">
        <v>0</v>
      </c>
      <c r="I134" s="22">
        <f>F134*H134</f>
        <v>0</v>
      </c>
      <c r="J134" s="117">
        <v>20000000</v>
      </c>
      <c r="K134" s="117">
        <v>0</v>
      </c>
      <c r="L134" s="117">
        <v>0</v>
      </c>
      <c r="M134" s="23">
        <f t="shared" si="139"/>
        <v>0</v>
      </c>
      <c r="N134" s="54">
        <f>E134-J134</f>
        <v>-8792033.9100000001</v>
      </c>
      <c r="O134" s="117">
        <f>H134+N134</f>
        <v>-8792033.9100000001</v>
      </c>
      <c r="P134" s="928">
        <v>0</v>
      </c>
      <c r="Q134" s="928">
        <f>IFERROR(VLOOKUP(A134,lauzti_līg!A:H,8,FALSE),0)</f>
        <v>0</v>
      </c>
      <c r="R134" s="928">
        <f t="shared" si="141"/>
        <v>0</v>
      </c>
      <c r="S134" s="928">
        <f>R134-M134</f>
        <v>0</v>
      </c>
      <c r="T134" s="23">
        <f>VLOOKUP(A134,Nosl_līg!A:H,8,0)</f>
        <v>11207966</v>
      </c>
      <c r="U134" s="23">
        <f>T134-J134</f>
        <v>-8792034</v>
      </c>
      <c r="V134" s="23">
        <f>O134-S134-U134</f>
        <v>8.9999999850988388E-2</v>
      </c>
      <c r="W134" s="23">
        <f>IF(N134&gt;=S134+U134,N134-S134-U134,0)</f>
        <v>8.9999999850988388E-2</v>
      </c>
      <c r="X134" s="23"/>
      <c r="Y134" s="23">
        <f>IF(H134=0,0, IF(T134-E134+R134-M134&lt;0, 0, T134-E134+R134-M134))</f>
        <v>0</v>
      </c>
      <c r="Z134" s="117" t="e">
        <f>VLOOKUP(A134,#REF!,63,FALSE)/F134+#REF!</f>
        <v>#REF!</v>
      </c>
      <c r="AA134" s="880" t="e">
        <f t="shared" si="128"/>
        <v>#DIV/0!</v>
      </c>
    </row>
    <row r="135" spans="1:27" s="40" customFormat="1" ht="16.5" customHeight="1">
      <c r="A135" s="19" t="s">
        <v>385</v>
      </c>
      <c r="B135" s="20" t="s">
        <v>520</v>
      </c>
      <c r="C135" s="21" t="s">
        <v>55</v>
      </c>
      <c r="D135" s="21" t="s">
        <v>137</v>
      </c>
      <c r="E135" s="23">
        <f t="shared" ref="E135:Z135" si="201">E136+E137</f>
        <v>54021643</v>
      </c>
      <c r="F135" s="116"/>
      <c r="G135" s="116">
        <f t="shared" si="201"/>
        <v>0</v>
      </c>
      <c r="H135" s="23">
        <f t="shared" si="201"/>
        <v>0</v>
      </c>
      <c r="I135" s="18">
        <f t="shared" si="201"/>
        <v>0</v>
      </c>
      <c r="J135" s="116">
        <f t="shared" si="201"/>
        <v>63187799</v>
      </c>
      <c r="K135" s="116">
        <f t="shared" si="201"/>
        <v>0</v>
      </c>
      <c r="L135" s="116">
        <f t="shared" si="201"/>
        <v>0</v>
      </c>
      <c r="M135" s="18">
        <f t="shared" si="201"/>
        <v>0</v>
      </c>
      <c r="N135" s="54">
        <f t="shared" si="201"/>
        <v>-9166156.0000000019</v>
      </c>
      <c r="O135" s="116">
        <f t="shared" si="201"/>
        <v>-9166156.0000000019</v>
      </c>
      <c r="P135" s="928">
        <v>0</v>
      </c>
      <c r="Q135" s="927">
        <f t="shared" si="201"/>
        <v>0</v>
      </c>
      <c r="R135" s="927">
        <f t="shared" si="141"/>
        <v>0</v>
      </c>
      <c r="S135" s="927">
        <f t="shared" si="201"/>
        <v>0</v>
      </c>
      <c r="T135" s="23">
        <f>T136+T137</f>
        <v>52652565.969999999</v>
      </c>
      <c r="U135" s="18">
        <f t="shared" si="201"/>
        <v>-10535233.030000001</v>
      </c>
      <c r="V135" s="18">
        <f t="shared" si="201"/>
        <v>1369077.0299999993</v>
      </c>
      <c r="W135" s="18">
        <f t="shared" si="201"/>
        <v>1369077.0299999993</v>
      </c>
      <c r="X135" s="18"/>
      <c r="Y135" s="18">
        <f t="shared" si="201"/>
        <v>0</v>
      </c>
      <c r="Z135" s="116" t="e">
        <f t="shared" si="201"/>
        <v>#REF!</v>
      </c>
      <c r="AA135" s="881" t="e">
        <f t="shared" si="128"/>
        <v>#DIV/0!</v>
      </c>
    </row>
    <row r="136" spans="1:27" ht="16.5" customHeight="1">
      <c r="A136" s="19" t="s">
        <v>150</v>
      </c>
      <c r="B136" s="20" t="s">
        <v>521</v>
      </c>
      <c r="C136" s="21" t="s">
        <v>55</v>
      </c>
      <c r="D136" s="21" t="s">
        <v>137</v>
      </c>
      <c r="E136" s="22">
        <f>VLOOKUP($A136,publ_fin!$A:$I,8,FALSE)</f>
        <v>40904318.689999998</v>
      </c>
      <c r="F136" s="114">
        <v>0.88702555190572174</v>
      </c>
      <c r="G136" s="115"/>
      <c r="H136" s="22">
        <v>0</v>
      </c>
      <c r="I136" s="22">
        <f>F136*H136</f>
        <v>0</v>
      </c>
      <c r="J136" s="117">
        <v>45449242</v>
      </c>
      <c r="K136" s="117">
        <v>0</v>
      </c>
      <c r="L136" s="117">
        <v>0</v>
      </c>
      <c r="M136" s="23">
        <f t="shared" si="139"/>
        <v>0</v>
      </c>
      <c r="N136" s="54">
        <f>E136-J136</f>
        <v>-4544923.3100000024</v>
      </c>
      <c r="O136" s="117">
        <f>H136+N136</f>
        <v>-4544923.3100000024</v>
      </c>
      <c r="P136" s="928">
        <v>0</v>
      </c>
      <c r="Q136" s="928">
        <f>IFERROR(VLOOKUP(A136,lauzti_līg!A:H,8,FALSE),0)</f>
        <v>0</v>
      </c>
      <c r="R136" s="928">
        <f t="shared" si="141"/>
        <v>0</v>
      </c>
      <c r="S136" s="928">
        <f>R136-M136</f>
        <v>0</v>
      </c>
      <c r="T136" s="23">
        <f>VLOOKUP(A136,Nosl_līg!A:H,8,0)</f>
        <v>39535241.969999999</v>
      </c>
      <c r="U136" s="23">
        <f>T136-J136</f>
        <v>-5914000.0300000012</v>
      </c>
      <c r="V136" s="23">
        <f>O136-S136-U136</f>
        <v>1369076.7199999988</v>
      </c>
      <c r="W136" s="23">
        <f>IF(N136&gt;=S136+U136,N136-S136-U136,0)</f>
        <v>1369076.7199999988</v>
      </c>
      <c r="X136" s="23"/>
      <c r="Y136" s="23">
        <f>IF(H136=0,0, IF(T136-E136+R136-M136&lt;0, 0, T136-E136+R136-M136))</f>
        <v>0</v>
      </c>
      <c r="Z136" s="117" t="e">
        <f>VLOOKUP(A136,#REF!,63,FALSE)/F136+#REF!</f>
        <v>#REF!</v>
      </c>
      <c r="AA136" s="880" t="e">
        <f t="shared" si="128"/>
        <v>#DIV/0!</v>
      </c>
    </row>
    <row r="137" spans="1:27" ht="16.5" customHeight="1">
      <c r="A137" s="19" t="s">
        <v>151</v>
      </c>
      <c r="B137" s="20" t="s">
        <v>522</v>
      </c>
      <c r="C137" s="21" t="s">
        <v>55</v>
      </c>
      <c r="D137" s="21" t="s">
        <v>137</v>
      </c>
      <c r="E137" s="22">
        <f>VLOOKUP($A137,publ_fin!$A:$I,8,FALSE)</f>
        <v>13117324.310000001</v>
      </c>
      <c r="F137" s="114">
        <v>0.60162116053413794</v>
      </c>
      <c r="G137" s="115"/>
      <c r="H137" s="22">
        <v>0</v>
      </c>
      <c r="I137" s="22">
        <f>F137*H137</f>
        <v>0</v>
      </c>
      <c r="J137" s="117">
        <v>17738557</v>
      </c>
      <c r="K137" s="117">
        <v>0</v>
      </c>
      <c r="L137" s="117">
        <v>0</v>
      </c>
      <c r="M137" s="23">
        <f t="shared" si="139"/>
        <v>0</v>
      </c>
      <c r="N137" s="54">
        <f>E137-J137</f>
        <v>-4621232.6899999995</v>
      </c>
      <c r="O137" s="117">
        <f>H137+N137</f>
        <v>-4621232.6899999995</v>
      </c>
      <c r="P137" s="928">
        <v>0</v>
      </c>
      <c r="Q137" s="928">
        <f>IFERROR(VLOOKUP(A137,lauzti_līg!A:H,8,FALSE),0)</f>
        <v>0</v>
      </c>
      <c r="R137" s="928">
        <f t="shared" si="141"/>
        <v>0</v>
      </c>
      <c r="S137" s="928">
        <f>R137-M137</f>
        <v>0</v>
      </c>
      <c r="T137" s="23">
        <f>VLOOKUP(A137,Nosl_līg!A:H,8,0)</f>
        <v>13117324</v>
      </c>
      <c r="U137" s="23">
        <f>T137-J137</f>
        <v>-4621233</v>
      </c>
      <c r="V137" s="23">
        <f>O137-S137-U137</f>
        <v>0.31000000052154064</v>
      </c>
      <c r="W137" s="23">
        <f>IF(N137&gt;=S137+U137,N137-S137-U137,0)</f>
        <v>0.31000000052154064</v>
      </c>
      <c r="X137" s="23"/>
      <c r="Y137" s="23">
        <f>IF(H137=0,0, IF(T137-E137+R137-M137&lt;0, 0, T137-E137+R137-M137))</f>
        <v>0</v>
      </c>
      <c r="Z137" s="117" t="e">
        <f>VLOOKUP(A137,#REF!,63,FALSE)/F137+#REF!</f>
        <v>#REF!</v>
      </c>
      <c r="AA137" s="880" t="e">
        <f t="shared" si="128"/>
        <v>#DIV/0!</v>
      </c>
    </row>
    <row r="138" spans="1:27" ht="16.5" customHeight="1">
      <c r="A138" s="14" t="s">
        <v>71</v>
      </c>
      <c r="B138" s="15" t="s">
        <v>523</v>
      </c>
      <c r="C138" s="16" t="s">
        <v>55</v>
      </c>
      <c r="D138" s="16" t="s">
        <v>137</v>
      </c>
      <c r="E138" s="17">
        <f t="shared" ref="E138:G138" si="202">E139+E144</f>
        <v>61100320.039999999</v>
      </c>
      <c r="F138" s="113"/>
      <c r="G138" s="113">
        <f t="shared" si="202"/>
        <v>0</v>
      </c>
      <c r="H138" s="17">
        <f t="shared" ref="H138:Y138" si="203">H139+H144</f>
        <v>6000000</v>
      </c>
      <c r="I138" s="17">
        <f t="shared" ref="I138:L138" si="204">I139+I144</f>
        <v>6000000</v>
      </c>
      <c r="J138" s="113">
        <f t="shared" si="204"/>
        <v>40513078.700000003</v>
      </c>
      <c r="K138" s="113">
        <f t="shared" si="204"/>
        <v>462137.32</v>
      </c>
      <c r="L138" s="113">
        <f t="shared" si="204"/>
        <v>13565464.989999998</v>
      </c>
      <c r="M138" s="17">
        <f t="shared" si="203"/>
        <v>14027602.310000001</v>
      </c>
      <c r="N138" s="53">
        <f t="shared" si="203"/>
        <v>20587241.339999992</v>
      </c>
      <c r="O138" s="113">
        <f t="shared" si="203"/>
        <v>26587241.339999989</v>
      </c>
      <c r="P138" s="928">
        <v>0</v>
      </c>
      <c r="Q138" s="929">
        <f t="shared" si="203"/>
        <v>0</v>
      </c>
      <c r="R138" s="929">
        <f t="shared" si="141"/>
        <v>0</v>
      </c>
      <c r="S138" s="929">
        <v>0</v>
      </c>
      <c r="T138" s="17">
        <f t="shared" ref="T138" si="205">T139+T144</f>
        <v>46788601.340000011</v>
      </c>
      <c r="U138" s="17">
        <f t="shared" si="203"/>
        <v>6275522.6400000043</v>
      </c>
      <c r="V138" s="17">
        <f t="shared" si="203"/>
        <v>20311718.699999984</v>
      </c>
      <c r="W138" s="17">
        <f t="shared" si="203"/>
        <v>14311718.699999984</v>
      </c>
      <c r="X138" s="17"/>
      <c r="Y138" s="17">
        <f t="shared" si="203"/>
        <v>0</v>
      </c>
      <c r="Z138" s="113" t="e">
        <f t="shared" ref="Z138" si="206">Z139+Z144</f>
        <v>#REF!</v>
      </c>
      <c r="AA138" s="879">
        <f t="shared" si="128"/>
        <v>0</v>
      </c>
    </row>
    <row r="139" spans="1:27" ht="16.5" customHeight="1">
      <c r="A139" s="14" t="s">
        <v>72</v>
      </c>
      <c r="B139" s="15" t="s">
        <v>524</v>
      </c>
      <c r="C139" s="16" t="s">
        <v>55</v>
      </c>
      <c r="D139" s="16" t="s">
        <v>137</v>
      </c>
      <c r="E139" s="17">
        <f t="shared" ref="E139:G139" si="207">E140+E143</f>
        <v>23380492.009999998</v>
      </c>
      <c r="F139" s="113"/>
      <c r="G139" s="113">
        <f t="shared" si="207"/>
        <v>0</v>
      </c>
      <c r="H139" s="17">
        <f t="shared" ref="H139:Y139" si="208">H140+H143</f>
        <v>0</v>
      </c>
      <c r="I139" s="17">
        <f t="shared" ref="I139:L139" si="209">I140+I143</f>
        <v>0</v>
      </c>
      <c r="J139" s="113">
        <f t="shared" si="209"/>
        <v>12797933.680000003</v>
      </c>
      <c r="K139" s="113">
        <f t="shared" si="209"/>
        <v>106085.94</v>
      </c>
      <c r="L139" s="113">
        <f t="shared" si="209"/>
        <v>845956.61999999988</v>
      </c>
      <c r="M139" s="17">
        <f t="shared" si="208"/>
        <v>952042.55999999982</v>
      </c>
      <c r="N139" s="53">
        <f t="shared" si="208"/>
        <v>10582558.329999994</v>
      </c>
      <c r="O139" s="113">
        <f t="shared" si="208"/>
        <v>10582558.329999994</v>
      </c>
      <c r="P139" s="928">
        <v>0</v>
      </c>
      <c r="Q139" s="929">
        <f t="shared" si="208"/>
        <v>0</v>
      </c>
      <c r="R139" s="929">
        <f t="shared" si="141"/>
        <v>0</v>
      </c>
      <c r="S139" s="929">
        <v>0</v>
      </c>
      <c r="T139" s="17">
        <f t="shared" ref="T139" si="210">T140+T143</f>
        <v>17996342.110000011</v>
      </c>
      <c r="U139" s="17">
        <f t="shared" si="208"/>
        <v>5198408.4300000062</v>
      </c>
      <c r="V139" s="17">
        <f t="shared" si="208"/>
        <v>5384149.8999999883</v>
      </c>
      <c r="W139" s="17">
        <f t="shared" si="208"/>
        <v>5384149.8999999883</v>
      </c>
      <c r="X139" s="17"/>
      <c r="Y139" s="17">
        <f t="shared" si="208"/>
        <v>0</v>
      </c>
      <c r="Z139" s="113" t="e">
        <f t="shared" ref="Z139" si="211">Z140+Z143</f>
        <v>#REF!</v>
      </c>
      <c r="AA139" s="879" t="e">
        <f t="shared" si="128"/>
        <v>#DIV/0!</v>
      </c>
    </row>
    <row r="140" spans="1:27" ht="16.5" customHeight="1">
      <c r="A140" s="19" t="s">
        <v>147</v>
      </c>
      <c r="B140" s="20" t="s">
        <v>525</v>
      </c>
      <c r="C140" s="21" t="s">
        <v>55</v>
      </c>
      <c r="D140" s="21" t="s">
        <v>137</v>
      </c>
      <c r="E140" s="23">
        <f t="shared" ref="E140:G140" si="212">E141+E142</f>
        <v>21363471.239999998</v>
      </c>
      <c r="F140" s="116"/>
      <c r="G140" s="116">
        <f t="shared" si="212"/>
        <v>0</v>
      </c>
      <c r="H140" s="23">
        <f t="shared" ref="H140:Y140" si="213">H141+H142</f>
        <v>0</v>
      </c>
      <c r="I140" s="18">
        <f t="shared" ref="I140:L140" si="214">I141+I142</f>
        <v>0</v>
      </c>
      <c r="J140" s="116">
        <f t="shared" si="214"/>
        <v>10780990.730000004</v>
      </c>
      <c r="K140" s="116">
        <f t="shared" si="214"/>
        <v>106085.94</v>
      </c>
      <c r="L140" s="116">
        <f t="shared" si="214"/>
        <v>845956.61999999988</v>
      </c>
      <c r="M140" s="18">
        <f t="shared" si="213"/>
        <v>952042.55999999982</v>
      </c>
      <c r="N140" s="54">
        <f t="shared" si="213"/>
        <v>10582480.509999994</v>
      </c>
      <c r="O140" s="116">
        <f t="shared" si="213"/>
        <v>10582480.509999994</v>
      </c>
      <c r="P140" s="928">
        <v>0</v>
      </c>
      <c r="Q140" s="927">
        <f t="shared" si="213"/>
        <v>0</v>
      </c>
      <c r="R140" s="927">
        <f t="shared" si="141"/>
        <v>0</v>
      </c>
      <c r="S140" s="927">
        <v>0</v>
      </c>
      <c r="T140" s="23">
        <f>T141+T142</f>
        <v>15979399.160000011</v>
      </c>
      <c r="U140" s="18">
        <f t="shared" si="213"/>
        <v>5198408.4300000062</v>
      </c>
      <c r="V140" s="18">
        <f t="shared" si="213"/>
        <v>5384072.079999988</v>
      </c>
      <c r="W140" s="18">
        <f t="shared" si="213"/>
        <v>5384072.079999988</v>
      </c>
      <c r="X140" s="18"/>
      <c r="Y140" s="18">
        <f t="shared" si="213"/>
        <v>0</v>
      </c>
      <c r="Z140" s="116" t="e">
        <f t="shared" ref="Z140" si="215">Z141+Z142</f>
        <v>#REF!</v>
      </c>
      <c r="AA140" s="881" t="e">
        <f t="shared" si="128"/>
        <v>#DIV/0!</v>
      </c>
    </row>
    <row r="141" spans="1:27" ht="16.5" customHeight="1">
      <c r="A141" s="19" t="s">
        <v>307</v>
      </c>
      <c r="B141" s="20" t="s">
        <v>526</v>
      </c>
      <c r="C141" s="21" t="s">
        <v>55</v>
      </c>
      <c r="D141" s="21" t="s">
        <v>137</v>
      </c>
      <c r="E141" s="22">
        <f>VLOOKUP($A141,publ_fin!$A:$I,8,FALSE)</f>
        <v>12196804.289999999</v>
      </c>
      <c r="F141" s="114">
        <v>1</v>
      </c>
      <c r="G141" s="115"/>
      <c r="H141" s="22">
        <v>0</v>
      </c>
      <c r="I141" s="22">
        <f>F141*H141</f>
        <v>0</v>
      </c>
      <c r="J141" s="117">
        <v>5780991.2500000037</v>
      </c>
      <c r="K141" s="121">
        <v>106085.94</v>
      </c>
      <c r="L141" s="117">
        <v>845956.61999999988</v>
      </c>
      <c r="M141" s="23">
        <f t="shared" ref="M141:M203" si="216">K141+L141</f>
        <v>952042.55999999982</v>
      </c>
      <c r="N141" s="54">
        <f>E141-J141</f>
        <v>6415813.0399999954</v>
      </c>
      <c r="O141" s="117">
        <f>H141+N141</f>
        <v>6415813.0399999954</v>
      </c>
      <c r="P141" s="928">
        <v>0</v>
      </c>
      <c r="Q141" s="928">
        <v>0</v>
      </c>
      <c r="R141" s="928">
        <f t="shared" si="141"/>
        <v>0</v>
      </c>
      <c r="S141" s="928">
        <v>0</v>
      </c>
      <c r="T141" s="23">
        <f>VLOOKUP(A141,Nosl_līg!A:H,8,0)</f>
        <v>6812733.1600000104</v>
      </c>
      <c r="U141" s="23">
        <f>T141-J141</f>
        <v>1031741.9100000067</v>
      </c>
      <c r="V141" s="23">
        <f>O141-S141-U141</f>
        <v>5384071.1299999887</v>
      </c>
      <c r="W141" s="23">
        <f>IF(N141&gt;=S141+U141,N141-S141-U141,0)</f>
        <v>5384071.1299999887</v>
      </c>
      <c r="X141" s="23"/>
      <c r="Y141" s="23">
        <f>IF(H141=0,0, IF(T141-E141+R141-M141&lt;0, 0, T141-E141+R141-M141))</f>
        <v>0</v>
      </c>
      <c r="Z141" s="117" t="e">
        <f>VLOOKUP(A141,#REF!,63,FALSE)/F141+#REF!</f>
        <v>#REF!</v>
      </c>
      <c r="AA141" s="880" t="e">
        <f t="shared" ref="AA141:AA204" si="217">Y141/H141</f>
        <v>#DIV/0!</v>
      </c>
    </row>
    <row r="142" spans="1:27" ht="16.5" customHeight="1">
      <c r="A142" s="19" t="s">
        <v>309</v>
      </c>
      <c r="B142" s="20" t="s">
        <v>527</v>
      </c>
      <c r="C142" s="21" t="s">
        <v>55</v>
      </c>
      <c r="D142" s="21" t="s">
        <v>137</v>
      </c>
      <c r="E142" s="22">
        <f>VLOOKUP($A142,publ_fin!$A:$I,8,FALSE)</f>
        <v>9166666.9499999993</v>
      </c>
      <c r="F142" s="114">
        <v>0.59999998472727323</v>
      </c>
      <c r="G142" s="115"/>
      <c r="H142" s="22">
        <v>0</v>
      </c>
      <c r="I142" s="22">
        <f>F142*H142</f>
        <v>0</v>
      </c>
      <c r="J142" s="117">
        <v>4999999.4800000004</v>
      </c>
      <c r="K142" s="117">
        <v>0</v>
      </c>
      <c r="L142" s="117">
        <v>0</v>
      </c>
      <c r="M142" s="23">
        <f t="shared" si="216"/>
        <v>0</v>
      </c>
      <c r="N142" s="54">
        <f>E142-J142</f>
        <v>4166667.4699999988</v>
      </c>
      <c r="O142" s="117">
        <f>H142+N142</f>
        <v>4166667.4699999988</v>
      </c>
      <c r="P142" s="928">
        <v>0</v>
      </c>
      <c r="Q142" s="928">
        <f>IFERROR(VLOOKUP(A142,lauzti_līg!A:H,8,FALSE),0)</f>
        <v>0</v>
      </c>
      <c r="R142" s="928">
        <f t="shared" si="141"/>
        <v>0</v>
      </c>
      <c r="S142" s="928">
        <f>R142-M142</f>
        <v>0</v>
      </c>
      <c r="T142" s="23">
        <f>VLOOKUP(A142,Nosl_līg!A:H,8,0)</f>
        <v>9166666</v>
      </c>
      <c r="U142" s="23">
        <f>T142-J142</f>
        <v>4166666.5199999996</v>
      </c>
      <c r="V142" s="23">
        <f>O142-S142-U142</f>
        <v>0.94999999925494194</v>
      </c>
      <c r="W142" s="23">
        <f>IF(N142&gt;=S142+U142,N142-S142-U142,0)</f>
        <v>0.94999999925494194</v>
      </c>
      <c r="X142" s="23"/>
      <c r="Y142" s="23">
        <f>IF(H142=0,0, IF(T142-E142+R142-M142&lt;0, 0, T142-E142+R142-M142))</f>
        <v>0</v>
      </c>
      <c r="Z142" s="117" t="e">
        <f>VLOOKUP(A142,#REF!,63,FALSE)/F142+#REF!</f>
        <v>#REF!</v>
      </c>
      <c r="AA142" s="880" t="e">
        <f t="shared" si="217"/>
        <v>#DIV/0!</v>
      </c>
    </row>
    <row r="143" spans="1:27" ht="16.5" customHeight="1">
      <c r="A143" s="19" t="s">
        <v>73</v>
      </c>
      <c r="B143" s="20" t="s">
        <v>528</v>
      </c>
      <c r="C143" s="21" t="s">
        <v>55</v>
      </c>
      <c r="D143" s="21" t="s">
        <v>137</v>
      </c>
      <c r="E143" s="22">
        <f>VLOOKUP($A143,publ_fin!$A:$I,8,FALSE)</f>
        <v>2017020.77</v>
      </c>
      <c r="F143" s="114">
        <v>0.84996735060888839</v>
      </c>
      <c r="G143" s="115"/>
      <c r="H143" s="22">
        <v>0</v>
      </c>
      <c r="I143" s="22">
        <f>F143*H143</f>
        <v>0</v>
      </c>
      <c r="J143" s="117">
        <v>2016942.95</v>
      </c>
      <c r="K143" s="117">
        <v>0</v>
      </c>
      <c r="L143" s="117">
        <v>0</v>
      </c>
      <c r="M143" s="23">
        <f t="shared" si="216"/>
        <v>0</v>
      </c>
      <c r="N143" s="54">
        <f>E143-J143</f>
        <v>77.820000000065193</v>
      </c>
      <c r="O143" s="117">
        <f>H143+N143</f>
        <v>77.820000000065193</v>
      </c>
      <c r="P143" s="928">
        <v>0</v>
      </c>
      <c r="Q143" s="928">
        <f>IFERROR(VLOOKUP(A143,lauzti_līg!A:H,8,FALSE),0)</f>
        <v>0</v>
      </c>
      <c r="R143" s="928">
        <f t="shared" si="141"/>
        <v>0</v>
      </c>
      <c r="S143" s="928">
        <f>R143-M143</f>
        <v>0</v>
      </c>
      <c r="T143" s="23">
        <f>VLOOKUP(A143,Nosl_līg!A:H,8,0)</f>
        <v>2016942.95</v>
      </c>
      <c r="U143" s="23">
        <f>T143-J143</f>
        <v>0</v>
      </c>
      <c r="V143" s="23">
        <f>O143-S143-U143</f>
        <v>77.820000000065193</v>
      </c>
      <c r="W143" s="23">
        <f>IF(N143&gt;=S143+U143,N143-S143-U143,0)</f>
        <v>77.820000000065193</v>
      </c>
      <c r="X143" s="23"/>
      <c r="Y143" s="23">
        <f>IF(H143=0,0, IF(T143-E143+R143-M143&lt;0, 0, T143-E143+R143-M143))</f>
        <v>0</v>
      </c>
      <c r="Z143" s="117" t="e">
        <f>VLOOKUP(A143,#REF!,63,FALSE)/F143+#REF!</f>
        <v>#REF!</v>
      </c>
      <c r="AA143" s="880" t="e">
        <f t="shared" si="217"/>
        <v>#DIV/0!</v>
      </c>
    </row>
    <row r="144" spans="1:27" ht="16.5" customHeight="1">
      <c r="A144" s="14" t="s">
        <v>74</v>
      </c>
      <c r="B144" s="15" t="s">
        <v>529</v>
      </c>
      <c r="C144" s="16" t="s">
        <v>55</v>
      </c>
      <c r="D144" s="16" t="s">
        <v>137</v>
      </c>
      <c r="E144" s="17">
        <f>E145+E146+E147+E148</f>
        <v>37719828.030000001</v>
      </c>
      <c r="F144" s="113"/>
      <c r="G144" s="113">
        <f t="shared" ref="G144:Z144" si="218">G145+G146+G147+G148</f>
        <v>0</v>
      </c>
      <c r="H144" s="17">
        <f t="shared" si="218"/>
        <v>6000000</v>
      </c>
      <c r="I144" s="17">
        <f t="shared" si="218"/>
        <v>6000000</v>
      </c>
      <c r="J144" s="113">
        <f t="shared" si="218"/>
        <v>27715145.020000003</v>
      </c>
      <c r="K144" s="113">
        <f t="shared" si="218"/>
        <v>356051.38</v>
      </c>
      <c r="L144" s="113">
        <f t="shared" si="218"/>
        <v>12719508.369999999</v>
      </c>
      <c r="M144" s="17">
        <f t="shared" si="218"/>
        <v>13075559.75</v>
      </c>
      <c r="N144" s="53">
        <f t="shared" si="218"/>
        <v>10004683.009999998</v>
      </c>
      <c r="O144" s="113">
        <f t="shared" si="218"/>
        <v>16004683.009999996</v>
      </c>
      <c r="P144" s="928">
        <v>0</v>
      </c>
      <c r="Q144" s="929">
        <f t="shared" si="218"/>
        <v>0</v>
      </c>
      <c r="R144" s="929">
        <f t="shared" si="141"/>
        <v>0</v>
      </c>
      <c r="S144" s="929">
        <v>0</v>
      </c>
      <c r="T144" s="17">
        <f t="shared" si="218"/>
        <v>28792259.23</v>
      </c>
      <c r="U144" s="17">
        <f t="shared" si="218"/>
        <v>1077114.2099999986</v>
      </c>
      <c r="V144" s="17">
        <f t="shared" si="218"/>
        <v>14927568.799999997</v>
      </c>
      <c r="W144" s="17">
        <f t="shared" si="218"/>
        <v>8927568.799999997</v>
      </c>
      <c r="X144" s="17"/>
      <c r="Y144" s="17">
        <f t="shared" si="218"/>
        <v>0</v>
      </c>
      <c r="Z144" s="113" t="e">
        <f t="shared" si="218"/>
        <v>#REF!</v>
      </c>
      <c r="AA144" s="879">
        <f t="shared" si="217"/>
        <v>0</v>
      </c>
    </row>
    <row r="145" spans="1:27" ht="16.5" customHeight="1">
      <c r="A145" s="19" t="s">
        <v>75</v>
      </c>
      <c r="B145" s="20" t="s">
        <v>530</v>
      </c>
      <c r="C145" s="21" t="s">
        <v>55</v>
      </c>
      <c r="D145" s="21" t="s">
        <v>137</v>
      </c>
      <c r="E145" s="22">
        <f>VLOOKUP($A145,publ_fin!$A:$I,8,FALSE)</f>
        <v>20208601.219999999</v>
      </c>
      <c r="F145" s="114">
        <v>0.85010430969353357</v>
      </c>
      <c r="G145" s="115"/>
      <c r="H145" s="22">
        <v>0</v>
      </c>
      <c r="I145" s="22">
        <f>F145*H145</f>
        <v>0</v>
      </c>
      <c r="J145" s="117">
        <v>20208600</v>
      </c>
      <c r="K145" s="117">
        <v>0</v>
      </c>
      <c r="L145" s="117">
        <v>0</v>
      </c>
      <c r="M145" s="23">
        <f t="shared" si="216"/>
        <v>0</v>
      </c>
      <c r="N145" s="54">
        <f>E145-J145</f>
        <v>1.2199999988079071</v>
      </c>
      <c r="O145" s="117">
        <f>H145+N145</f>
        <v>1.2199999988079071</v>
      </c>
      <c r="P145" s="928">
        <v>0</v>
      </c>
      <c r="Q145" s="928">
        <f>IFERROR(VLOOKUP(A145,lauzti_līg!A:H,8,FALSE),0)</f>
        <v>0</v>
      </c>
      <c r="R145" s="928">
        <f t="shared" si="141"/>
        <v>0</v>
      </c>
      <c r="S145" s="928">
        <f>R145-M145</f>
        <v>0</v>
      </c>
      <c r="T145" s="23">
        <f>VLOOKUP(A145,Nosl_līg!A:H,8,0)</f>
        <v>20208600</v>
      </c>
      <c r="U145" s="23">
        <f>T145-J145</f>
        <v>0</v>
      </c>
      <c r="V145" s="23">
        <f>O145-S145-U145</f>
        <v>1.2199999988079071</v>
      </c>
      <c r="W145" s="23">
        <f>IF(N145&gt;=S145+U145,N145-S145-U145,0)</f>
        <v>1.2199999988079071</v>
      </c>
      <c r="X145" s="23"/>
      <c r="Y145" s="23">
        <f>IF(H145=0,0, IF(T145-E145+R145-M145&lt;0, 0, T145-E145+R145-M145))</f>
        <v>0</v>
      </c>
      <c r="Z145" s="117" t="e">
        <f>VLOOKUP(A145,#REF!,63,FALSE)/F145+#REF!</f>
        <v>#REF!</v>
      </c>
      <c r="AA145" s="880" t="e">
        <f t="shared" si="217"/>
        <v>#DIV/0!</v>
      </c>
    </row>
    <row r="146" spans="1:27" ht="16.5" customHeight="1">
      <c r="A146" s="19" t="s">
        <v>732</v>
      </c>
      <c r="B146" s="20" t="s">
        <v>531</v>
      </c>
      <c r="C146" s="21" t="s">
        <v>55</v>
      </c>
      <c r="D146" s="21" t="s">
        <v>137</v>
      </c>
      <c r="E146" s="22">
        <f>VLOOKUP($A146,publ_fin!$A:$I,8,FALSE)</f>
        <v>7488412.46</v>
      </c>
      <c r="F146" s="114">
        <v>1</v>
      </c>
      <c r="G146" s="115"/>
      <c r="H146" s="22">
        <v>0</v>
      </c>
      <c r="I146" s="22">
        <f>F146*H146</f>
        <v>0</v>
      </c>
      <c r="J146" s="117">
        <v>7506545.0200000014</v>
      </c>
      <c r="K146" s="117">
        <v>356051.38</v>
      </c>
      <c r="L146" s="117">
        <v>12719508.369999999</v>
      </c>
      <c r="M146" s="23">
        <f t="shared" si="216"/>
        <v>13075559.75</v>
      </c>
      <c r="N146" s="54">
        <f>E146-J146</f>
        <v>-18132.560000001453</v>
      </c>
      <c r="O146" s="117">
        <f>H146+N146</f>
        <v>-18132.560000001453</v>
      </c>
      <c r="P146" s="928">
        <v>0</v>
      </c>
      <c r="Q146" s="928">
        <v>0</v>
      </c>
      <c r="R146" s="928">
        <f t="shared" ref="R146:R209" si="219">P146+Q146</f>
        <v>0</v>
      </c>
      <c r="S146" s="928">
        <v>0</v>
      </c>
      <c r="T146" s="23">
        <f>VLOOKUP(A146,Nosl_līg!A:H,8,0)</f>
        <v>5345825.92</v>
      </c>
      <c r="U146" s="23">
        <f>T146-J146</f>
        <v>-2160719.1000000015</v>
      </c>
      <c r="V146" s="23">
        <f>O146-S146-U146</f>
        <v>2142586.54</v>
      </c>
      <c r="W146" s="23">
        <f>IF(N146&gt;=S146+U146,N146-S146-U146,0)</f>
        <v>2142586.54</v>
      </c>
      <c r="X146" s="23"/>
      <c r="Y146" s="23">
        <f>IF(H146=0,0, IF(T146-E146+R146-M146&lt;0, 0, T146-E146+R146-M146))</f>
        <v>0</v>
      </c>
      <c r="Z146" s="117" t="e">
        <f>VLOOKUP(A146,#REF!,63,FALSE)/F146+#REF!</f>
        <v>#REF!</v>
      </c>
      <c r="AA146" s="880" t="e">
        <f t="shared" si="217"/>
        <v>#DIV/0!</v>
      </c>
    </row>
    <row r="147" spans="1:27" ht="16.5" customHeight="1">
      <c r="A147" s="19" t="s">
        <v>381</v>
      </c>
      <c r="B147" s="20" t="s">
        <v>532</v>
      </c>
      <c r="C147" s="21" t="s">
        <v>55</v>
      </c>
      <c r="D147" s="21" t="s">
        <v>137</v>
      </c>
      <c r="E147" s="22">
        <f>VLOOKUP($A147,publ_fin!$A:$I,8,FALSE)</f>
        <v>6615525.6799999997</v>
      </c>
      <c r="F147" s="115">
        <v>1</v>
      </c>
      <c r="G147" s="115">
        <v>0</v>
      </c>
      <c r="H147" s="22">
        <v>6000000</v>
      </c>
      <c r="I147" s="22">
        <f>F147*H147</f>
        <v>6000000</v>
      </c>
      <c r="J147" s="117">
        <v>0</v>
      </c>
      <c r="K147" s="117">
        <v>0</v>
      </c>
      <c r="L147" s="117">
        <v>0</v>
      </c>
      <c r="M147" s="23">
        <f t="shared" si="216"/>
        <v>0</v>
      </c>
      <c r="N147" s="54">
        <f>E147-J147</f>
        <v>6615525.6799999997</v>
      </c>
      <c r="O147" s="117">
        <f>H147+N147</f>
        <v>12615525.68</v>
      </c>
      <c r="P147" s="928">
        <v>0</v>
      </c>
      <c r="Q147" s="928">
        <f>IFERROR(VLOOKUP(A147,lauzti_līg!A:H,8,FALSE),0)</f>
        <v>0</v>
      </c>
      <c r="R147" s="928">
        <f t="shared" si="219"/>
        <v>0</v>
      </c>
      <c r="S147" s="928">
        <f>R147-M147</f>
        <v>0</v>
      </c>
      <c r="T147" s="23">
        <v>0</v>
      </c>
      <c r="U147" s="23">
        <f>T147-J147</f>
        <v>0</v>
      </c>
      <c r="V147" s="23">
        <f>O147-S147-U147</f>
        <v>12615525.68</v>
      </c>
      <c r="W147" s="23">
        <f>IF(N147&gt;=S147+U147,N147-S147-U147,0)</f>
        <v>6615525.6799999997</v>
      </c>
      <c r="X147" s="23"/>
      <c r="Y147" s="23">
        <f>IF(H147=0,0, IF(T147-E147+R147-M147&lt;0, 0, T147-E147+R147-M147))</f>
        <v>0</v>
      </c>
      <c r="Z147" s="117" t="e">
        <f>VLOOKUP(A147,#REF!,63,FALSE)/F147+#REF!</f>
        <v>#REF!</v>
      </c>
      <c r="AA147" s="880">
        <f t="shared" si="217"/>
        <v>0</v>
      </c>
    </row>
    <row r="148" spans="1:27" ht="16.5" customHeight="1">
      <c r="A148" s="19" t="s">
        <v>76</v>
      </c>
      <c r="B148" s="20" t="s">
        <v>533</v>
      </c>
      <c r="C148" s="21" t="s">
        <v>55</v>
      </c>
      <c r="D148" s="21" t="s">
        <v>137</v>
      </c>
      <c r="E148" s="22">
        <f>VLOOKUP($A148,publ_fin!$A:$I,8,FALSE)</f>
        <v>3407288.67</v>
      </c>
      <c r="F148" s="114">
        <v>1</v>
      </c>
      <c r="G148" s="115"/>
      <c r="H148" s="22">
        <v>0</v>
      </c>
      <c r="I148" s="22">
        <f>F148*H148</f>
        <v>0</v>
      </c>
      <c r="J148" s="117">
        <v>0</v>
      </c>
      <c r="K148" s="117">
        <v>0</v>
      </c>
      <c r="L148" s="117">
        <v>0</v>
      </c>
      <c r="M148" s="23">
        <f t="shared" si="216"/>
        <v>0</v>
      </c>
      <c r="N148" s="54">
        <f>E148-J148</f>
        <v>3407288.67</v>
      </c>
      <c r="O148" s="117">
        <f>H148+N148</f>
        <v>3407288.67</v>
      </c>
      <c r="P148" s="928">
        <v>0</v>
      </c>
      <c r="Q148" s="928">
        <f>IFERROR(VLOOKUP(A148,lauzti_līg!A:H,8,FALSE),0)</f>
        <v>0</v>
      </c>
      <c r="R148" s="928">
        <f t="shared" si="219"/>
        <v>0</v>
      </c>
      <c r="S148" s="928">
        <f>R148-M148</f>
        <v>0</v>
      </c>
      <c r="T148" s="23">
        <f>VLOOKUP(A148,Nosl_līg!A:H,8,0)</f>
        <v>3237833.31</v>
      </c>
      <c r="U148" s="23">
        <f>T148-J148</f>
        <v>3237833.31</v>
      </c>
      <c r="V148" s="23">
        <f>O148-S148-U148</f>
        <v>169455.35999999987</v>
      </c>
      <c r="W148" s="23">
        <f>IF(N148&gt;=S148+U148,N148-S148-U148,0)</f>
        <v>169455.35999999987</v>
      </c>
      <c r="X148" s="23"/>
      <c r="Y148" s="23">
        <f>IF(H148=0,0, IF(T148-E148+R148-M148&lt;0, 0, T148-E148+R148-M148))</f>
        <v>0</v>
      </c>
      <c r="Z148" s="117" t="e">
        <f>VLOOKUP(A148,#REF!,63,FALSE)/F148+#REF!</f>
        <v>#REF!</v>
      </c>
      <c r="AA148" s="880" t="e">
        <f t="shared" si="217"/>
        <v>#DIV/0!</v>
      </c>
    </row>
    <row r="149" spans="1:27" ht="16.5" customHeight="1">
      <c r="A149" s="14" t="s">
        <v>190</v>
      </c>
      <c r="B149" s="15" t="s">
        <v>489</v>
      </c>
      <c r="C149" s="16" t="s">
        <v>55</v>
      </c>
      <c r="D149" s="16" t="s">
        <v>139</v>
      </c>
      <c r="E149" s="17">
        <f t="shared" ref="E149:T150" si="220">E150</f>
        <v>16153989.300000001</v>
      </c>
      <c r="F149" s="113"/>
      <c r="G149" s="113">
        <f t="shared" si="220"/>
        <v>0</v>
      </c>
      <c r="H149" s="17">
        <f t="shared" si="220"/>
        <v>0</v>
      </c>
      <c r="I149" s="17">
        <f t="shared" si="220"/>
        <v>0</v>
      </c>
      <c r="J149" s="113">
        <f t="shared" si="220"/>
        <v>14846609</v>
      </c>
      <c r="K149" s="113">
        <f t="shared" si="220"/>
        <v>83990.25</v>
      </c>
      <c r="L149" s="113">
        <f t="shared" si="220"/>
        <v>0</v>
      </c>
      <c r="M149" s="17">
        <f t="shared" si="220"/>
        <v>83990.25</v>
      </c>
      <c r="N149" s="53">
        <f t="shared" si="220"/>
        <v>1307380.3000000007</v>
      </c>
      <c r="O149" s="113">
        <f t="shared" si="220"/>
        <v>1307380.3000000007</v>
      </c>
      <c r="P149" s="17">
        <v>89490</v>
      </c>
      <c r="Q149" s="17">
        <f t="shared" si="220"/>
        <v>0</v>
      </c>
      <c r="R149" s="17">
        <f t="shared" si="219"/>
        <v>89490</v>
      </c>
      <c r="S149" s="17">
        <f t="shared" si="220"/>
        <v>5499.75</v>
      </c>
      <c r="T149" s="17">
        <f t="shared" si="220"/>
        <v>16067534.68</v>
      </c>
      <c r="U149" s="17">
        <f t="shared" ref="H149:Z150" si="221">U150</f>
        <v>1220925.6799999997</v>
      </c>
      <c r="V149" s="17">
        <f t="shared" si="221"/>
        <v>80954.870000001043</v>
      </c>
      <c r="W149" s="17">
        <f t="shared" si="221"/>
        <v>80954.870000001043</v>
      </c>
      <c r="X149" s="17"/>
      <c r="Y149" s="17">
        <f t="shared" si="221"/>
        <v>0</v>
      </c>
      <c r="Z149" s="113" t="e">
        <f t="shared" si="221"/>
        <v>#REF!</v>
      </c>
      <c r="AA149" s="879" t="e">
        <f t="shared" si="217"/>
        <v>#DIV/0!</v>
      </c>
    </row>
    <row r="150" spans="1:27" ht="16.5" customHeight="1">
      <c r="A150" s="14" t="s">
        <v>154</v>
      </c>
      <c r="B150" s="15" t="s">
        <v>534</v>
      </c>
      <c r="C150" s="16" t="s">
        <v>55</v>
      </c>
      <c r="D150" s="16" t="s">
        <v>139</v>
      </c>
      <c r="E150" s="17">
        <f t="shared" si="220"/>
        <v>16153989.300000001</v>
      </c>
      <c r="F150" s="113"/>
      <c r="G150" s="113">
        <f t="shared" si="220"/>
        <v>0</v>
      </c>
      <c r="H150" s="17">
        <f t="shared" si="221"/>
        <v>0</v>
      </c>
      <c r="I150" s="17">
        <f t="shared" si="221"/>
        <v>0</v>
      </c>
      <c r="J150" s="113">
        <f t="shared" si="221"/>
        <v>14846609</v>
      </c>
      <c r="K150" s="113">
        <f t="shared" si="221"/>
        <v>83990.25</v>
      </c>
      <c r="L150" s="113">
        <f t="shared" si="221"/>
        <v>0</v>
      </c>
      <c r="M150" s="17">
        <f t="shared" si="221"/>
        <v>83990.25</v>
      </c>
      <c r="N150" s="53">
        <f t="shared" si="221"/>
        <v>1307380.3000000007</v>
      </c>
      <c r="O150" s="113">
        <f t="shared" si="221"/>
        <v>1307380.3000000007</v>
      </c>
      <c r="P150" s="17">
        <v>89490</v>
      </c>
      <c r="Q150" s="17">
        <f t="shared" si="221"/>
        <v>0</v>
      </c>
      <c r="R150" s="17">
        <f t="shared" si="219"/>
        <v>89490</v>
      </c>
      <c r="S150" s="17">
        <f t="shared" si="221"/>
        <v>5499.75</v>
      </c>
      <c r="T150" s="17">
        <f t="shared" si="221"/>
        <v>16067534.68</v>
      </c>
      <c r="U150" s="17">
        <f t="shared" si="221"/>
        <v>1220925.6799999997</v>
      </c>
      <c r="V150" s="17">
        <f t="shared" si="221"/>
        <v>80954.870000001043</v>
      </c>
      <c r="W150" s="17">
        <f t="shared" si="221"/>
        <v>80954.870000001043</v>
      </c>
      <c r="X150" s="17"/>
      <c r="Y150" s="17">
        <f t="shared" si="221"/>
        <v>0</v>
      </c>
      <c r="Z150" s="113" t="e">
        <f t="shared" ref="Z150" si="222">Z151</f>
        <v>#REF!</v>
      </c>
      <c r="AA150" s="879" t="e">
        <f t="shared" si="217"/>
        <v>#DIV/0!</v>
      </c>
    </row>
    <row r="151" spans="1:27" ht="16.5" customHeight="1">
      <c r="A151" s="19" t="s">
        <v>191</v>
      </c>
      <c r="B151" s="20" t="s">
        <v>491</v>
      </c>
      <c r="C151" s="21" t="s">
        <v>55</v>
      </c>
      <c r="D151" s="21" t="s">
        <v>139</v>
      </c>
      <c r="E151" s="23">
        <f>VLOOKUP($A151,publ_fin!$A:$I,8,FALSE)</f>
        <v>16153989.300000001</v>
      </c>
      <c r="F151" s="114">
        <v>1</v>
      </c>
      <c r="G151" s="116"/>
      <c r="H151" s="23">
        <v>0</v>
      </c>
      <c r="I151" s="22">
        <f>F151*H151</f>
        <v>0</v>
      </c>
      <c r="J151" s="117">
        <v>14846609</v>
      </c>
      <c r="K151" s="117">
        <v>83990.25</v>
      </c>
      <c r="L151" s="117">
        <v>0</v>
      </c>
      <c r="M151" s="18">
        <f t="shared" si="216"/>
        <v>83990.25</v>
      </c>
      <c r="N151" s="54">
        <f>E151-J151</f>
        <v>1307380.3000000007</v>
      </c>
      <c r="O151" s="116">
        <f>H151+N151</f>
        <v>1307380.3000000007</v>
      </c>
      <c r="P151" s="23">
        <v>89490</v>
      </c>
      <c r="Q151" s="23">
        <f>IFERROR(VLOOKUP(A151,lauzti_līg!A:H,8,FALSE),0)</f>
        <v>0</v>
      </c>
      <c r="R151" s="18">
        <f t="shared" si="219"/>
        <v>89490</v>
      </c>
      <c r="S151" s="18">
        <f>R151-M151</f>
        <v>5499.75</v>
      </c>
      <c r="T151" s="23">
        <f>VLOOKUP(A151,Nosl_līg!A:H,8,0)</f>
        <v>16067534.68</v>
      </c>
      <c r="U151" s="18">
        <f>T151-J151</f>
        <v>1220925.6799999997</v>
      </c>
      <c r="V151" s="18">
        <f>O151-S151-U151</f>
        <v>80954.870000001043</v>
      </c>
      <c r="W151" s="18">
        <f>IF(N151&gt;=S151+U151,N151-S151-U151,0)</f>
        <v>80954.870000001043</v>
      </c>
      <c r="X151" s="18"/>
      <c r="Y151" s="18">
        <f>IF(H151=0,0, IF(T151-E151+R151-M151&lt;0, 0, T151-E151+R151-M151))</f>
        <v>0</v>
      </c>
      <c r="Z151" s="117" t="e">
        <f>VLOOKUP(A151,#REF!,63,FALSE)/F151+#REF!</f>
        <v>#REF!</v>
      </c>
      <c r="AA151" s="881" t="e">
        <f t="shared" si="217"/>
        <v>#DIV/0!</v>
      </c>
    </row>
    <row r="152" spans="1:27" ht="16.5" customHeight="1">
      <c r="A152" s="34">
        <v>3</v>
      </c>
      <c r="B152" s="35" t="s">
        <v>535</v>
      </c>
      <c r="C152" s="36" t="s">
        <v>625</v>
      </c>
      <c r="D152" s="36" t="s">
        <v>1</v>
      </c>
      <c r="E152" s="37">
        <f t="shared" ref="E152:G152" si="223">E153+E154</f>
        <v>2380249145.25</v>
      </c>
      <c r="F152" s="119"/>
      <c r="G152" s="119">
        <f t="shared" si="223"/>
        <v>0</v>
      </c>
      <c r="H152" s="13">
        <f t="shared" ref="H152:Y152" si="224">H153+H154</f>
        <v>184834626</v>
      </c>
      <c r="I152" s="37">
        <f t="shared" ref="I152:L152" si="225">I153+I154</f>
        <v>176189346.83237967</v>
      </c>
      <c r="J152" s="119">
        <f t="shared" si="225"/>
        <v>2020277041.8499999</v>
      </c>
      <c r="K152" s="119">
        <f t="shared" si="225"/>
        <v>4885795.04</v>
      </c>
      <c r="L152" s="119">
        <f t="shared" si="225"/>
        <v>24398859.669999998</v>
      </c>
      <c r="M152" s="37">
        <f t="shared" si="224"/>
        <v>29284654.709999997</v>
      </c>
      <c r="N152" s="55">
        <f t="shared" si="224"/>
        <v>359972103.4000001</v>
      </c>
      <c r="O152" s="119">
        <f t="shared" si="224"/>
        <v>544806729.4000001</v>
      </c>
      <c r="P152" s="37">
        <v>28013414</v>
      </c>
      <c r="Q152" s="37">
        <f t="shared" si="224"/>
        <v>36284365.450000003</v>
      </c>
      <c r="R152" s="37">
        <f t="shared" si="219"/>
        <v>64297779.450000003</v>
      </c>
      <c r="S152" s="37">
        <f t="shared" ref="S152:T152" si="226">S153+S154</f>
        <v>35013124.739999995</v>
      </c>
      <c r="T152" s="37">
        <f t="shared" si="226"/>
        <v>2319072010.3899999</v>
      </c>
      <c r="U152" s="37">
        <f t="shared" si="224"/>
        <v>298794968.54000026</v>
      </c>
      <c r="V152" s="37">
        <f t="shared" si="224"/>
        <v>210998636.1199998</v>
      </c>
      <c r="W152" s="37">
        <f t="shared" si="224"/>
        <v>169716653.03999984</v>
      </c>
      <c r="X152" s="37"/>
      <c r="Y152" s="37">
        <f t="shared" si="224"/>
        <v>136324032.99000001</v>
      </c>
      <c r="Z152" s="119" t="e">
        <f t="shared" ref="Z152" si="227">Z153+Z154</f>
        <v>#REF!</v>
      </c>
      <c r="AA152" s="882">
        <f t="shared" si="217"/>
        <v>0.73754596711765474</v>
      </c>
    </row>
    <row r="153" spans="1:27" ht="16.5" customHeight="1">
      <c r="A153" s="34">
        <v>3</v>
      </c>
      <c r="B153" s="35" t="s">
        <v>536</v>
      </c>
      <c r="C153" s="36" t="s">
        <v>55</v>
      </c>
      <c r="D153" s="36" t="s">
        <v>1</v>
      </c>
      <c r="E153" s="37">
        <f t="shared" ref="E153:G153" si="228">E155+E186+E214+E251+E257</f>
        <v>1232215718.8999999</v>
      </c>
      <c r="F153" s="119"/>
      <c r="G153" s="119">
        <f t="shared" si="228"/>
        <v>0</v>
      </c>
      <c r="H153" s="37">
        <f t="shared" ref="H153:Y153" si="229">H155+H186+H214+H251+H257</f>
        <v>149867142</v>
      </c>
      <c r="I153" s="37">
        <f t="shared" ref="I153:L153" si="230">I155+I186+I214+I251+I257</f>
        <v>145929676.04118851</v>
      </c>
      <c r="J153" s="119">
        <f t="shared" si="230"/>
        <v>1009116030.48</v>
      </c>
      <c r="K153" s="119">
        <f t="shared" si="230"/>
        <v>4440852.92</v>
      </c>
      <c r="L153" s="119">
        <f t="shared" si="230"/>
        <v>21353859.669999998</v>
      </c>
      <c r="M153" s="37">
        <f t="shared" si="229"/>
        <v>25794712.589999996</v>
      </c>
      <c r="N153" s="55">
        <f t="shared" si="229"/>
        <v>223099688.41999996</v>
      </c>
      <c r="O153" s="119">
        <f t="shared" si="229"/>
        <v>372966830.41999996</v>
      </c>
      <c r="P153" s="37">
        <v>23342535</v>
      </c>
      <c r="Q153" s="37">
        <f t="shared" si="229"/>
        <v>27683148.309999999</v>
      </c>
      <c r="R153" s="37">
        <f t="shared" si="219"/>
        <v>51025683.310000002</v>
      </c>
      <c r="S153" s="37">
        <f t="shared" ref="S153:T153" si="231">S155+S186+S214+S251+S257</f>
        <v>25230970.719999999</v>
      </c>
      <c r="T153" s="37">
        <f t="shared" si="231"/>
        <v>1293553215</v>
      </c>
      <c r="U153" s="37">
        <f t="shared" si="229"/>
        <v>284437184.52000004</v>
      </c>
      <c r="V153" s="37">
        <f t="shared" si="229"/>
        <v>63298675.179999851</v>
      </c>
      <c r="W153" s="37">
        <f t="shared" si="229"/>
        <v>29439139.039999887</v>
      </c>
      <c r="X153" s="37"/>
      <c r="Y153" s="37">
        <f t="shared" si="229"/>
        <v>108588842.99000001</v>
      </c>
      <c r="Z153" s="119" t="e">
        <f t="shared" ref="Z153" si="232">Z155+Z186+Z214+Z251+Z257</f>
        <v>#REF!</v>
      </c>
      <c r="AA153" s="882">
        <f t="shared" si="217"/>
        <v>0.72456738375647423</v>
      </c>
    </row>
    <row r="154" spans="1:27" ht="16.5" customHeight="1">
      <c r="A154" s="34">
        <v>3</v>
      </c>
      <c r="B154" s="35" t="s">
        <v>537</v>
      </c>
      <c r="C154" s="36" t="s">
        <v>142</v>
      </c>
      <c r="D154" s="36" t="s">
        <v>1</v>
      </c>
      <c r="E154" s="37">
        <f t="shared" ref="E154:G154" si="233">E204+E235+E260</f>
        <v>1148033426.3499999</v>
      </c>
      <c r="F154" s="119"/>
      <c r="G154" s="119">
        <f t="shared" si="233"/>
        <v>0</v>
      </c>
      <c r="H154" s="37">
        <f t="shared" ref="H154:Y154" si="234">H204+H235+H260</f>
        <v>34967484</v>
      </c>
      <c r="I154" s="37">
        <f t="shared" ref="I154:L154" si="235">I204+I235+I260</f>
        <v>30259670.791191168</v>
      </c>
      <c r="J154" s="119">
        <f t="shared" si="235"/>
        <v>1011161011.3699999</v>
      </c>
      <c r="K154" s="119">
        <f t="shared" si="235"/>
        <v>444942.12000000005</v>
      </c>
      <c r="L154" s="119">
        <f t="shared" si="235"/>
        <v>3045000</v>
      </c>
      <c r="M154" s="37">
        <f t="shared" si="234"/>
        <v>3489942.1199999996</v>
      </c>
      <c r="N154" s="55">
        <f t="shared" si="234"/>
        <v>136872414.98000014</v>
      </c>
      <c r="O154" s="119">
        <f t="shared" si="234"/>
        <v>171839898.98000014</v>
      </c>
      <c r="P154" s="37">
        <v>4670879</v>
      </c>
      <c r="Q154" s="37">
        <f t="shared" si="234"/>
        <v>8601217.1400000006</v>
      </c>
      <c r="R154" s="37">
        <f t="shared" si="219"/>
        <v>13272096.140000001</v>
      </c>
      <c r="S154" s="37">
        <f t="shared" ref="S154:T154" si="236">S204+S235+S260</f>
        <v>9782154.0199999996</v>
      </c>
      <c r="T154" s="37">
        <f t="shared" si="236"/>
        <v>1025518795.39</v>
      </c>
      <c r="U154" s="37">
        <f t="shared" si="234"/>
        <v>14357784.020000193</v>
      </c>
      <c r="V154" s="37">
        <f t="shared" si="234"/>
        <v>147699960.93999994</v>
      </c>
      <c r="W154" s="37">
        <f t="shared" si="234"/>
        <v>140277513.99999997</v>
      </c>
      <c r="X154" s="37"/>
      <c r="Y154" s="37">
        <f t="shared" si="234"/>
        <v>27735190</v>
      </c>
      <c r="Z154" s="119" t="e">
        <f t="shared" ref="Z154" si="237">Z204+Z235+Z260</f>
        <v>#REF!</v>
      </c>
      <c r="AA154" s="882">
        <f t="shared" si="217"/>
        <v>0.79317087840806622</v>
      </c>
    </row>
    <row r="155" spans="1:27" ht="16.5" customHeight="1">
      <c r="A155" s="14" t="s">
        <v>77</v>
      </c>
      <c r="B155" s="15" t="s">
        <v>538</v>
      </c>
      <c r="C155" s="16" t="s">
        <v>55</v>
      </c>
      <c r="D155" s="16" t="s">
        <v>1</v>
      </c>
      <c r="E155" s="17">
        <f t="shared" ref="E155:G155" si="238">E156+E159+E162+E168+E178</f>
        <v>377454780.53999996</v>
      </c>
      <c r="F155" s="113"/>
      <c r="G155" s="113">
        <f t="shared" si="238"/>
        <v>0</v>
      </c>
      <c r="H155" s="17">
        <f t="shared" ref="H155:Y155" si="239">H156+H159+H162+H168+H178</f>
        <v>38871547</v>
      </c>
      <c r="I155" s="17">
        <f t="shared" ref="I155:L155" si="240">I156+I159+I162+I168+I178</f>
        <v>37662541.689069822</v>
      </c>
      <c r="J155" s="113">
        <f t="shared" si="240"/>
        <v>334033683.68999994</v>
      </c>
      <c r="K155" s="113">
        <f t="shared" si="240"/>
        <v>1854661.54</v>
      </c>
      <c r="L155" s="113">
        <f t="shared" si="240"/>
        <v>9172578.2899999991</v>
      </c>
      <c r="M155" s="17">
        <f t="shared" si="239"/>
        <v>11027239.83</v>
      </c>
      <c r="N155" s="53">
        <f t="shared" si="239"/>
        <v>43421096.850000031</v>
      </c>
      <c r="O155" s="113">
        <f t="shared" si="239"/>
        <v>82292643.850000024</v>
      </c>
      <c r="P155" s="17">
        <v>9435988</v>
      </c>
      <c r="Q155" s="17">
        <f t="shared" si="239"/>
        <v>9262031.129999999</v>
      </c>
      <c r="R155" s="17">
        <f t="shared" si="219"/>
        <v>18698019.129999999</v>
      </c>
      <c r="S155" s="17">
        <f t="shared" ref="S155:T155" si="241">S156+S159+S162+S168+S178</f>
        <v>7670779.3000000007</v>
      </c>
      <c r="T155" s="17">
        <f t="shared" si="241"/>
        <v>398869457.64999998</v>
      </c>
      <c r="U155" s="17">
        <f t="shared" si="239"/>
        <v>64835773.960000031</v>
      </c>
      <c r="V155" s="17">
        <f t="shared" si="239"/>
        <v>9786090.5899999961</v>
      </c>
      <c r="W155" s="17">
        <f t="shared" si="239"/>
        <v>1378160.9600000028</v>
      </c>
      <c r="X155" s="17"/>
      <c r="Y155" s="17">
        <f t="shared" si="239"/>
        <v>18896234</v>
      </c>
      <c r="Z155" s="113" t="e">
        <f t="shared" ref="Z155" si="242">Z156+Z159+Z162+Z168+Z178</f>
        <v>#REF!</v>
      </c>
      <c r="AA155" s="879">
        <f t="shared" si="217"/>
        <v>0.48611993754712157</v>
      </c>
    </row>
    <row r="156" spans="1:27" ht="16.5" customHeight="1">
      <c r="A156" s="14" t="s">
        <v>78</v>
      </c>
      <c r="B156" s="15" t="s">
        <v>539</v>
      </c>
      <c r="C156" s="16" t="s">
        <v>55</v>
      </c>
      <c r="D156" s="16" t="s">
        <v>5</v>
      </c>
      <c r="E156" s="17">
        <f t="shared" ref="E156:G156" si="243">E157+E158</f>
        <v>62303525.409999996</v>
      </c>
      <c r="F156" s="113"/>
      <c r="G156" s="113">
        <f t="shared" si="243"/>
        <v>0</v>
      </c>
      <c r="H156" s="17">
        <f t="shared" ref="H156:Y156" si="244">H157+H158</f>
        <v>18661895</v>
      </c>
      <c r="I156" s="17">
        <f t="shared" ref="I156:L156" si="245">I157+I158</f>
        <v>18661895</v>
      </c>
      <c r="J156" s="113">
        <f t="shared" si="245"/>
        <v>21529891.170000002</v>
      </c>
      <c r="K156" s="113">
        <f t="shared" si="245"/>
        <v>995711.84</v>
      </c>
      <c r="L156" s="113">
        <f t="shared" si="245"/>
        <v>0</v>
      </c>
      <c r="M156" s="17">
        <f t="shared" si="244"/>
        <v>995711.84</v>
      </c>
      <c r="N156" s="53">
        <f t="shared" si="244"/>
        <v>40773634.239999995</v>
      </c>
      <c r="O156" s="113">
        <f t="shared" si="244"/>
        <v>59435529.239999995</v>
      </c>
      <c r="P156" s="17">
        <v>5300946</v>
      </c>
      <c r="Q156" s="17">
        <f t="shared" si="244"/>
        <v>0</v>
      </c>
      <c r="R156" s="17">
        <f t="shared" si="219"/>
        <v>5300946</v>
      </c>
      <c r="S156" s="17">
        <f t="shared" ref="S156:T156" si="246">S157+S158</f>
        <v>4305234.16</v>
      </c>
      <c r="T156" s="17">
        <f t="shared" si="246"/>
        <v>68221741.810000002</v>
      </c>
      <c r="U156" s="17">
        <f t="shared" si="244"/>
        <v>46691850.640000001</v>
      </c>
      <c r="V156" s="17">
        <f t="shared" si="244"/>
        <v>8438444.439999992</v>
      </c>
      <c r="W156" s="17">
        <f t="shared" si="244"/>
        <v>58187.010000000009</v>
      </c>
      <c r="X156" s="17"/>
      <c r="Y156" s="17">
        <f t="shared" si="244"/>
        <v>0</v>
      </c>
      <c r="Z156" s="113" t="e">
        <f t="shared" ref="Z156" si="247">Z157+Z158</f>
        <v>#REF!</v>
      </c>
      <c r="AA156" s="879">
        <f t="shared" si="217"/>
        <v>0</v>
      </c>
    </row>
    <row r="157" spans="1:27" ht="16.5" customHeight="1">
      <c r="A157" s="19" t="s">
        <v>315</v>
      </c>
      <c r="B157" s="20" t="s">
        <v>644</v>
      </c>
      <c r="C157" s="21" t="s">
        <v>55</v>
      </c>
      <c r="D157" s="21" t="s">
        <v>5</v>
      </c>
      <c r="E157" s="22">
        <f>VLOOKUP($A157,publ_fin!$A:$I,8,FALSE)</f>
        <v>59988195.259999998</v>
      </c>
      <c r="F157" s="114">
        <v>1</v>
      </c>
      <c r="G157" s="115"/>
      <c r="H157" s="22">
        <v>18661895</v>
      </c>
      <c r="I157" s="22">
        <f>F157*H157</f>
        <v>18661895</v>
      </c>
      <c r="J157" s="117">
        <f>63120528.17-43905965</f>
        <v>19214563.170000002</v>
      </c>
      <c r="K157" s="117">
        <v>995711.84</v>
      </c>
      <c r="L157" s="117">
        <v>0</v>
      </c>
      <c r="M157" s="23">
        <f t="shared" si="216"/>
        <v>995711.84</v>
      </c>
      <c r="N157" s="54">
        <f>E157-J157</f>
        <v>40773632.089999996</v>
      </c>
      <c r="O157" s="117">
        <f>H157+N157</f>
        <v>59435527.089999996</v>
      </c>
      <c r="P157" s="23">
        <v>5112363</v>
      </c>
      <c r="Q157" s="23">
        <f>IF(IFERROR(VLOOKUP(A157,lauzti_līg!A:H,8,FALSE),0)-43905965&lt;0,0,IFERROR(VLOOKUP(A157,lauzti_līg!A:H,8,FALSE),0)-43905965)</f>
        <v>0</v>
      </c>
      <c r="R157" s="23">
        <f t="shared" si="219"/>
        <v>5112363</v>
      </c>
      <c r="S157" s="23">
        <f>R157-M157</f>
        <v>4116651.16</v>
      </c>
      <c r="T157" s="23">
        <f>VLOOKUP(A157,Nosl_līg!A:H,8,0)</f>
        <v>66153181.670000002</v>
      </c>
      <c r="U157" s="23">
        <f>T157-J157</f>
        <v>46938618.5</v>
      </c>
      <c r="V157" s="23">
        <f>O157-S157-U157</f>
        <v>8380257.4299999923</v>
      </c>
      <c r="W157" s="23">
        <f>IF(N157&gt;=S157+U157,N157-S157-U157,0)</f>
        <v>0</v>
      </c>
      <c r="X157" s="23"/>
      <c r="Y157" s="23">
        <v>0</v>
      </c>
      <c r="Z157" s="117" t="e">
        <f>VLOOKUP(A157,#REF!,63,FALSE)/F157+#REF!</f>
        <v>#REF!</v>
      </c>
      <c r="AA157" s="880">
        <f t="shared" si="217"/>
        <v>0</v>
      </c>
    </row>
    <row r="158" spans="1:27" ht="16.5" customHeight="1">
      <c r="A158" s="19" t="s">
        <v>79</v>
      </c>
      <c r="B158" s="20" t="s">
        <v>540</v>
      </c>
      <c r="C158" s="21" t="s">
        <v>55</v>
      </c>
      <c r="D158" s="21" t="s">
        <v>5</v>
      </c>
      <c r="E158" s="22">
        <f>VLOOKUP($A158,publ_fin!$A:$I,8,FALSE)</f>
        <v>2315330.15</v>
      </c>
      <c r="F158" s="114">
        <v>0.8499999103799516</v>
      </c>
      <c r="G158" s="115"/>
      <c r="H158" s="22">
        <v>0</v>
      </c>
      <c r="I158" s="22">
        <f>F158*H158</f>
        <v>0</v>
      </c>
      <c r="J158" s="117">
        <v>2315328</v>
      </c>
      <c r="K158" s="117">
        <v>0</v>
      </c>
      <c r="L158" s="117">
        <v>0</v>
      </c>
      <c r="M158" s="23">
        <f t="shared" si="216"/>
        <v>0</v>
      </c>
      <c r="N158" s="54">
        <f>E158-J158</f>
        <v>2.1499999999068677</v>
      </c>
      <c r="O158" s="117">
        <f>H158+N158</f>
        <v>2.1499999999068677</v>
      </c>
      <c r="P158" s="23">
        <v>188583</v>
      </c>
      <c r="Q158" s="23">
        <f>IFERROR(VLOOKUP(A158,lauzti_līg!A:H,8,FALSE),0)</f>
        <v>0</v>
      </c>
      <c r="R158" s="23">
        <f t="shared" si="219"/>
        <v>188583</v>
      </c>
      <c r="S158" s="23">
        <f>R158-M158</f>
        <v>188583</v>
      </c>
      <c r="T158" s="23">
        <f>VLOOKUP(A158,Nosl_līg!A:H,8,0)</f>
        <v>2068560.14</v>
      </c>
      <c r="U158" s="23">
        <f>T158-J158</f>
        <v>-246767.8600000001</v>
      </c>
      <c r="V158" s="23">
        <f>O158-S158-U158</f>
        <v>58187.010000000009</v>
      </c>
      <c r="W158" s="23">
        <f>IF(N158&gt;=S158+U158,N158-S158-U158,0)</f>
        <v>58187.010000000009</v>
      </c>
      <c r="X158" s="23"/>
      <c r="Y158" s="23">
        <f>IF(H158=0,0, IF(T158-E158+R158-M158&lt;0, 0, T158-E158+R158-M158))</f>
        <v>0</v>
      </c>
      <c r="Z158" s="117" t="e">
        <f>VLOOKUP(A158,#REF!,63,FALSE)/F158+#REF!</f>
        <v>#REF!</v>
      </c>
      <c r="AA158" s="880" t="e">
        <f t="shared" si="217"/>
        <v>#DIV/0!</v>
      </c>
    </row>
    <row r="159" spans="1:27" ht="16.5" customHeight="1">
      <c r="A159" s="14" t="s">
        <v>80</v>
      </c>
      <c r="B159" s="15" t="s">
        <v>541</v>
      </c>
      <c r="C159" s="16" t="s">
        <v>55</v>
      </c>
      <c r="D159" s="16" t="s">
        <v>5</v>
      </c>
      <c r="E159" s="17">
        <f t="shared" ref="E159:Z159" si="248">E160+E161</f>
        <v>92718203.439999998</v>
      </c>
      <c r="F159" s="113"/>
      <c r="G159" s="113">
        <f t="shared" si="248"/>
        <v>0</v>
      </c>
      <c r="H159" s="17">
        <f t="shared" si="248"/>
        <v>0</v>
      </c>
      <c r="I159" s="17">
        <f t="shared" si="248"/>
        <v>0</v>
      </c>
      <c r="J159" s="113">
        <f t="shared" si="248"/>
        <v>92624364</v>
      </c>
      <c r="K159" s="113">
        <f t="shared" si="248"/>
        <v>119671.63</v>
      </c>
      <c r="L159" s="113">
        <f t="shared" si="248"/>
        <v>0</v>
      </c>
      <c r="M159" s="17">
        <f t="shared" si="248"/>
        <v>119671.63</v>
      </c>
      <c r="N159" s="53">
        <f>N160+N161</f>
        <v>93839.439999997616</v>
      </c>
      <c r="O159" s="113">
        <f t="shared" si="248"/>
        <v>93839.439999997616</v>
      </c>
      <c r="P159" s="17">
        <v>409179</v>
      </c>
      <c r="Q159" s="17">
        <f t="shared" si="248"/>
        <v>0</v>
      </c>
      <c r="R159" s="17">
        <f t="shared" si="219"/>
        <v>409179</v>
      </c>
      <c r="S159" s="17">
        <f t="shared" si="248"/>
        <v>289507.37</v>
      </c>
      <c r="T159" s="17">
        <f t="shared" si="248"/>
        <v>92180957.959999993</v>
      </c>
      <c r="U159" s="17">
        <f t="shared" si="248"/>
        <v>-443406.04000000656</v>
      </c>
      <c r="V159" s="17">
        <f t="shared" si="248"/>
        <v>247738.11000000418</v>
      </c>
      <c r="W159" s="17">
        <f t="shared" si="248"/>
        <v>247738.11000000418</v>
      </c>
      <c r="X159" s="17"/>
      <c r="Y159" s="17">
        <f t="shared" si="248"/>
        <v>0</v>
      </c>
      <c r="Z159" s="113" t="e">
        <f t="shared" si="248"/>
        <v>#REF!</v>
      </c>
      <c r="AA159" s="879" t="e">
        <f t="shared" si="217"/>
        <v>#DIV/0!</v>
      </c>
    </row>
    <row r="160" spans="1:27" ht="16.5" customHeight="1">
      <c r="A160" s="19" t="s">
        <v>81</v>
      </c>
      <c r="B160" s="20" t="s">
        <v>642</v>
      </c>
      <c r="C160" s="21" t="s">
        <v>55</v>
      </c>
      <c r="D160" s="21" t="s">
        <v>5</v>
      </c>
      <c r="E160" s="22">
        <f>VLOOKUP($A160,publ_fin!$A:$I,8,FALSE)</f>
        <v>92718203.439999998</v>
      </c>
      <c r="F160" s="114">
        <v>0.92079400832273073</v>
      </c>
      <c r="G160" s="115"/>
      <c r="H160" s="22">
        <v>0</v>
      </c>
      <c r="I160" s="22">
        <f>F160*H160</f>
        <v>0</v>
      </c>
      <c r="J160" s="117">
        <v>92624364</v>
      </c>
      <c r="K160" s="117">
        <v>119671.63</v>
      </c>
      <c r="L160" s="117">
        <v>0</v>
      </c>
      <c r="M160" s="23">
        <f t="shared" si="216"/>
        <v>119671.63</v>
      </c>
      <c r="N160" s="54">
        <f>E160-J160</f>
        <v>93839.439999997616</v>
      </c>
      <c r="O160" s="115">
        <f>H160+N160</f>
        <v>93839.439999997616</v>
      </c>
      <c r="P160" s="23">
        <v>409179</v>
      </c>
      <c r="Q160" s="23">
        <f>IFERROR(VLOOKUP(A160,lauzti_līg!A:H,8,FALSE),0)</f>
        <v>0</v>
      </c>
      <c r="R160" s="23">
        <f t="shared" si="219"/>
        <v>409179</v>
      </c>
      <c r="S160" s="23">
        <f>R160-M160</f>
        <v>289507.37</v>
      </c>
      <c r="T160" s="23">
        <f>VLOOKUP(A160,Nosl_līg!A:H,8,0)</f>
        <v>92180957.959999993</v>
      </c>
      <c r="U160" s="23">
        <f>T160-J160</f>
        <v>-443406.04000000656</v>
      </c>
      <c r="V160" s="23">
        <f>O160-S160-U160</f>
        <v>247738.11000000418</v>
      </c>
      <c r="W160" s="23">
        <f>IF(N160&gt;=S160+U160,N160-S160-U160,0)</f>
        <v>247738.11000000418</v>
      </c>
      <c r="X160" s="23"/>
      <c r="Y160" s="23">
        <f>IF(H160=0,0, IF(T160-E160+R160-M160&lt;0, 0, T160-E160+R160-M160))</f>
        <v>0</v>
      </c>
      <c r="Z160" s="117" t="e">
        <f>VLOOKUP(A160,#REF!,63,FALSE)/F160+#REF!</f>
        <v>#REF!</v>
      </c>
      <c r="AA160" s="880" t="e">
        <f t="shared" si="217"/>
        <v>#DIV/0!</v>
      </c>
    </row>
    <row r="161" spans="1:27" ht="16.5" customHeight="1">
      <c r="A161" s="19" t="s">
        <v>82</v>
      </c>
      <c r="B161" s="20" t="s">
        <v>542</v>
      </c>
      <c r="C161" s="21" t="s">
        <v>55</v>
      </c>
      <c r="D161" s="21" t="s">
        <v>5</v>
      </c>
      <c r="E161" s="22">
        <f>VLOOKUP($A161,publ_fin!$A:$I,8,FALSE)</f>
        <v>0</v>
      </c>
      <c r="F161" s="114">
        <v>0</v>
      </c>
      <c r="G161" s="115"/>
      <c r="H161" s="22">
        <v>0</v>
      </c>
      <c r="I161" s="22">
        <f>F161*H161</f>
        <v>0</v>
      </c>
      <c r="J161" s="117">
        <v>0</v>
      </c>
      <c r="K161" s="117">
        <v>0</v>
      </c>
      <c r="L161" s="117">
        <v>0</v>
      </c>
      <c r="M161" s="23">
        <f t="shared" si="216"/>
        <v>0</v>
      </c>
      <c r="N161" s="54">
        <f>E161-J161</f>
        <v>0</v>
      </c>
      <c r="O161" s="117">
        <f>H161+N161</f>
        <v>0</v>
      </c>
      <c r="P161" s="23">
        <v>0</v>
      </c>
      <c r="Q161" s="23">
        <f>IFERROR(VLOOKUP(A161,lauzti_līg!A:H,8,FALSE),0)</f>
        <v>0</v>
      </c>
      <c r="R161" s="23">
        <f t="shared" si="219"/>
        <v>0</v>
      </c>
      <c r="S161" s="23">
        <f>R161-M161</f>
        <v>0</v>
      </c>
      <c r="T161" s="23">
        <v>0</v>
      </c>
      <c r="U161" s="23">
        <f>T161-J161</f>
        <v>0</v>
      </c>
      <c r="V161" s="23">
        <f>O161-S161-U161</f>
        <v>0</v>
      </c>
      <c r="W161" s="23">
        <f>IF(N161&gt;=S161+U161,N161-S161-U161,0)</f>
        <v>0</v>
      </c>
      <c r="X161" s="23"/>
      <c r="Y161" s="23">
        <f>IF(H161=0,0, IF(T161-E161+R161-M161&lt;0, 0, T161-E161+R161-M161))</f>
        <v>0</v>
      </c>
      <c r="Z161" s="117">
        <v>0</v>
      </c>
      <c r="AA161" s="880" t="e">
        <f t="shared" si="217"/>
        <v>#DIV/0!</v>
      </c>
    </row>
    <row r="162" spans="1:27" ht="16.5" customHeight="1">
      <c r="A162" s="14" t="s">
        <v>83</v>
      </c>
      <c r="B162" s="15" t="s">
        <v>543</v>
      </c>
      <c r="C162" s="16" t="s">
        <v>55</v>
      </c>
      <c r="D162" s="16" t="s">
        <v>5</v>
      </c>
      <c r="E162" s="17">
        <f t="shared" ref="E162:Z162" si="249">E163+E164+E165</f>
        <v>28687926.549999997</v>
      </c>
      <c r="F162" s="113"/>
      <c r="G162" s="113">
        <f t="shared" si="249"/>
        <v>0</v>
      </c>
      <c r="H162" s="17">
        <f t="shared" si="249"/>
        <v>0</v>
      </c>
      <c r="I162" s="17">
        <f t="shared" si="249"/>
        <v>0</v>
      </c>
      <c r="J162" s="113">
        <f t="shared" si="249"/>
        <v>28797611.68</v>
      </c>
      <c r="K162" s="113">
        <f t="shared" si="249"/>
        <v>311329.3</v>
      </c>
      <c r="L162" s="113">
        <f t="shared" si="249"/>
        <v>83633</v>
      </c>
      <c r="M162" s="17">
        <f t="shared" si="249"/>
        <v>394962.3</v>
      </c>
      <c r="N162" s="53">
        <f t="shared" si="249"/>
        <v>-109685.13000000082</v>
      </c>
      <c r="O162" s="113">
        <f t="shared" si="249"/>
        <v>-109685.13000000082</v>
      </c>
      <c r="P162" s="17">
        <v>615900</v>
      </c>
      <c r="Q162" s="17">
        <f t="shared" si="249"/>
        <v>83633</v>
      </c>
      <c r="R162" s="17">
        <f t="shared" si="219"/>
        <v>699533</v>
      </c>
      <c r="S162" s="17">
        <f t="shared" si="249"/>
        <v>304570.7</v>
      </c>
      <c r="T162" s="17">
        <f t="shared" si="249"/>
        <v>28020140.470000003</v>
      </c>
      <c r="U162" s="17">
        <f t="shared" si="249"/>
        <v>-777471.20999999903</v>
      </c>
      <c r="V162" s="17">
        <f t="shared" si="249"/>
        <v>363215.37999999814</v>
      </c>
      <c r="W162" s="17">
        <f t="shared" si="249"/>
        <v>449707.90999999782</v>
      </c>
      <c r="X162" s="17"/>
      <c r="Y162" s="17">
        <f t="shared" si="249"/>
        <v>0</v>
      </c>
      <c r="Z162" s="113" t="e">
        <f t="shared" si="249"/>
        <v>#REF!</v>
      </c>
      <c r="AA162" s="879" t="e">
        <f t="shared" si="217"/>
        <v>#DIV/0!</v>
      </c>
    </row>
    <row r="163" spans="1:27" ht="16.5" customHeight="1">
      <c r="A163" s="19" t="s">
        <v>181</v>
      </c>
      <c r="B163" s="20" t="s">
        <v>629</v>
      </c>
      <c r="C163" s="21" t="s">
        <v>55</v>
      </c>
      <c r="D163" s="21" t="s">
        <v>5</v>
      </c>
      <c r="E163" s="22">
        <f>VLOOKUP($A163,publ_fin!$A:$I,8,FALSE)</f>
        <v>18045154.739999998</v>
      </c>
      <c r="F163" s="114">
        <v>1</v>
      </c>
      <c r="G163" s="115"/>
      <c r="H163" s="22">
        <v>0</v>
      </c>
      <c r="I163" s="22">
        <f>F163*H163</f>
        <v>0</v>
      </c>
      <c r="J163" s="117">
        <v>18155403.039999999</v>
      </c>
      <c r="K163" s="117">
        <v>195120.72</v>
      </c>
      <c r="L163" s="117">
        <v>0</v>
      </c>
      <c r="M163" s="23">
        <f t="shared" si="216"/>
        <v>195120.72</v>
      </c>
      <c r="N163" s="54">
        <f>E163-J163</f>
        <v>-110248.30000000075</v>
      </c>
      <c r="O163" s="117">
        <f>H163+N163</f>
        <v>-110248.30000000075</v>
      </c>
      <c r="P163" s="23">
        <v>254774</v>
      </c>
      <c r="Q163" s="23">
        <f>IFERROR(VLOOKUP(A163,lauzti_līg!A:H,8,FALSE),0)</f>
        <v>0</v>
      </c>
      <c r="R163" s="23">
        <f t="shared" si="219"/>
        <v>254774</v>
      </c>
      <c r="S163" s="23">
        <f>R163-M163</f>
        <v>59653.279999999999</v>
      </c>
      <c r="T163" s="23">
        <f>VLOOKUP(A163,Nosl_līg!A:H,8,0)</f>
        <v>17721766.98</v>
      </c>
      <c r="U163" s="23">
        <f>T163-J163</f>
        <v>-433636.05999999866</v>
      </c>
      <c r="V163" s="23">
        <f>O163-S163-U163</f>
        <v>263734.47999999789</v>
      </c>
      <c r="W163" s="23">
        <f>IF(N163&gt;=S163+U163,N163-S163-U163,0)</f>
        <v>263734.47999999789</v>
      </c>
      <c r="X163" s="23"/>
      <c r="Y163" s="23">
        <f>IF(H163=0,0, IF(T163-E163+R163-M163&lt;0, 0, T163-E163+R163-M163))</f>
        <v>0</v>
      </c>
      <c r="Z163" s="117" t="e">
        <f>VLOOKUP(A163,#REF!,63,FALSE)/F163+#REF!</f>
        <v>#REF!</v>
      </c>
      <c r="AA163" s="880" t="e">
        <f t="shared" si="217"/>
        <v>#DIV/0!</v>
      </c>
    </row>
    <row r="164" spans="1:27" ht="16.5" customHeight="1">
      <c r="A164" s="19" t="s">
        <v>84</v>
      </c>
      <c r="B164" s="20" t="s">
        <v>544</v>
      </c>
      <c r="C164" s="21" t="s">
        <v>55</v>
      </c>
      <c r="D164" s="21" t="s">
        <v>5</v>
      </c>
      <c r="E164" s="22">
        <f>VLOOKUP($A164,publ_fin!$A:$I,8,FALSE)</f>
        <v>2226541.4</v>
      </c>
      <c r="F164" s="114">
        <v>1</v>
      </c>
      <c r="G164" s="115"/>
      <c r="H164" s="22">
        <v>0</v>
      </c>
      <c r="I164" s="22">
        <f>F164*H164</f>
        <v>0</v>
      </c>
      <c r="J164" s="117">
        <v>2226540</v>
      </c>
      <c r="K164" s="117">
        <v>756.99</v>
      </c>
      <c r="L164" s="117">
        <v>0</v>
      </c>
      <c r="M164" s="23">
        <f t="shared" si="216"/>
        <v>756.99</v>
      </c>
      <c r="N164" s="54">
        <f>E164-J164</f>
        <v>1.3999999999068677</v>
      </c>
      <c r="O164" s="117">
        <f>H164+N164</f>
        <v>1.3999999999068677</v>
      </c>
      <c r="P164" s="23">
        <v>21972</v>
      </c>
      <c r="Q164" s="23">
        <f>IFERROR(VLOOKUP(A164,lauzti_līg!A:H,8,FALSE),0)</f>
        <v>0</v>
      </c>
      <c r="R164" s="23">
        <f t="shared" si="219"/>
        <v>21972</v>
      </c>
      <c r="S164" s="23">
        <f>R164-M164</f>
        <v>21215.01</v>
      </c>
      <c r="T164" s="23">
        <f>VLOOKUP(A164,Nosl_līg!A:H,8,0)</f>
        <v>2221041.0099999998</v>
      </c>
      <c r="U164" s="23">
        <f>T164-J164</f>
        <v>-5498.9900000002235</v>
      </c>
      <c r="V164" s="23">
        <f>O164-S164-U164</f>
        <v>-15714.619999999868</v>
      </c>
      <c r="W164" s="23">
        <f>IF(N164&gt;=S164+U164,N164-S164-U164,0)</f>
        <v>0</v>
      </c>
      <c r="X164" s="23"/>
      <c r="Y164" s="23">
        <f>IF(H164=0,0, IF(T164-E164+R164-M164&lt;0, 0, T164-E164+R164-M164))</f>
        <v>0</v>
      </c>
      <c r="Z164" s="117" t="e">
        <f>VLOOKUP(A164,#REF!,63,FALSE)/F164+#REF!</f>
        <v>#REF!</v>
      </c>
      <c r="AA164" s="880" t="e">
        <f t="shared" si="217"/>
        <v>#DIV/0!</v>
      </c>
    </row>
    <row r="165" spans="1:27" ht="16.5" customHeight="1">
      <c r="A165" s="19" t="s">
        <v>85</v>
      </c>
      <c r="B165" s="20" t="s">
        <v>545</v>
      </c>
      <c r="C165" s="21" t="s">
        <v>55</v>
      </c>
      <c r="D165" s="21" t="s">
        <v>5</v>
      </c>
      <c r="E165" s="23">
        <f t="shared" ref="E165:Z165" si="250">E166+E167</f>
        <v>8416230.4100000001</v>
      </c>
      <c r="F165" s="116"/>
      <c r="G165" s="116">
        <f t="shared" si="250"/>
        <v>0</v>
      </c>
      <c r="H165" s="23">
        <f t="shared" si="250"/>
        <v>0</v>
      </c>
      <c r="I165" s="18">
        <f t="shared" si="250"/>
        <v>0</v>
      </c>
      <c r="J165" s="116">
        <f t="shared" si="250"/>
        <v>8415668.6400000006</v>
      </c>
      <c r="K165" s="116">
        <f t="shared" si="250"/>
        <v>115451.59</v>
      </c>
      <c r="L165" s="116">
        <f t="shared" si="250"/>
        <v>83633</v>
      </c>
      <c r="M165" s="18">
        <f t="shared" si="250"/>
        <v>199084.59</v>
      </c>
      <c r="N165" s="54">
        <f t="shared" si="250"/>
        <v>561.77000000001863</v>
      </c>
      <c r="O165" s="116">
        <f t="shared" si="250"/>
        <v>561.77000000001863</v>
      </c>
      <c r="P165" s="18">
        <v>339154</v>
      </c>
      <c r="Q165" s="18">
        <f t="shared" si="250"/>
        <v>83633</v>
      </c>
      <c r="R165" s="18">
        <f t="shared" si="219"/>
        <v>422787</v>
      </c>
      <c r="S165" s="18">
        <f t="shared" si="250"/>
        <v>223702.41</v>
      </c>
      <c r="T165" s="23">
        <f>T166+T167</f>
        <v>8077332.4799999995</v>
      </c>
      <c r="U165" s="18">
        <f t="shared" si="250"/>
        <v>-338336.16000000015</v>
      </c>
      <c r="V165" s="18">
        <f t="shared" si="250"/>
        <v>115195.52000000016</v>
      </c>
      <c r="W165" s="18">
        <f t="shared" si="250"/>
        <v>185973.42999999996</v>
      </c>
      <c r="X165" s="18"/>
      <c r="Y165" s="18">
        <f t="shared" si="250"/>
        <v>0</v>
      </c>
      <c r="Z165" s="116" t="e">
        <f t="shared" si="250"/>
        <v>#REF!</v>
      </c>
      <c r="AA165" s="881" t="e">
        <f t="shared" si="217"/>
        <v>#DIV/0!</v>
      </c>
    </row>
    <row r="166" spans="1:27" ht="16.5" customHeight="1">
      <c r="A166" s="19" t="s">
        <v>180</v>
      </c>
      <c r="B166" s="20" t="s">
        <v>546</v>
      </c>
      <c r="C166" s="21" t="s">
        <v>55</v>
      </c>
      <c r="D166" s="21" t="s">
        <v>5</v>
      </c>
      <c r="E166" s="22">
        <f>VLOOKUP($A166,publ_fin!$A:$I,8,FALSE)</f>
        <v>5716032.1399999997</v>
      </c>
      <c r="F166" s="114">
        <v>1</v>
      </c>
      <c r="G166" s="115"/>
      <c r="H166" s="22">
        <v>0</v>
      </c>
      <c r="I166" s="22">
        <f>F166*H166</f>
        <v>0</v>
      </c>
      <c r="J166" s="117">
        <v>5715470.4399999995</v>
      </c>
      <c r="K166" s="117">
        <v>89134.720000000001</v>
      </c>
      <c r="L166" s="117">
        <v>0</v>
      </c>
      <c r="M166" s="23">
        <f t="shared" si="216"/>
        <v>89134.720000000001</v>
      </c>
      <c r="N166" s="54">
        <f>E166-J166</f>
        <v>561.70000000018626</v>
      </c>
      <c r="O166" s="117">
        <f>H166+N166</f>
        <v>561.70000000018626</v>
      </c>
      <c r="P166" s="23">
        <v>140192</v>
      </c>
      <c r="Q166" s="23">
        <f>IFERROR(VLOOKUP(A166,lauzti_līg!A:H,8,FALSE),0)</f>
        <v>0</v>
      </c>
      <c r="R166" s="23">
        <f t="shared" si="219"/>
        <v>140192</v>
      </c>
      <c r="S166" s="23">
        <f>R166-M166</f>
        <v>51057.279999999999</v>
      </c>
      <c r="T166" s="23">
        <f>VLOOKUP(A166,Nosl_līg!A:H,8,0)</f>
        <v>5479001.4299999997</v>
      </c>
      <c r="U166" s="23">
        <f>T166-J166</f>
        <v>-236469.00999999978</v>
      </c>
      <c r="V166" s="23">
        <f>O166-S166-U166</f>
        <v>185973.42999999996</v>
      </c>
      <c r="W166" s="23">
        <f>IF(N166&gt;=S166+U166,N166-S166-U166,0)</f>
        <v>185973.42999999996</v>
      </c>
      <c r="X166" s="23"/>
      <c r="Y166" s="23">
        <f>IF(H166=0,0, IF(T166-E166+R166-M166&lt;0, 0, T166-E166+R166-M166))</f>
        <v>0</v>
      </c>
      <c r="Z166" s="117" t="e">
        <f>VLOOKUP(A166,#REF!,63,FALSE)/F166+#REF!</f>
        <v>#REF!</v>
      </c>
      <c r="AA166" s="880" t="e">
        <f t="shared" si="217"/>
        <v>#DIV/0!</v>
      </c>
    </row>
    <row r="167" spans="1:27" ht="16.5" customHeight="1">
      <c r="A167" s="19" t="s">
        <v>173</v>
      </c>
      <c r="B167" s="20" t="s">
        <v>547</v>
      </c>
      <c r="C167" s="21" t="s">
        <v>55</v>
      </c>
      <c r="D167" s="21" t="s">
        <v>5</v>
      </c>
      <c r="E167" s="22">
        <f>VLOOKUP($A167,publ_fin!$A:$I,8,FALSE)</f>
        <v>2700198.27</v>
      </c>
      <c r="F167" s="114">
        <v>1</v>
      </c>
      <c r="G167" s="115"/>
      <c r="H167" s="22">
        <v>0</v>
      </c>
      <c r="I167" s="22">
        <f>F167*H167</f>
        <v>0</v>
      </c>
      <c r="J167" s="117">
        <v>2700198.2</v>
      </c>
      <c r="K167" s="117">
        <v>26316.87</v>
      </c>
      <c r="L167" s="117">
        <v>83633</v>
      </c>
      <c r="M167" s="23">
        <f t="shared" si="216"/>
        <v>109949.87</v>
      </c>
      <c r="N167" s="54">
        <f>E167-J167</f>
        <v>6.9999999832361937E-2</v>
      </c>
      <c r="O167" s="117">
        <f>H167+N167</f>
        <v>6.9999999832361937E-2</v>
      </c>
      <c r="P167" s="23">
        <v>198962</v>
      </c>
      <c r="Q167" s="23">
        <f>IFERROR(VLOOKUP(A167,lauzti_līg!A:H,8,FALSE),0)</f>
        <v>83633</v>
      </c>
      <c r="R167" s="23">
        <f t="shared" si="219"/>
        <v>282595</v>
      </c>
      <c r="S167" s="23">
        <f>R167-M167</f>
        <v>172645.13</v>
      </c>
      <c r="T167" s="23">
        <f>VLOOKUP(A167,Nosl_līg!A:H,8,0)</f>
        <v>2598331.0499999998</v>
      </c>
      <c r="U167" s="23">
        <f>T167-J167</f>
        <v>-101867.15000000037</v>
      </c>
      <c r="V167" s="23">
        <f>O167-S167-U167</f>
        <v>-70777.9099999998</v>
      </c>
      <c r="W167" s="23">
        <f>IF(N167&gt;=S167+U167,N167-S167-U167,0)</f>
        <v>0</v>
      </c>
      <c r="X167" s="23"/>
      <c r="Y167" s="23">
        <f>IF(H167=0,0, IF(T167-E167+R167-M167&lt;0, 0, T167-E167+R167-M167))</f>
        <v>0</v>
      </c>
      <c r="Z167" s="117" t="e">
        <f>VLOOKUP(A167,#REF!,63,FALSE)/F167+#REF!</f>
        <v>#REF!</v>
      </c>
      <c r="AA167" s="880" t="e">
        <f t="shared" si="217"/>
        <v>#DIV/0!</v>
      </c>
    </row>
    <row r="168" spans="1:27" ht="16.5" customHeight="1">
      <c r="A168" s="14" t="s">
        <v>86</v>
      </c>
      <c r="B168" s="15" t="s">
        <v>548</v>
      </c>
      <c r="C168" s="16" t="s">
        <v>55</v>
      </c>
      <c r="D168" s="16" t="s">
        <v>1</v>
      </c>
      <c r="E168" s="17">
        <f t="shared" ref="E168:G168" si="251">E169+E175+E176+E177</f>
        <v>34919264.43</v>
      </c>
      <c r="F168" s="113"/>
      <c r="G168" s="113">
        <f t="shared" si="251"/>
        <v>0</v>
      </c>
      <c r="H168" s="17">
        <f t="shared" ref="H168:Y168" si="252">H169+H175+H176+H177</f>
        <v>9609652</v>
      </c>
      <c r="I168" s="17">
        <f t="shared" ref="I168:L168" si="253">I169+I175+I176+I177</f>
        <v>9543950.792776743</v>
      </c>
      <c r="J168" s="113">
        <f t="shared" si="253"/>
        <v>33688761.99000001</v>
      </c>
      <c r="K168" s="113">
        <f t="shared" si="253"/>
        <v>258637.09</v>
      </c>
      <c r="L168" s="113">
        <f t="shared" si="253"/>
        <v>1151650</v>
      </c>
      <c r="M168" s="17">
        <f t="shared" si="252"/>
        <v>1410287.09</v>
      </c>
      <c r="N168" s="53">
        <f t="shared" si="252"/>
        <v>1230502.4399999911</v>
      </c>
      <c r="O168" s="113">
        <f t="shared" si="252"/>
        <v>10840154.43999999</v>
      </c>
      <c r="P168" s="17">
        <v>1399864</v>
      </c>
      <c r="Q168" s="17">
        <f t="shared" si="252"/>
        <v>1151650</v>
      </c>
      <c r="R168" s="17">
        <f t="shared" si="219"/>
        <v>2551514</v>
      </c>
      <c r="S168" s="17">
        <f t="shared" ref="S168:T168" si="254">S169+S175+S176+S177</f>
        <v>1141226.9099999999</v>
      </c>
      <c r="T168" s="17">
        <f t="shared" si="254"/>
        <v>42417233.890000008</v>
      </c>
      <c r="U168" s="17">
        <f t="shared" si="252"/>
        <v>8728471.8999999929</v>
      </c>
      <c r="V168" s="17">
        <f t="shared" si="252"/>
        <v>970455.62999999756</v>
      </c>
      <c r="W168" s="17">
        <f t="shared" si="252"/>
        <v>1308.7199999998793</v>
      </c>
      <c r="X168" s="17"/>
      <c r="Y168" s="17">
        <f t="shared" si="252"/>
        <v>8296234</v>
      </c>
      <c r="Z168" s="113" t="e">
        <f t="shared" ref="Z168" si="255">Z169+Z175+Z176+Z177</f>
        <v>#REF!</v>
      </c>
      <c r="AA168" s="879">
        <f t="shared" si="217"/>
        <v>0.86332304229122969</v>
      </c>
    </row>
    <row r="169" spans="1:27" ht="16.5" customHeight="1">
      <c r="A169" s="19" t="s">
        <v>87</v>
      </c>
      <c r="B169" s="20" t="s">
        <v>549</v>
      </c>
      <c r="C169" s="21" t="s">
        <v>55</v>
      </c>
      <c r="D169" s="21" t="s">
        <v>138</v>
      </c>
      <c r="E169" s="23">
        <f t="shared" ref="E169:G169" si="256">E170+E171+E172+E173+E174</f>
        <v>9581734.5600000005</v>
      </c>
      <c r="F169" s="116"/>
      <c r="G169" s="116">
        <f t="shared" si="256"/>
        <v>0</v>
      </c>
      <c r="H169" s="23">
        <v>438009</v>
      </c>
      <c r="I169" s="18">
        <f t="shared" ref="I169:L169" si="257">I170+I171+I172+I173+I174</f>
        <v>372307.79277674312</v>
      </c>
      <c r="J169" s="116">
        <f t="shared" si="257"/>
        <v>9580237.8599999994</v>
      </c>
      <c r="K169" s="116">
        <f t="shared" si="257"/>
        <v>14828.76</v>
      </c>
      <c r="L169" s="116">
        <f t="shared" si="257"/>
        <v>0</v>
      </c>
      <c r="M169" s="18">
        <f t="shared" ref="M169:Y169" si="258">M170+M171+M172+M173+M174</f>
        <v>14828.76</v>
      </c>
      <c r="N169" s="54">
        <f t="shared" si="258"/>
        <v>1496.6999999996042</v>
      </c>
      <c r="O169" s="116">
        <f t="shared" si="258"/>
        <v>439505.6999999996</v>
      </c>
      <c r="P169" s="18">
        <v>536536</v>
      </c>
      <c r="Q169" s="18">
        <f t="shared" si="258"/>
        <v>0</v>
      </c>
      <c r="R169" s="18">
        <f t="shared" si="219"/>
        <v>536536</v>
      </c>
      <c r="S169" s="18">
        <f t="shared" ref="S169" si="259">S170+S171+S172+S173+S174</f>
        <v>521707.24</v>
      </c>
      <c r="T169" s="23">
        <f>T170+T171+T172+T173+T174</f>
        <v>9419552.4600000009</v>
      </c>
      <c r="U169" s="18">
        <f t="shared" si="258"/>
        <v>-160685.39999999979</v>
      </c>
      <c r="V169" s="18">
        <f t="shared" si="258"/>
        <v>78483.859999999389</v>
      </c>
      <c r="W169" s="18">
        <f t="shared" si="258"/>
        <v>1306.3799999998791</v>
      </c>
      <c r="X169" s="18"/>
      <c r="Y169" s="18">
        <f t="shared" si="258"/>
        <v>438009</v>
      </c>
      <c r="Z169" s="116" t="e">
        <f t="shared" ref="Z169" si="260">Z170+Z171+Z172+Z173+Z174</f>
        <v>#REF!</v>
      </c>
      <c r="AA169" s="881">
        <f t="shared" si="217"/>
        <v>1</v>
      </c>
    </row>
    <row r="170" spans="1:27" ht="16.5" customHeight="1">
      <c r="A170" s="19" t="s">
        <v>88</v>
      </c>
      <c r="B170" s="20" t="s">
        <v>550</v>
      </c>
      <c r="C170" s="21" t="s">
        <v>55</v>
      </c>
      <c r="D170" s="21" t="s">
        <v>138</v>
      </c>
      <c r="E170" s="22">
        <f>VLOOKUP($A170,publ_fin!$A:$I,8,FALSE)</f>
        <v>526200.6</v>
      </c>
      <c r="F170" s="114">
        <v>0.84999920182531152</v>
      </c>
      <c r="G170" s="115"/>
      <c r="H170" s="22">
        <v>0</v>
      </c>
      <c r="I170" s="22">
        <f t="shared" ref="I170:I177" si="261">F170*H170</f>
        <v>0</v>
      </c>
      <c r="J170" s="117">
        <v>526200</v>
      </c>
      <c r="K170" s="117">
        <v>0</v>
      </c>
      <c r="L170" s="117">
        <v>0</v>
      </c>
      <c r="M170" s="23">
        <f t="shared" si="216"/>
        <v>0</v>
      </c>
      <c r="N170" s="54">
        <f t="shared" ref="N170:N177" si="262">E170-J170</f>
        <v>0.59999999997671694</v>
      </c>
      <c r="O170" s="117">
        <f t="shared" ref="O170:O177" si="263">H170+N170</f>
        <v>0.59999999997671694</v>
      </c>
      <c r="P170" s="23">
        <v>13598</v>
      </c>
      <c r="Q170" s="23">
        <f>IFERROR(VLOOKUP(A170,lauzti_līg!A:H,8,FALSE),0)</f>
        <v>0</v>
      </c>
      <c r="R170" s="23">
        <f t="shared" si="219"/>
        <v>13598</v>
      </c>
      <c r="S170" s="23">
        <f t="shared" ref="S170:S177" si="264">R170-M170</f>
        <v>13598</v>
      </c>
      <c r="T170" s="23">
        <f>VLOOKUP(A170,Nosl_līg!A:H,8,0)</f>
        <v>511302.9</v>
      </c>
      <c r="U170" s="23">
        <f t="shared" ref="U170:U177" si="265">T170-J170</f>
        <v>-14897.099999999977</v>
      </c>
      <c r="V170" s="23">
        <f t="shared" ref="V170:V177" si="266">O170-S170-U170</f>
        <v>1299.6999999999534</v>
      </c>
      <c r="W170" s="23">
        <f t="shared" ref="W170:W177" si="267">IF(N170&gt;=S170+U170,N170-S170-U170,0)</f>
        <v>1299.6999999999534</v>
      </c>
      <c r="X170" s="23"/>
      <c r="Y170" s="23">
        <f>IF(H170=0,0, IF(T170-E170+R170-M170&lt;0, 0, T170-E170+R170-M170))</f>
        <v>0</v>
      </c>
      <c r="Z170" s="117" t="e">
        <f>VLOOKUP(A170,#REF!,63,FALSE)/F170+#REF!</f>
        <v>#REF!</v>
      </c>
      <c r="AA170" s="880" t="e">
        <f t="shared" si="217"/>
        <v>#DIV/0!</v>
      </c>
    </row>
    <row r="171" spans="1:27" ht="16.5" customHeight="1">
      <c r="A171" s="19" t="s">
        <v>89</v>
      </c>
      <c r="B171" s="20" t="s">
        <v>551</v>
      </c>
      <c r="C171" s="21" t="s">
        <v>55</v>
      </c>
      <c r="D171" s="21" t="s">
        <v>138</v>
      </c>
      <c r="E171" s="22">
        <f>VLOOKUP($A171,publ_fin!$A:$I,8,FALSE)</f>
        <v>2525392.64</v>
      </c>
      <c r="F171" s="114">
        <v>0.84999985982377779</v>
      </c>
      <c r="G171" s="115"/>
      <c r="H171" s="22">
        <v>0</v>
      </c>
      <c r="I171" s="22">
        <f t="shared" si="261"/>
        <v>0</v>
      </c>
      <c r="J171" s="117">
        <v>2525390.7600000002</v>
      </c>
      <c r="K171" s="117">
        <v>14828.76</v>
      </c>
      <c r="L171" s="117">
        <v>0</v>
      </c>
      <c r="M171" s="23">
        <f t="shared" si="216"/>
        <v>14828.76</v>
      </c>
      <c r="N171" s="54">
        <f t="shared" si="262"/>
        <v>1.8799999998882413</v>
      </c>
      <c r="O171" s="117">
        <f t="shared" si="263"/>
        <v>1.8799999998882413</v>
      </c>
      <c r="P171" s="23">
        <v>14829</v>
      </c>
      <c r="Q171" s="23">
        <f>IFERROR(VLOOKUP(A171,lauzti_līg!A:H,8,FALSE),0)</f>
        <v>0</v>
      </c>
      <c r="R171" s="23">
        <f t="shared" si="219"/>
        <v>14829</v>
      </c>
      <c r="S171" s="23">
        <f t="shared" si="264"/>
        <v>0.23999999999978172</v>
      </c>
      <c r="T171" s="23">
        <f>VLOOKUP(A171,Nosl_līg!A:H,8,0)</f>
        <v>2525390.7599999998</v>
      </c>
      <c r="U171" s="23">
        <f t="shared" si="265"/>
        <v>0</v>
      </c>
      <c r="V171" s="23">
        <f t="shared" si="266"/>
        <v>1.6399999998884596</v>
      </c>
      <c r="W171" s="23">
        <f t="shared" si="267"/>
        <v>1.6399999998884596</v>
      </c>
      <c r="X171" s="23"/>
      <c r="Y171" s="23">
        <f>IF(H171=0,0, IF(T171-E171+R171-M171&lt;0, 0, T171-E171+R171-M171))</f>
        <v>0</v>
      </c>
      <c r="Z171" s="117" t="e">
        <f>VLOOKUP(A171,#REF!,63,FALSE)/F171+#REF!</f>
        <v>#REF!</v>
      </c>
      <c r="AA171" s="880" t="e">
        <f t="shared" si="217"/>
        <v>#DIV/0!</v>
      </c>
    </row>
    <row r="172" spans="1:27" ht="16.5" customHeight="1">
      <c r="A172" s="19" t="s">
        <v>90</v>
      </c>
      <c r="B172" s="20" t="s">
        <v>552</v>
      </c>
      <c r="C172" s="21" t="s">
        <v>55</v>
      </c>
      <c r="D172" s="21" t="s">
        <v>138</v>
      </c>
      <c r="E172" s="22">
        <f>VLOOKUP($A172,publ_fin!$A:$I,8,FALSE)</f>
        <v>610841.39</v>
      </c>
      <c r="F172" s="114">
        <v>0.8500004068159166</v>
      </c>
      <c r="G172" s="115"/>
      <c r="H172" s="22">
        <v>0</v>
      </c>
      <c r="I172" s="22">
        <f t="shared" si="261"/>
        <v>0</v>
      </c>
      <c r="J172" s="117">
        <v>610836.35</v>
      </c>
      <c r="K172" s="117">
        <v>0</v>
      </c>
      <c r="L172" s="117">
        <v>0</v>
      </c>
      <c r="M172" s="23">
        <f t="shared" si="216"/>
        <v>0</v>
      </c>
      <c r="N172" s="54">
        <f t="shared" si="262"/>
        <v>5.0400000000372529</v>
      </c>
      <c r="O172" s="117">
        <f t="shared" si="263"/>
        <v>5.0400000000372529</v>
      </c>
      <c r="P172" s="23">
        <v>0</v>
      </c>
      <c r="Q172" s="23">
        <f>IFERROR(VLOOKUP(A172,lauzti_līg!A:H,8,FALSE),0)</f>
        <v>0</v>
      </c>
      <c r="R172" s="23">
        <f t="shared" si="219"/>
        <v>0</v>
      </c>
      <c r="S172" s="23">
        <f t="shared" si="264"/>
        <v>0</v>
      </c>
      <c r="T172" s="23">
        <f>VLOOKUP(A172,Nosl_līg!A:H,8,0)</f>
        <v>610836.35</v>
      </c>
      <c r="U172" s="23">
        <f t="shared" si="265"/>
        <v>0</v>
      </c>
      <c r="V172" s="23">
        <f t="shared" si="266"/>
        <v>5.0400000000372529</v>
      </c>
      <c r="W172" s="23">
        <f t="shared" si="267"/>
        <v>5.0400000000372529</v>
      </c>
      <c r="X172" s="23"/>
      <c r="Y172" s="23">
        <f>IF(H172=0,0, IF(T172-E172+R172-M172&lt;0, 0, T172-E172+R172-M172))</f>
        <v>0</v>
      </c>
      <c r="Z172" s="117" t="e">
        <f>VLOOKUP(A172,#REF!,63,FALSE)/F172+#REF!</f>
        <v>#REF!</v>
      </c>
      <c r="AA172" s="880" t="e">
        <f t="shared" si="217"/>
        <v>#DIV/0!</v>
      </c>
    </row>
    <row r="173" spans="1:27" ht="16.5" customHeight="1">
      <c r="A173" s="19" t="s">
        <v>91</v>
      </c>
      <c r="B173" s="20" t="s">
        <v>553</v>
      </c>
      <c r="C173" s="21" t="s">
        <v>55</v>
      </c>
      <c r="D173" s="21" t="s">
        <v>138</v>
      </c>
      <c r="E173" s="22">
        <f>VLOOKUP($A173,publ_fin!$A:$I,8,FALSE)</f>
        <v>0</v>
      </c>
      <c r="F173" s="114">
        <v>0</v>
      </c>
      <c r="G173" s="115"/>
      <c r="H173" s="22">
        <v>0</v>
      </c>
      <c r="I173" s="22">
        <f t="shared" si="261"/>
        <v>0</v>
      </c>
      <c r="J173" s="117">
        <v>0</v>
      </c>
      <c r="K173" s="117">
        <v>0</v>
      </c>
      <c r="L173" s="117">
        <v>0</v>
      </c>
      <c r="M173" s="23">
        <f t="shared" si="216"/>
        <v>0</v>
      </c>
      <c r="N173" s="54">
        <f t="shared" si="262"/>
        <v>0</v>
      </c>
      <c r="O173" s="117">
        <f t="shared" si="263"/>
        <v>0</v>
      </c>
      <c r="P173" s="23">
        <v>0</v>
      </c>
      <c r="Q173" s="23">
        <f>IFERROR(VLOOKUP(A173,lauzti_līg!A:H,8,FALSE),0)</f>
        <v>0</v>
      </c>
      <c r="R173" s="23">
        <f t="shared" si="219"/>
        <v>0</v>
      </c>
      <c r="S173" s="23">
        <f t="shared" si="264"/>
        <v>0</v>
      </c>
      <c r="T173" s="23">
        <v>0</v>
      </c>
      <c r="U173" s="23">
        <f t="shared" si="265"/>
        <v>0</v>
      </c>
      <c r="V173" s="23">
        <f t="shared" si="266"/>
        <v>0</v>
      </c>
      <c r="W173" s="23">
        <f t="shared" si="267"/>
        <v>0</v>
      </c>
      <c r="X173" s="23"/>
      <c r="Y173" s="23">
        <f>IF(H173=0,0, IF(T173-E173+R173-M173&lt;0, 0, T173-E173+R173-M173))</f>
        <v>0</v>
      </c>
      <c r="Z173" s="117">
        <v>0</v>
      </c>
      <c r="AA173" s="880" t="e">
        <f t="shared" si="217"/>
        <v>#DIV/0!</v>
      </c>
    </row>
    <row r="174" spans="1:27" ht="16.5" customHeight="1">
      <c r="A174" s="19" t="s">
        <v>168</v>
      </c>
      <c r="B174" s="20" t="s">
        <v>554</v>
      </c>
      <c r="C174" s="21" t="s">
        <v>55</v>
      </c>
      <c r="D174" s="21" t="s">
        <v>138</v>
      </c>
      <c r="E174" s="22">
        <f>VLOOKUP($A174,publ_fin!$A:$I,8,FALSE)</f>
        <v>5919299.9299999997</v>
      </c>
      <c r="F174" s="114">
        <v>0.85000032596760144</v>
      </c>
      <c r="G174" s="115"/>
      <c r="H174" s="22">
        <v>438009</v>
      </c>
      <c r="I174" s="22">
        <f t="shared" si="261"/>
        <v>372307.79277674312</v>
      </c>
      <c r="J174" s="117">
        <v>5917810.75</v>
      </c>
      <c r="K174" s="117">
        <v>0</v>
      </c>
      <c r="L174" s="117">
        <v>0</v>
      </c>
      <c r="M174" s="23">
        <f t="shared" si="216"/>
        <v>0</v>
      </c>
      <c r="N174" s="54">
        <f t="shared" si="262"/>
        <v>1489.179999999702</v>
      </c>
      <c r="O174" s="117">
        <f t="shared" si="263"/>
        <v>439498.1799999997</v>
      </c>
      <c r="P174" s="23">
        <v>508109</v>
      </c>
      <c r="Q174" s="23">
        <f>IFERROR(VLOOKUP(A174,lauzti_līg!A:H,8,FALSE),0)</f>
        <v>0</v>
      </c>
      <c r="R174" s="23">
        <f t="shared" si="219"/>
        <v>508109</v>
      </c>
      <c r="S174" s="23">
        <f t="shared" si="264"/>
        <v>508109</v>
      </c>
      <c r="T174" s="23">
        <f>VLOOKUP(A174,Nosl_līg!A:H,8,0)</f>
        <v>5772022.4500000002</v>
      </c>
      <c r="U174" s="23">
        <f t="shared" si="265"/>
        <v>-145788.29999999981</v>
      </c>
      <c r="V174" s="23">
        <f t="shared" si="266"/>
        <v>77177.479999999516</v>
      </c>
      <c r="W174" s="23">
        <f t="shared" si="267"/>
        <v>0</v>
      </c>
      <c r="X174" s="23"/>
      <c r="Y174" s="23">
        <v>438009</v>
      </c>
      <c r="Z174" s="117" t="e">
        <f>VLOOKUP(A174,#REF!,63,FALSE)/F174+#REF!</f>
        <v>#REF!</v>
      </c>
      <c r="AA174" s="880">
        <f t="shared" si="217"/>
        <v>1</v>
      </c>
    </row>
    <row r="175" spans="1:27" ht="16.5" customHeight="1">
      <c r="A175" s="19" t="s">
        <v>174</v>
      </c>
      <c r="B175" s="20" t="s">
        <v>658</v>
      </c>
      <c r="C175" s="21" t="s">
        <v>55</v>
      </c>
      <c r="D175" s="21" t="s">
        <v>138</v>
      </c>
      <c r="E175" s="22">
        <f>VLOOKUP($A175,publ_fin!$A:$I,8,FALSE)</f>
        <v>2439479.0699999998</v>
      </c>
      <c r="F175" s="114">
        <v>0.84999968456380326</v>
      </c>
      <c r="G175" s="115"/>
      <c r="H175" s="22">
        <v>0</v>
      </c>
      <c r="I175" s="22">
        <f t="shared" si="261"/>
        <v>0</v>
      </c>
      <c r="J175" s="117">
        <v>2439476.98</v>
      </c>
      <c r="K175" s="117">
        <v>12226.09</v>
      </c>
      <c r="L175" s="117">
        <v>0</v>
      </c>
      <c r="M175" s="23">
        <f t="shared" si="216"/>
        <v>12226.09</v>
      </c>
      <c r="N175" s="54">
        <f t="shared" si="262"/>
        <v>2.0899999998509884</v>
      </c>
      <c r="O175" s="117">
        <f t="shared" si="263"/>
        <v>2.0899999998509884</v>
      </c>
      <c r="P175" s="23">
        <v>40099</v>
      </c>
      <c r="Q175" s="23">
        <f>IFERROR(VLOOKUP(A175,lauzti_līg!A:H,8,FALSE),0)</f>
        <v>0</v>
      </c>
      <c r="R175" s="23">
        <f t="shared" si="219"/>
        <v>40099</v>
      </c>
      <c r="S175" s="23">
        <f t="shared" si="264"/>
        <v>27872.91</v>
      </c>
      <c r="T175" s="23">
        <f>VLOOKUP(A175,Nosl_līg!A:H,8,0)</f>
        <v>2411603.8199999998</v>
      </c>
      <c r="U175" s="23">
        <f t="shared" si="265"/>
        <v>-27873.160000000149</v>
      </c>
      <c r="V175" s="23">
        <f t="shared" si="266"/>
        <v>2.3400000000001455</v>
      </c>
      <c r="W175" s="23">
        <f t="shared" si="267"/>
        <v>2.3400000000001455</v>
      </c>
      <c r="X175" s="23"/>
      <c r="Y175" s="23">
        <f>IF(H175=0,0, IF(T175-E175+R175-M175&lt;0, 0, T175-E175+R175-M175))</f>
        <v>0</v>
      </c>
      <c r="Z175" s="117" t="e">
        <f>VLOOKUP(A175,#REF!,63,FALSE)/F175+#REF!</f>
        <v>#REF!</v>
      </c>
      <c r="AA175" s="880" t="e">
        <f t="shared" si="217"/>
        <v>#DIV/0!</v>
      </c>
    </row>
    <row r="176" spans="1:27" ht="16.5" customHeight="1">
      <c r="A176" s="19" t="s">
        <v>328</v>
      </c>
      <c r="B176" s="20" t="s">
        <v>555</v>
      </c>
      <c r="C176" s="21" t="s">
        <v>55</v>
      </c>
      <c r="D176" s="21" t="s">
        <v>628</v>
      </c>
      <c r="E176" s="22">
        <f>VLOOKUP($A176,publ_fin!$A:$I,8,FALSE)</f>
        <v>21093929.739999998</v>
      </c>
      <c r="F176" s="114">
        <v>1</v>
      </c>
      <c r="G176" s="115"/>
      <c r="H176" s="22">
        <v>9171643</v>
      </c>
      <c r="I176" s="22">
        <f t="shared" si="261"/>
        <v>9171643</v>
      </c>
      <c r="J176" s="117">
        <v>19850830.040000007</v>
      </c>
      <c r="K176" s="117">
        <v>212059.83</v>
      </c>
      <c r="L176" s="117">
        <v>970589</v>
      </c>
      <c r="M176" s="23">
        <f t="shared" si="216"/>
        <v>1182648.83</v>
      </c>
      <c r="N176" s="54">
        <f t="shared" si="262"/>
        <v>1243099.6999999918</v>
      </c>
      <c r="O176" s="117">
        <f t="shared" si="263"/>
        <v>10414742.699999992</v>
      </c>
      <c r="P176" s="23">
        <v>729416</v>
      </c>
      <c r="Q176" s="23">
        <f>IFERROR(VLOOKUP(A176,lauzti_līg!A:H,8,FALSE),0)</f>
        <v>970589</v>
      </c>
      <c r="R176" s="23">
        <f t="shared" si="219"/>
        <v>1700005</v>
      </c>
      <c r="S176" s="23">
        <f t="shared" si="264"/>
        <v>517356.16999999993</v>
      </c>
      <c r="T176" s="23">
        <f>VLOOKUP(A176,Nosl_līg!A:H,8,0)</f>
        <v>28834052.23</v>
      </c>
      <c r="U176" s="23">
        <f t="shared" si="265"/>
        <v>8983222.1899999939</v>
      </c>
      <c r="V176" s="23">
        <f t="shared" si="266"/>
        <v>914164.33999999799</v>
      </c>
      <c r="W176" s="23">
        <f t="shared" si="267"/>
        <v>0</v>
      </c>
      <c r="X176" s="23"/>
      <c r="Y176" s="23">
        <v>7858225</v>
      </c>
      <c r="Z176" s="117" t="e">
        <f>VLOOKUP(A176,#REF!,63,FALSE)/F176+#REF!</f>
        <v>#REF!</v>
      </c>
      <c r="AA176" s="880">
        <f t="shared" si="217"/>
        <v>0.85679577803017404</v>
      </c>
    </row>
    <row r="177" spans="1:27" ht="16.5" customHeight="1">
      <c r="A177" s="19" t="s">
        <v>208</v>
      </c>
      <c r="B177" s="20" t="s">
        <v>556</v>
      </c>
      <c r="C177" s="21" t="s">
        <v>55</v>
      </c>
      <c r="D177" s="21" t="s">
        <v>628</v>
      </c>
      <c r="E177" s="22">
        <f>VLOOKUP($A177,publ_fin!$A:$I,8,FALSE)</f>
        <v>1804121.06</v>
      </c>
      <c r="F177" s="114">
        <v>1</v>
      </c>
      <c r="G177" s="115"/>
      <c r="H177" s="22">
        <v>0</v>
      </c>
      <c r="I177" s="22">
        <f t="shared" si="261"/>
        <v>0</v>
      </c>
      <c r="J177" s="117">
        <v>1818217.1100000003</v>
      </c>
      <c r="K177" s="117">
        <v>19522.41</v>
      </c>
      <c r="L177" s="117">
        <v>181061</v>
      </c>
      <c r="M177" s="23">
        <f t="shared" si="216"/>
        <v>200583.41</v>
      </c>
      <c r="N177" s="54">
        <f t="shared" si="262"/>
        <v>-14096.050000000279</v>
      </c>
      <c r="O177" s="117">
        <f t="shared" si="263"/>
        <v>-14096.050000000279</v>
      </c>
      <c r="P177" s="23">
        <v>93813</v>
      </c>
      <c r="Q177" s="23">
        <f>IFERROR(VLOOKUP(A177,lauzti_līg!A:H,8,FALSE),0)</f>
        <v>181061</v>
      </c>
      <c r="R177" s="23">
        <f t="shared" si="219"/>
        <v>274874</v>
      </c>
      <c r="S177" s="23">
        <f t="shared" si="264"/>
        <v>74290.59</v>
      </c>
      <c r="T177" s="23">
        <f>VLOOKUP(A177,Nosl_līg!A:H,8,0)</f>
        <v>1752025.38</v>
      </c>
      <c r="U177" s="23">
        <f t="shared" si="265"/>
        <v>-66191.730000000447</v>
      </c>
      <c r="V177" s="23">
        <f t="shared" si="266"/>
        <v>-22194.909999999829</v>
      </c>
      <c r="W177" s="23">
        <f t="shared" si="267"/>
        <v>0</v>
      </c>
      <c r="X177" s="23"/>
      <c r="Y177" s="23">
        <f>IF(H177=0,0, IF(T177-E177+R177-M177&lt;0, 0, T177-E177+R177-M177))</f>
        <v>0</v>
      </c>
      <c r="Z177" s="117" t="e">
        <f>VLOOKUP(A177,#REF!,63,FALSE)/F177+#REF!</f>
        <v>#REF!</v>
      </c>
      <c r="AA177" s="880" t="e">
        <f t="shared" si="217"/>
        <v>#DIV/0!</v>
      </c>
    </row>
    <row r="178" spans="1:27" ht="16.5" customHeight="1">
      <c r="A178" s="14" t="s">
        <v>92</v>
      </c>
      <c r="B178" s="15" t="s">
        <v>557</v>
      </c>
      <c r="C178" s="16" t="s">
        <v>55</v>
      </c>
      <c r="D178" s="16" t="s">
        <v>626</v>
      </c>
      <c r="E178" s="17">
        <f t="shared" ref="E178:G178" si="268">E179+E182+E183</f>
        <v>158825860.71000001</v>
      </c>
      <c r="F178" s="113"/>
      <c r="G178" s="113">
        <f t="shared" si="268"/>
        <v>0</v>
      </c>
      <c r="H178" s="17">
        <f t="shared" ref="H178:Y178" si="269">H179+H182+H183</f>
        <v>10600000</v>
      </c>
      <c r="I178" s="17">
        <f t="shared" ref="I178:L178" si="270">I179+I182+I183</f>
        <v>9456695.8962930851</v>
      </c>
      <c r="J178" s="113">
        <f t="shared" si="270"/>
        <v>157393054.84999996</v>
      </c>
      <c r="K178" s="113">
        <f t="shared" si="270"/>
        <v>169311.68</v>
      </c>
      <c r="L178" s="113">
        <f t="shared" si="270"/>
        <v>7937295.29</v>
      </c>
      <c r="M178" s="17">
        <f t="shared" si="269"/>
        <v>8106606.9699999997</v>
      </c>
      <c r="N178" s="53">
        <f t="shared" si="269"/>
        <v>1432805.8600000506</v>
      </c>
      <c r="O178" s="113">
        <f t="shared" si="269"/>
        <v>12032805.860000052</v>
      </c>
      <c r="P178" s="17">
        <v>1710099</v>
      </c>
      <c r="Q178" s="17">
        <f t="shared" si="269"/>
        <v>8026748.1299999999</v>
      </c>
      <c r="R178" s="17">
        <f t="shared" si="219"/>
        <v>9736847.129999999</v>
      </c>
      <c r="S178" s="17">
        <f t="shared" ref="S178:T178" si="271">S179+S182+S183</f>
        <v>1630240.16</v>
      </c>
      <c r="T178" s="17">
        <f t="shared" si="271"/>
        <v>168029383.52000001</v>
      </c>
      <c r="U178" s="17">
        <f t="shared" si="269"/>
        <v>10636328.670000048</v>
      </c>
      <c r="V178" s="17">
        <f t="shared" si="269"/>
        <v>-233762.96999999776</v>
      </c>
      <c r="W178" s="17">
        <f t="shared" si="269"/>
        <v>621219.21000000078</v>
      </c>
      <c r="X178" s="17"/>
      <c r="Y178" s="17">
        <f t="shared" si="269"/>
        <v>10600000</v>
      </c>
      <c r="Z178" s="113" t="e">
        <f t="shared" ref="Z178" si="272">Z179+Z182+Z183</f>
        <v>#REF!</v>
      </c>
      <c r="AA178" s="879">
        <f t="shared" si="217"/>
        <v>1</v>
      </c>
    </row>
    <row r="179" spans="1:27" ht="16.5" customHeight="1">
      <c r="A179" s="19" t="s">
        <v>93</v>
      </c>
      <c r="B179" s="20" t="s">
        <v>659</v>
      </c>
      <c r="C179" s="21" t="s">
        <v>55</v>
      </c>
      <c r="D179" s="21" t="s">
        <v>626</v>
      </c>
      <c r="E179" s="23">
        <f t="shared" ref="E179:G179" si="273">E180+E181</f>
        <v>7472614.8300000001</v>
      </c>
      <c r="F179" s="116"/>
      <c r="G179" s="116">
        <f t="shared" si="273"/>
        <v>0</v>
      </c>
      <c r="H179" s="23">
        <f t="shared" ref="H179:Y179" si="274">H180+H181</f>
        <v>0</v>
      </c>
      <c r="I179" s="18">
        <f t="shared" ref="I179:L179" si="275">I180+I181</f>
        <v>0</v>
      </c>
      <c r="J179" s="116">
        <f t="shared" si="275"/>
        <v>6328354.1799999997</v>
      </c>
      <c r="K179" s="116">
        <f t="shared" si="275"/>
        <v>6934.13</v>
      </c>
      <c r="L179" s="116">
        <f t="shared" si="275"/>
        <v>258889.29</v>
      </c>
      <c r="M179" s="18">
        <f t="shared" si="274"/>
        <v>265823.42000000004</v>
      </c>
      <c r="N179" s="54">
        <f t="shared" si="274"/>
        <v>1144260.6499999994</v>
      </c>
      <c r="O179" s="116">
        <f t="shared" si="274"/>
        <v>1144260.6499999994</v>
      </c>
      <c r="P179" s="18">
        <v>39901</v>
      </c>
      <c r="Q179" s="18">
        <f t="shared" si="274"/>
        <v>348342.13</v>
      </c>
      <c r="R179" s="18">
        <f t="shared" si="219"/>
        <v>388243.13</v>
      </c>
      <c r="S179" s="18">
        <f t="shared" ref="S179" si="276">S180+S181</f>
        <v>122419.70999999999</v>
      </c>
      <c r="T179" s="23">
        <f>T180+T181</f>
        <v>6728976.6199999992</v>
      </c>
      <c r="U179" s="18">
        <f t="shared" si="274"/>
        <v>400622.43999999948</v>
      </c>
      <c r="V179" s="18">
        <f t="shared" si="274"/>
        <v>621218.49999999988</v>
      </c>
      <c r="W179" s="18">
        <f t="shared" si="274"/>
        <v>621218.49999999988</v>
      </c>
      <c r="X179" s="18"/>
      <c r="Y179" s="18">
        <f t="shared" si="274"/>
        <v>0</v>
      </c>
      <c r="Z179" s="116" t="e">
        <f t="shared" ref="Z179" si="277">Z180+Z181</f>
        <v>#REF!</v>
      </c>
      <c r="AA179" s="881" t="e">
        <f t="shared" si="217"/>
        <v>#DIV/0!</v>
      </c>
    </row>
    <row r="180" spans="1:27" ht="16.5" customHeight="1">
      <c r="A180" s="19" t="s">
        <v>189</v>
      </c>
      <c r="B180" s="20" t="s">
        <v>660</v>
      </c>
      <c r="C180" s="21" t="s">
        <v>55</v>
      </c>
      <c r="D180" s="21" t="s">
        <v>626</v>
      </c>
      <c r="E180" s="22">
        <f>VLOOKUP($A180,publ_fin!$A:$I,8,FALSE)</f>
        <v>3552899.82</v>
      </c>
      <c r="F180" s="114">
        <v>1</v>
      </c>
      <c r="G180" s="115"/>
      <c r="H180" s="22">
        <v>0</v>
      </c>
      <c r="I180" s="22">
        <f>F180*H180</f>
        <v>0</v>
      </c>
      <c r="J180" s="117">
        <v>2354009.84</v>
      </c>
      <c r="K180" s="117">
        <v>0</v>
      </c>
      <c r="L180" s="117">
        <v>59522.69</v>
      </c>
      <c r="M180" s="23">
        <f t="shared" si="216"/>
        <v>59522.69</v>
      </c>
      <c r="N180" s="54">
        <f>E180-J180</f>
        <v>1198889.98</v>
      </c>
      <c r="O180" s="117">
        <f>H180+N180</f>
        <v>1198889.98</v>
      </c>
      <c r="P180" s="23">
        <v>19193</v>
      </c>
      <c r="Q180" s="23">
        <f>IFERROR(VLOOKUP(A180,lauzti_līg!A:H,8,FALSE),0)</f>
        <v>148975.53</v>
      </c>
      <c r="R180" s="23">
        <f t="shared" si="219"/>
        <v>168168.53</v>
      </c>
      <c r="S180" s="23">
        <f>R180-M180</f>
        <v>108645.84</v>
      </c>
      <c r="T180" s="23">
        <f>VLOOKUP(A180,Nosl_līg!A:H,8,0)</f>
        <v>2823036.76</v>
      </c>
      <c r="U180" s="23">
        <f>T180-J180</f>
        <v>469026.91999999993</v>
      </c>
      <c r="V180" s="23">
        <f>O180-S180-U180</f>
        <v>621217.22</v>
      </c>
      <c r="W180" s="23">
        <f>IF(N180&gt;=S180+U180,N180-S180-U180,0)</f>
        <v>621217.22</v>
      </c>
      <c r="X180" s="23"/>
      <c r="Y180" s="23">
        <f>IF(H180=0,0, IF(T180-E180+R180-M180&lt;0, 0, T180-E180+R180-M180))</f>
        <v>0</v>
      </c>
      <c r="Z180" s="117" t="e">
        <f>VLOOKUP(A180,#REF!,63,FALSE)/F180+#REF!</f>
        <v>#REF!</v>
      </c>
      <c r="AA180" s="880" t="e">
        <f t="shared" si="217"/>
        <v>#DIV/0!</v>
      </c>
    </row>
    <row r="181" spans="1:27" ht="16.5" customHeight="1">
      <c r="A181" s="19" t="s">
        <v>197</v>
      </c>
      <c r="B181" s="20" t="s">
        <v>332</v>
      </c>
      <c r="C181" s="21" t="s">
        <v>55</v>
      </c>
      <c r="D181" s="21" t="s">
        <v>626</v>
      </c>
      <c r="E181" s="22">
        <f>VLOOKUP($A181,publ_fin!$A:$I,8,FALSE)</f>
        <v>3919715.01</v>
      </c>
      <c r="F181" s="114">
        <v>1</v>
      </c>
      <c r="G181" s="115"/>
      <c r="H181" s="22">
        <v>0</v>
      </c>
      <c r="I181" s="22">
        <f>F181*H181</f>
        <v>0</v>
      </c>
      <c r="J181" s="117">
        <v>3974344.3400000003</v>
      </c>
      <c r="K181" s="117">
        <v>6934.13</v>
      </c>
      <c r="L181" s="117">
        <v>199366.6</v>
      </c>
      <c r="M181" s="23">
        <f t="shared" si="216"/>
        <v>206300.73</v>
      </c>
      <c r="N181" s="54">
        <f>E181-J181</f>
        <v>-54629.33000000054</v>
      </c>
      <c r="O181" s="117">
        <f>H181+N181</f>
        <v>-54629.33000000054</v>
      </c>
      <c r="P181" s="23">
        <v>20708</v>
      </c>
      <c r="Q181" s="23">
        <f>IFERROR(VLOOKUP(A181,lauzti_līg!A:H,8,FALSE),0)</f>
        <v>199366.6</v>
      </c>
      <c r="R181" s="23">
        <f t="shared" si="219"/>
        <v>220074.6</v>
      </c>
      <c r="S181" s="23">
        <f>R181-M181</f>
        <v>13773.869999999995</v>
      </c>
      <c r="T181" s="23">
        <f>VLOOKUP(A181,Nosl_līg!A:H,8,0)</f>
        <v>3905939.86</v>
      </c>
      <c r="U181" s="23">
        <f>T181-J181</f>
        <v>-68404.480000000447</v>
      </c>
      <c r="V181" s="23">
        <f>O181-S181-U181</f>
        <v>1.2799999999115244</v>
      </c>
      <c r="W181" s="23">
        <f>IF(N181&gt;=S181+U181,N181-S181-U181,0)</f>
        <v>1.2799999999115244</v>
      </c>
      <c r="X181" s="23"/>
      <c r="Y181" s="23">
        <f>IF(H181=0,0, IF(T181-E181+R181-M181&lt;0, 0, T181-E181+R181-M181))</f>
        <v>0</v>
      </c>
      <c r="Z181" s="117" t="e">
        <f>VLOOKUP(A181,#REF!,63,FALSE)/F181+#REF!</f>
        <v>#REF!</v>
      </c>
      <c r="AA181" s="880" t="e">
        <f t="shared" si="217"/>
        <v>#DIV/0!</v>
      </c>
    </row>
    <row r="182" spans="1:27" ht="16.5" customHeight="1">
      <c r="A182" s="19" t="s">
        <v>157</v>
      </c>
      <c r="B182" s="20" t="s">
        <v>558</v>
      </c>
      <c r="C182" s="21" t="s">
        <v>55</v>
      </c>
      <c r="D182" s="21" t="s">
        <v>626</v>
      </c>
      <c r="E182" s="22">
        <f>VLOOKUP($A182,publ_fin!$A:$I,8,FALSE)</f>
        <v>10678405.380000001</v>
      </c>
      <c r="F182" s="114">
        <v>0.89214112229180043</v>
      </c>
      <c r="G182" s="115"/>
      <c r="H182" s="22">
        <v>10600000</v>
      </c>
      <c r="I182" s="22">
        <f>F182*H182</f>
        <v>9456695.8962930851</v>
      </c>
      <c r="J182" s="117">
        <v>10678404</v>
      </c>
      <c r="K182" s="117">
        <v>0</v>
      </c>
      <c r="L182" s="117">
        <v>7678406</v>
      </c>
      <c r="M182" s="23">
        <f t="shared" si="216"/>
        <v>7678406</v>
      </c>
      <c r="N182" s="54">
        <f>E182-J182</f>
        <v>1.3800000008195639</v>
      </c>
      <c r="O182" s="117">
        <f>H182+N182</f>
        <v>10600001.380000001</v>
      </c>
      <c r="P182" s="23">
        <v>199961</v>
      </c>
      <c r="Q182" s="23">
        <f>IFERROR(VLOOKUP(A182,lauzti_līg!A:H,8,FALSE),0)</f>
        <v>7678406</v>
      </c>
      <c r="R182" s="23">
        <f t="shared" si="219"/>
        <v>7878367</v>
      </c>
      <c r="S182" s="23">
        <f>R182-M182</f>
        <v>199961</v>
      </c>
      <c r="T182" s="23">
        <f>VLOOKUP(A182,Nosl_līg!A:H,8,0)</f>
        <v>21278404</v>
      </c>
      <c r="U182" s="23">
        <f>T182-J182</f>
        <v>10600000</v>
      </c>
      <c r="V182" s="23">
        <f>O182-S182-U182</f>
        <v>-199959.61999999918</v>
      </c>
      <c r="W182" s="23">
        <f>IF(N182&gt;=S182+U182,N182-S182-U182,0)</f>
        <v>0</v>
      </c>
      <c r="X182" s="23"/>
      <c r="Y182" s="23">
        <v>10600000</v>
      </c>
      <c r="Z182" s="117" t="e">
        <f>VLOOKUP(A182,#REF!,63,FALSE)/F182+#REF!</f>
        <v>#REF!</v>
      </c>
      <c r="AA182" s="880">
        <f t="shared" si="217"/>
        <v>1</v>
      </c>
    </row>
    <row r="183" spans="1:27" ht="16.5" customHeight="1">
      <c r="A183" s="19" t="s">
        <v>94</v>
      </c>
      <c r="B183" s="20" t="s">
        <v>559</v>
      </c>
      <c r="C183" s="21" t="s">
        <v>55</v>
      </c>
      <c r="D183" s="21" t="s">
        <v>626</v>
      </c>
      <c r="E183" s="23">
        <f t="shared" ref="E183:Z183" si="278">E184+E185</f>
        <v>140674840.5</v>
      </c>
      <c r="F183" s="116"/>
      <c r="G183" s="116">
        <f t="shared" si="278"/>
        <v>0</v>
      </c>
      <c r="H183" s="23">
        <f t="shared" si="278"/>
        <v>0</v>
      </c>
      <c r="I183" s="18">
        <f t="shared" si="278"/>
        <v>0</v>
      </c>
      <c r="J183" s="116">
        <f t="shared" si="278"/>
        <v>140386296.66999996</v>
      </c>
      <c r="K183" s="116">
        <f t="shared" si="278"/>
        <v>162377.54999999999</v>
      </c>
      <c r="L183" s="116">
        <f t="shared" si="278"/>
        <v>0</v>
      </c>
      <c r="M183" s="18">
        <f t="shared" si="278"/>
        <v>162377.54999999999</v>
      </c>
      <c r="N183" s="54">
        <f t="shared" si="278"/>
        <v>288543.83000005037</v>
      </c>
      <c r="O183" s="116">
        <f t="shared" si="278"/>
        <v>288543.83000005037</v>
      </c>
      <c r="P183" s="18">
        <v>1470237</v>
      </c>
      <c r="Q183" s="18">
        <f t="shared" si="278"/>
        <v>0</v>
      </c>
      <c r="R183" s="18">
        <f t="shared" si="219"/>
        <v>1470237</v>
      </c>
      <c r="S183" s="18">
        <f t="shared" si="278"/>
        <v>1307859.45</v>
      </c>
      <c r="T183" s="23">
        <f>T184+T185</f>
        <v>140022002.90000001</v>
      </c>
      <c r="U183" s="18">
        <f t="shared" si="278"/>
        <v>-364293.76999995112</v>
      </c>
      <c r="V183" s="18">
        <f t="shared" si="278"/>
        <v>-655021.84999999846</v>
      </c>
      <c r="W183" s="18">
        <f t="shared" si="278"/>
        <v>0.71000000089406967</v>
      </c>
      <c r="X183" s="18"/>
      <c r="Y183" s="18">
        <f t="shared" si="278"/>
        <v>0</v>
      </c>
      <c r="Z183" s="116" t="e">
        <f t="shared" si="278"/>
        <v>#REF!</v>
      </c>
      <c r="AA183" s="881" t="e">
        <f t="shared" si="217"/>
        <v>#DIV/0!</v>
      </c>
    </row>
    <row r="184" spans="1:27" ht="16.5" customHeight="1">
      <c r="A184" s="19" t="s">
        <v>159</v>
      </c>
      <c r="B184" s="20" t="s">
        <v>334</v>
      </c>
      <c r="C184" s="21" t="s">
        <v>55</v>
      </c>
      <c r="D184" s="21" t="s">
        <v>626</v>
      </c>
      <c r="E184" s="22">
        <f>VLOOKUP($A184,publ_fin!$A:$I,8,FALSE)</f>
        <v>130960495.26000001</v>
      </c>
      <c r="F184" s="114">
        <v>0.91817788712511494</v>
      </c>
      <c r="G184" s="115"/>
      <c r="H184" s="22">
        <v>0</v>
      </c>
      <c r="I184" s="22">
        <f>F184*H184</f>
        <v>0</v>
      </c>
      <c r="J184" s="117">
        <v>130671952.63999996</v>
      </c>
      <c r="K184" s="117">
        <v>154815.04999999999</v>
      </c>
      <c r="L184" s="117">
        <v>0</v>
      </c>
      <c r="M184" s="23">
        <f t="shared" si="216"/>
        <v>154815.04999999999</v>
      </c>
      <c r="N184" s="54">
        <f>E184-J184</f>
        <v>288542.62000004947</v>
      </c>
      <c r="O184" s="117">
        <f>H184+N184</f>
        <v>288542.62000004947</v>
      </c>
      <c r="P184" s="23">
        <v>1462674</v>
      </c>
      <c r="Q184" s="23">
        <f>IFERROR(VLOOKUP(A184,lauzti_līg!A:H,8,FALSE),0)</f>
        <v>0</v>
      </c>
      <c r="R184" s="23">
        <f t="shared" si="219"/>
        <v>1462674</v>
      </c>
      <c r="S184" s="23">
        <f>R184-M184</f>
        <v>1307858.95</v>
      </c>
      <c r="T184" s="23">
        <f>VLOOKUP(A184,Nosl_līg!A:H,8,0)</f>
        <v>130307658.87</v>
      </c>
      <c r="U184" s="23">
        <f>T184-J184</f>
        <v>-364293.76999995112</v>
      </c>
      <c r="V184" s="23">
        <f>O184-S184-U184</f>
        <v>-655022.55999999936</v>
      </c>
      <c r="W184" s="23">
        <f>IF(N184&gt;=S184+U184,N184-S184-U184,0)</f>
        <v>0</v>
      </c>
      <c r="X184" s="23"/>
      <c r="Y184" s="23">
        <f>IF(H184=0,0, IF(T184-E184+R184-M184&lt;0, 0, T184-E184+R184-M184))</f>
        <v>0</v>
      </c>
      <c r="Z184" s="117" t="e">
        <f>VLOOKUP(A184,#REF!,63,FALSE)/F184+#REF!</f>
        <v>#REF!</v>
      </c>
      <c r="AA184" s="880" t="e">
        <f t="shared" si="217"/>
        <v>#DIV/0!</v>
      </c>
    </row>
    <row r="185" spans="1:27" ht="16.5" customHeight="1">
      <c r="A185" s="19" t="s">
        <v>160</v>
      </c>
      <c r="B185" s="20" t="s">
        <v>335</v>
      </c>
      <c r="C185" s="21" t="s">
        <v>55</v>
      </c>
      <c r="D185" s="21" t="s">
        <v>626</v>
      </c>
      <c r="E185" s="22">
        <f>VLOOKUP($A185,publ_fin!$A:$I,8,FALSE)</f>
        <v>9714345.2400000002</v>
      </c>
      <c r="F185" s="114">
        <v>0.84999994194153217</v>
      </c>
      <c r="G185" s="115"/>
      <c r="H185" s="22">
        <v>0</v>
      </c>
      <c r="I185" s="22">
        <f>F185*H185</f>
        <v>0</v>
      </c>
      <c r="J185" s="117">
        <v>9714344.0299999993</v>
      </c>
      <c r="K185" s="117">
        <v>7562.5</v>
      </c>
      <c r="L185" s="117">
        <v>0</v>
      </c>
      <c r="M185" s="23">
        <f t="shared" si="216"/>
        <v>7562.5</v>
      </c>
      <c r="N185" s="54">
        <f>E185-J185</f>
        <v>1.2100000008940697</v>
      </c>
      <c r="O185" s="117">
        <f>H185+N185</f>
        <v>1.2100000008940697</v>
      </c>
      <c r="P185" s="23">
        <v>7563</v>
      </c>
      <c r="Q185" s="23">
        <f>IFERROR(VLOOKUP(A185,lauzti_līg!A:H,8,FALSE),0)</f>
        <v>0</v>
      </c>
      <c r="R185" s="23">
        <f t="shared" si="219"/>
        <v>7563</v>
      </c>
      <c r="S185" s="23">
        <f>R185-M185</f>
        <v>0.5</v>
      </c>
      <c r="T185" s="23">
        <f>VLOOKUP(A185,Nosl_līg!A:H,8,0)</f>
        <v>9714344.0299999993</v>
      </c>
      <c r="U185" s="23">
        <f>T185-J185</f>
        <v>0</v>
      </c>
      <c r="V185" s="23">
        <f>O185-S185-U185</f>
        <v>0.71000000089406967</v>
      </c>
      <c r="W185" s="23">
        <f>IF(N185&gt;=S185+U185,N185-S185-U185,0)</f>
        <v>0.71000000089406967</v>
      </c>
      <c r="X185" s="23"/>
      <c r="Y185" s="23">
        <f>IF(H185=0,0, IF(T185-E185+R185-M185&lt;0, 0, T185-E185+R185-M185))</f>
        <v>0</v>
      </c>
      <c r="Z185" s="117" t="e">
        <f>VLOOKUP(A185,#REF!,63,FALSE)/F185+#REF!</f>
        <v>#REF!</v>
      </c>
      <c r="AA185" s="880" t="e">
        <f t="shared" si="217"/>
        <v>#DIV/0!</v>
      </c>
    </row>
    <row r="186" spans="1:27" ht="16.5" customHeight="1">
      <c r="A186" s="14" t="s">
        <v>95</v>
      </c>
      <c r="B186" s="15" t="s">
        <v>560</v>
      </c>
      <c r="C186" s="16" t="s">
        <v>55</v>
      </c>
      <c r="D186" s="16" t="s">
        <v>131</v>
      </c>
      <c r="E186" s="17">
        <f t="shared" ref="E186:G186" si="279">E187+E195</f>
        <v>382433257.82999998</v>
      </c>
      <c r="F186" s="113"/>
      <c r="G186" s="113">
        <f t="shared" si="279"/>
        <v>0</v>
      </c>
      <c r="H186" s="17">
        <f t="shared" ref="H186:Y186" si="280">H187+H195</f>
        <v>30966017</v>
      </c>
      <c r="I186" s="17">
        <f t="shared" ref="I186:L186" si="281">I187+I195</f>
        <v>30966017</v>
      </c>
      <c r="J186" s="113">
        <f t="shared" si="281"/>
        <v>304120529.00999999</v>
      </c>
      <c r="K186" s="113">
        <f t="shared" si="281"/>
        <v>607404.22</v>
      </c>
      <c r="L186" s="113">
        <f t="shared" si="281"/>
        <v>1552349.04</v>
      </c>
      <c r="M186" s="17">
        <f t="shared" si="280"/>
        <v>2159753.2599999998</v>
      </c>
      <c r="N186" s="53">
        <f t="shared" si="280"/>
        <v>78312728.820000008</v>
      </c>
      <c r="O186" s="113">
        <f t="shared" si="280"/>
        <v>109278745.81999999</v>
      </c>
      <c r="P186" s="17">
        <v>3048220</v>
      </c>
      <c r="Q186" s="17">
        <f t="shared" si="280"/>
        <v>1701950.0200000003</v>
      </c>
      <c r="R186" s="17">
        <f t="shared" si="219"/>
        <v>4750170.0200000005</v>
      </c>
      <c r="S186" s="17">
        <f t="shared" ref="S186:T186" si="282">S187+S195</f>
        <v>2590416.7599999998</v>
      </c>
      <c r="T186" s="17">
        <f t="shared" si="282"/>
        <v>380595438.43000001</v>
      </c>
      <c r="U186" s="17">
        <f t="shared" si="280"/>
        <v>76474909.420000032</v>
      </c>
      <c r="V186" s="17">
        <f t="shared" si="280"/>
        <v>30213419.639999971</v>
      </c>
      <c r="W186" s="17">
        <f t="shared" si="280"/>
        <v>22568875.299999986</v>
      </c>
      <c r="X186" s="17"/>
      <c r="Y186" s="17">
        <f t="shared" si="280"/>
        <v>29886922</v>
      </c>
      <c r="Z186" s="113" t="e">
        <f t="shared" ref="Z186" si="283">Z187+Z195</f>
        <v>#REF!</v>
      </c>
      <c r="AA186" s="879">
        <f t="shared" si="217"/>
        <v>0.96515228290419142</v>
      </c>
    </row>
    <row r="187" spans="1:27" ht="16.5" customHeight="1">
      <c r="A187" s="14" t="s">
        <v>96</v>
      </c>
      <c r="B187" s="15" t="s">
        <v>561</v>
      </c>
      <c r="C187" s="16" t="s">
        <v>55</v>
      </c>
      <c r="D187" s="16" t="s">
        <v>140</v>
      </c>
      <c r="E187" s="17">
        <f t="shared" ref="E187:G187" si="284">E188+E189+E190+E193+E194</f>
        <v>254549725.63</v>
      </c>
      <c r="F187" s="113"/>
      <c r="G187" s="113">
        <f t="shared" si="284"/>
        <v>0</v>
      </c>
      <c r="H187" s="17">
        <f t="shared" ref="H187:Y187" si="285">H188+H189+H190+H193+H194</f>
        <v>21295426</v>
      </c>
      <c r="I187" s="17">
        <f t="shared" ref="I187:L187" si="286">I188+I189+I190+I193+I194</f>
        <v>21295426</v>
      </c>
      <c r="J187" s="113">
        <f t="shared" si="286"/>
        <v>222669677.00999999</v>
      </c>
      <c r="K187" s="113">
        <f t="shared" si="286"/>
        <v>384358.86</v>
      </c>
      <c r="L187" s="113">
        <f t="shared" si="286"/>
        <v>1552349.04</v>
      </c>
      <c r="M187" s="17">
        <f t="shared" si="285"/>
        <v>1936707.9</v>
      </c>
      <c r="N187" s="53">
        <f t="shared" si="285"/>
        <v>31880048.620000005</v>
      </c>
      <c r="O187" s="113">
        <f t="shared" si="285"/>
        <v>53175474.619999997</v>
      </c>
      <c r="P187" s="17">
        <v>944821</v>
      </c>
      <c r="Q187" s="17">
        <f t="shared" si="285"/>
        <v>1697560.4100000001</v>
      </c>
      <c r="R187" s="17">
        <f t="shared" si="219"/>
        <v>2642381.41</v>
      </c>
      <c r="S187" s="17">
        <f t="shared" ref="S187:T187" si="287">S188+S189+S190+S193+S194</f>
        <v>705673.51</v>
      </c>
      <c r="T187" s="17">
        <f t="shared" si="287"/>
        <v>255124170.13999999</v>
      </c>
      <c r="U187" s="17">
        <f t="shared" si="285"/>
        <v>32454493.130000018</v>
      </c>
      <c r="V187" s="17">
        <f t="shared" si="285"/>
        <v>20015307.979999986</v>
      </c>
      <c r="W187" s="17">
        <f t="shared" si="285"/>
        <v>18713405.699999984</v>
      </c>
      <c r="X187" s="17"/>
      <c r="Y187" s="17">
        <f t="shared" si="285"/>
        <v>20216334</v>
      </c>
      <c r="Z187" s="113" t="e">
        <f t="shared" ref="Z187" si="288">Z188+Z189+Z190+Z193+Z194</f>
        <v>#REF!</v>
      </c>
      <c r="AA187" s="879">
        <f t="shared" si="217"/>
        <v>0.94932752225759653</v>
      </c>
    </row>
    <row r="188" spans="1:27" ht="16.5" customHeight="1">
      <c r="A188" s="19" t="s">
        <v>336</v>
      </c>
      <c r="B188" s="20" t="s">
        <v>643</v>
      </c>
      <c r="C188" s="21" t="s">
        <v>55</v>
      </c>
      <c r="D188" s="21" t="s">
        <v>140</v>
      </c>
      <c r="E188" s="22">
        <f>VLOOKUP($A188,publ_fin!$A:$I,8,FALSE)</f>
        <v>154442770.84999999</v>
      </c>
      <c r="F188" s="114">
        <v>0.84999999888308142</v>
      </c>
      <c r="G188" s="115"/>
      <c r="H188" s="22">
        <v>0</v>
      </c>
      <c r="I188" s="22">
        <f>F188*H188</f>
        <v>0</v>
      </c>
      <c r="J188" s="117">
        <v>145224771.26999998</v>
      </c>
      <c r="K188" s="117">
        <v>0</v>
      </c>
      <c r="L188" s="117">
        <v>0</v>
      </c>
      <c r="M188" s="23">
        <f t="shared" si="216"/>
        <v>0</v>
      </c>
      <c r="N188" s="54">
        <f>E188-J188</f>
        <v>9217999.5800000131</v>
      </c>
      <c r="O188" s="117">
        <f>H188+N188</f>
        <v>9217999.5800000131</v>
      </c>
      <c r="P188" s="23">
        <v>24695</v>
      </c>
      <c r="Q188" s="23">
        <f>IFERROR(VLOOKUP(A188,lauzti_līg!A:H,8,FALSE),0)-19016000</f>
        <v>0</v>
      </c>
      <c r="R188" s="23">
        <f t="shared" si="219"/>
        <v>24695</v>
      </c>
      <c r="S188" s="23">
        <f>R188-M188</f>
        <v>24695</v>
      </c>
      <c r="T188" s="23">
        <f>VLOOKUP(A188,Nosl_līg!A:H,8,0)</f>
        <v>135704671.02000001</v>
      </c>
      <c r="U188" s="23">
        <f>T188-J188</f>
        <v>-9520100.2499999702</v>
      </c>
      <c r="V188" s="23">
        <f>O188-S188-U188</f>
        <v>18713404.829999983</v>
      </c>
      <c r="W188" s="23">
        <f>IF(N188&gt;=S188+U188,N188-S188-U188,0)</f>
        <v>18713404.829999983</v>
      </c>
      <c r="X188" s="23"/>
      <c r="Y188" s="23">
        <f>IF(H188=0,0, IF(T188-E188+R188-M188&lt;0, 0, T188-E188+R188-M188))</f>
        <v>0</v>
      </c>
      <c r="Z188" s="117" t="e">
        <f>VLOOKUP(A188,#REF!,63,FALSE)/F188+#REF!</f>
        <v>#REF!</v>
      </c>
      <c r="AA188" s="880" t="e">
        <f t="shared" si="217"/>
        <v>#DIV/0!</v>
      </c>
    </row>
    <row r="189" spans="1:27" ht="16.5" customHeight="1">
      <c r="A189" s="19" t="s">
        <v>198</v>
      </c>
      <c r="B189" s="20" t="s">
        <v>562</v>
      </c>
      <c r="C189" s="21" t="s">
        <v>55</v>
      </c>
      <c r="D189" s="21" t="s">
        <v>140</v>
      </c>
      <c r="E189" s="22">
        <f>VLOOKUP($A189,publ_fin!$A:$I,8,FALSE)</f>
        <v>64233387.939999998</v>
      </c>
      <c r="F189" s="114">
        <v>1</v>
      </c>
      <c r="G189" s="115"/>
      <c r="H189" s="22">
        <v>20616189</v>
      </c>
      <c r="I189" s="22">
        <f>F189*H189</f>
        <v>20616189</v>
      </c>
      <c r="J189" s="117">
        <v>45510119.040000007</v>
      </c>
      <c r="K189" s="117">
        <v>307260.92</v>
      </c>
      <c r="L189" s="117">
        <v>1552349.04</v>
      </c>
      <c r="M189" s="23">
        <f t="shared" si="216"/>
        <v>1859609.96</v>
      </c>
      <c r="N189" s="54">
        <f>E189-J189</f>
        <v>18723268.899999991</v>
      </c>
      <c r="O189" s="117">
        <f>H189+N189</f>
        <v>39339457.899999991</v>
      </c>
      <c r="P189" s="23">
        <v>742986</v>
      </c>
      <c r="Q189" s="23">
        <f>IFERROR(VLOOKUP(A189,lauzti_līg!A:H,8,FALSE),0)</f>
        <v>1552349.04</v>
      </c>
      <c r="R189" s="23">
        <f t="shared" si="219"/>
        <v>2295335.04</v>
      </c>
      <c r="S189" s="23">
        <f>R189-M189</f>
        <v>435725.08000000007</v>
      </c>
      <c r="T189" s="23">
        <f>VLOOKUP(A189,Nosl_līg!A:H,8,0)</f>
        <v>83061606.409999996</v>
      </c>
      <c r="U189" s="23">
        <f>T189-J189</f>
        <v>37551487.36999999</v>
      </c>
      <c r="V189" s="23">
        <f>O189-S189-U189</f>
        <v>1352245.450000003</v>
      </c>
      <c r="W189" s="23">
        <f>IF(N189&gt;=S189+U189,N189-S189-U189,0)</f>
        <v>0</v>
      </c>
      <c r="X189" s="23"/>
      <c r="Y189" s="23">
        <v>19537098</v>
      </c>
      <c r="Z189" s="117" t="e">
        <f>VLOOKUP(A189,#REF!,63,FALSE)/F189+#REF!</f>
        <v>#REF!</v>
      </c>
      <c r="AA189" s="880">
        <f t="shared" si="217"/>
        <v>0.94765807589365814</v>
      </c>
    </row>
    <row r="190" spans="1:27" ht="16.5" customHeight="1">
      <c r="A190" s="19" t="s">
        <v>199</v>
      </c>
      <c r="B190" s="20" t="s">
        <v>563</v>
      </c>
      <c r="C190" s="21" t="s">
        <v>55</v>
      </c>
      <c r="D190" s="21" t="s">
        <v>140</v>
      </c>
      <c r="E190" s="23">
        <f t="shared" ref="E190:G190" si="289">E191+E192</f>
        <v>18343908.289999999</v>
      </c>
      <c r="F190" s="116"/>
      <c r="G190" s="116">
        <f t="shared" si="289"/>
        <v>0</v>
      </c>
      <c r="H190" s="23">
        <v>679237</v>
      </c>
      <c r="I190" s="18">
        <f t="shared" ref="I190:L190" si="290">I191+I192</f>
        <v>679237</v>
      </c>
      <c r="J190" s="116">
        <f t="shared" si="290"/>
        <v>14405129.160000002</v>
      </c>
      <c r="K190" s="116">
        <f t="shared" si="290"/>
        <v>77097.94</v>
      </c>
      <c r="L190" s="116">
        <f t="shared" si="290"/>
        <v>0</v>
      </c>
      <c r="M190" s="18">
        <f t="shared" ref="M190:Z190" si="291">M191+M192</f>
        <v>77097.94</v>
      </c>
      <c r="N190" s="54">
        <f t="shared" si="291"/>
        <v>3938779.129999999</v>
      </c>
      <c r="O190" s="116">
        <f t="shared" si="291"/>
        <v>4618016.129999999</v>
      </c>
      <c r="P190" s="18">
        <v>173813</v>
      </c>
      <c r="Q190" s="18">
        <f t="shared" si="291"/>
        <v>145211.37</v>
      </c>
      <c r="R190" s="18">
        <f t="shared" si="219"/>
        <v>319024.37</v>
      </c>
      <c r="S190" s="18">
        <f t="shared" si="291"/>
        <v>241926.43</v>
      </c>
      <c r="T190" s="23">
        <f>T191+T192</f>
        <v>18831561.890000001</v>
      </c>
      <c r="U190" s="18">
        <f t="shared" si="291"/>
        <v>4426432.7299999986</v>
      </c>
      <c r="V190" s="18">
        <f t="shared" si="291"/>
        <v>-50343.02999999962</v>
      </c>
      <c r="W190" s="18">
        <f t="shared" si="291"/>
        <v>0</v>
      </c>
      <c r="X190" s="18"/>
      <c r="Y190" s="18">
        <f t="shared" si="291"/>
        <v>679236</v>
      </c>
      <c r="Z190" s="116" t="e">
        <f t="shared" si="291"/>
        <v>#REF!</v>
      </c>
      <c r="AA190" s="881">
        <f t="shared" si="217"/>
        <v>0.99999852775982467</v>
      </c>
    </row>
    <row r="191" spans="1:27" ht="16.5" customHeight="1">
      <c r="A191" s="19" t="s">
        <v>339</v>
      </c>
      <c r="B191" s="20" t="s">
        <v>641</v>
      </c>
      <c r="C191" s="21" t="s">
        <v>55</v>
      </c>
      <c r="D191" s="21" t="s">
        <v>140</v>
      </c>
      <c r="E191" s="22">
        <f>VLOOKUP($A191,publ_fin!$A:$I,8,FALSE)</f>
        <v>9343036.3200000003</v>
      </c>
      <c r="F191" s="114">
        <v>1</v>
      </c>
      <c r="G191" s="115"/>
      <c r="H191" s="22">
        <v>0</v>
      </c>
      <c r="I191" s="22">
        <f>F191*H191</f>
        <v>0</v>
      </c>
      <c r="J191" s="117">
        <v>9414556.410000002</v>
      </c>
      <c r="K191" s="117">
        <v>77097.94</v>
      </c>
      <c r="L191" s="117">
        <v>0</v>
      </c>
      <c r="M191" s="23">
        <f t="shared" si="216"/>
        <v>77097.94</v>
      </c>
      <c r="N191" s="54">
        <f>E191-J191</f>
        <v>-71520.090000001714</v>
      </c>
      <c r="O191" s="117">
        <f>H191+N191</f>
        <v>-71520.090000001714</v>
      </c>
      <c r="P191" s="23">
        <v>173813</v>
      </c>
      <c r="Q191" s="23">
        <f>IFERROR(VLOOKUP(A191,lauzti_līg!A:H,8,FALSE),0)</f>
        <v>145211.37</v>
      </c>
      <c r="R191" s="23">
        <f t="shared" si="219"/>
        <v>319024.37</v>
      </c>
      <c r="S191" s="23">
        <f>R191-M191</f>
        <v>241926.43</v>
      </c>
      <c r="T191" s="23">
        <f>VLOOKUP(A191,Nosl_līg!A:H,8,0)</f>
        <v>9151453.8900000006</v>
      </c>
      <c r="U191" s="23">
        <f>T191-J191</f>
        <v>-263102.52000000142</v>
      </c>
      <c r="V191" s="23">
        <f>O191-S191-U191</f>
        <v>-50344.000000000291</v>
      </c>
      <c r="W191" s="23">
        <f>IF(N191&gt;=S191+U191,N191-S191-U191,0)</f>
        <v>0</v>
      </c>
      <c r="X191" s="23"/>
      <c r="Y191" s="23">
        <f>IF(H191=0,0, IF(T191-E191+R191-M191&lt;0, 0, T191-E191+R191-M191))</f>
        <v>0</v>
      </c>
      <c r="Z191" s="117" t="e">
        <f>VLOOKUP(A191,#REF!,63,FALSE)/F191+#REF!</f>
        <v>#REF!</v>
      </c>
      <c r="AA191" s="880" t="e">
        <f t="shared" si="217"/>
        <v>#DIV/0!</v>
      </c>
    </row>
    <row r="192" spans="1:27" ht="16.5" customHeight="1">
      <c r="A192" s="19" t="s">
        <v>97</v>
      </c>
      <c r="B192" s="20" t="s">
        <v>564</v>
      </c>
      <c r="C192" s="21" t="s">
        <v>55</v>
      </c>
      <c r="D192" s="21" t="s">
        <v>140</v>
      </c>
      <c r="E192" s="22">
        <f>VLOOKUP($A192,publ_fin!$A:$I,8,FALSE)</f>
        <v>9000871.9700000007</v>
      </c>
      <c r="F192" s="114">
        <v>1</v>
      </c>
      <c r="G192" s="115"/>
      <c r="H192" s="22">
        <v>679237</v>
      </c>
      <c r="I192" s="22">
        <f>F192*H192</f>
        <v>679237</v>
      </c>
      <c r="J192" s="117">
        <v>4990572.75</v>
      </c>
      <c r="K192" s="117">
        <v>0</v>
      </c>
      <c r="L192" s="117">
        <v>0</v>
      </c>
      <c r="M192" s="23">
        <f t="shared" si="216"/>
        <v>0</v>
      </c>
      <c r="N192" s="54">
        <f>E192-J192</f>
        <v>4010299.2200000007</v>
      </c>
      <c r="O192" s="117">
        <f>H192+N192</f>
        <v>4689536.2200000007</v>
      </c>
      <c r="P192" s="23">
        <v>0</v>
      </c>
      <c r="Q192" s="23">
        <f>IFERROR(VLOOKUP(A192,lauzti_līg!A:H,8,FALSE),0)</f>
        <v>0</v>
      </c>
      <c r="R192" s="23">
        <f t="shared" si="219"/>
        <v>0</v>
      </c>
      <c r="S192" s="23">
        <f>R192-M192</f>
        <v>0</v>
      </c>
      <c r="T192" s="23">
        <f>VLOOKUP(A192,Nosl_līg!A:H,8,0)</f>
        <v>9680108</v>
      </c>
      <c r="U192" s="23">
        <f>T192-J192</f>
        <v>4689535.25</v>
      </c>
      <c r="V192" s="23">
        <f>O192-S192-U192</f>
        <v>0.97000000067055225</v>
      </c>
      <c r="W192" s="23">
        <f>IF(N192&gt;=S192+U192,N192-S192-U192,0)</f>
        <v>0</v>
      </c>
      <c r="X192" s="23"/>
      <c r="Y192" s="23">
        <v>679236</v>
      </c>
      <c r="Z192" s="117" t="e">
        <f>VLOOKUP(A192,#REF!,63,FALSE)/F192+#REF!</f>
        <v>#REF!</v>
      </c>
      <c r="AA192" s="880">
        <f t="shared" si="217"/>
        <v>0.99999852775982467</v>
      </c>
    </row>
    <row r="193" spans="1:27" ht="16.5" customHeight="1">
      <c r="A193" s="19" t="s">
        <v>342</v>
      </c>
      <c r="B193" s="20" t="s">
        <v>565</v>
      </c>
      <c r="C193" s="21" t="s">
        <v>55</v>
      </c>
      <c r="D193" s="21" t="s">
        <v>140</v>
      </c>
      <c r="E193" s="22">
        <f>VLOOKUP($A193,publ_fin!$A:$I,8,FALSE)</f>
        <v>3473578.55</v>
      </c>
      <c r="F193" s="114">
        <v>1</v>
      </c>
      <c r="G193" s="115"/>
      <c r="H193" s="22">
        <v>0</v>
      </c>
      <c r="I193" s="22">
        <f>F193*H193</f>
        <v>0</v>
      </c>
      <c r="J193" s="117">
        <v>3473577.6799999997</v>
      </c>
      <c r="K193" s="117">
        <v>0</v>
      </c>
      <c r="L193" s="117">
        <v>0</v>
      </c>
      <c r="M193" s="23">
        <f t="shared" si="216"/>
        <v>0</v>
      </c>
      <c r="N193" s="54">
        <f>E193-J193</f>
        <v>0.87000000011175871</v>
      </c>
      <c r="O193" s="117">
        <f>H193+N193</f>
        <v>0.87000000011175871</v>
      </c>
      <c r="P193" s="23">
        <v>0</v>
      </c>
      <c r="Q193" s="23">
        <f>IFERROR(VLOOKUP(A193,lauzti_līg!A:H,8,FALSE),0)</f>
        <v>0</v>
      </c>
      <c r="R193" s="23">
        <f t="shared" si="219"/>
        <v>0</v>
      </c>
      <c r="S193" s="23">
        <f>R193-M193</f>
        <v>0</v>
      </c>
      <c r="T193" s="23">
        <f>VLOOKUP(A193,Nosl_līg!A:H,8,0)</f>
        <v>3473577.68</v>
      </c>
      <c r="U193" s="23">
        <f>T193-J193</f>
        <v>0</v>
      </c>
      <c r="V193" s="23">
        <f>O193-S193-U193</f>
        <v>0.87000000011175871</v>
      </c>
      <c r="W193" s="23">
        <f>IF(N193&gt;=S193+U193,N193-S193-U193,0)</f>
        <v>0.87000000011175871</v>
      </c>
      <c r="X193" s="23"/>
      <c r="Y193" s="23">
        <f>IF(H193=0,0, IF(T193-E193+R193-M193&lt;0, 0, T193-E193+R193-M193))</f>
        <v>0</v>
      </c>
      <c r="Z193" s="117" t="e">
        <f>VLOOKUP(A193,#REF!,63,FALSE)/F193+#REF!</f>
        <v>#REF!</v>
      </c>
      <c r="AA193" s="880" t="e">
        <f t="shared" si="217"/>
        <v>#DIV/0!</v>
      </c>
    </row>
    <row r="194" spans="1:27" ht="16.5" customHeight="1">
      <c r="A194" s="19" t="s">
        <v>98</v>
      </c>
      <c r="B194" s="20" t="s">
        <v>566</v>
      </c>
      <c r="C194" s="21" t="s">
        <v>55</v>
      </c>
      <c r="D194" s="21" t="s">
        <v>140</v>
      </c>
      <c r="E194" s="22">
        <f>VLOOKUP($A194,publ_fin!$A:$I,8,FALSE)</f>
        <v>14056080</v>
      </c>
      <c r="F194" s="114">
        <v>1</v>
      </c>
      <c r="G194" s="115"/>
      <c r="H194" s="22">
        <v>0</v>
      </c>
      <c r="I194" s="22">
        <f>F194*H194</f>
        <v>0</v>
      </c>
      <c r="J194" s="117">
        <v>14056079.859999999</v>
      </c>
      <c r="K194" s="117">
        <v>0</v>
      </c>
      <c r="L194" s="117">
        <v>0</v>
      </c>
      <c r="M194" s="23">
        <f t="shared" si="216"/>
        <v>0</v>
      </c>
      <c r="N194" s="54">
        <f>E194-J194</f>
        <v>0.14000000059604645</v>
      </c>
      <c r="O194" s="117">
        <f>H194+N194</f>
        <v>0.14000000059604645</v>
      </c>
      <c r="P194" s="23">
        <v>3327</v>
      </c>
      <c r="Q194" s="23">
        <f>IFERROR(VLOOKUP(A194,lauzti_līg!A:H,8,FALSE),0)</f>
        <v>0</v>
      </c>
      <c r="R194" s="23">
        <f t="shared" si="219"/>
        <v>3327</v>
      </c>
      <c r="S194" s="23">
        <f>R194-M194</f>
        <v>3327</v>
      </c>
      <c r="T194" s="23">
        <f>VLOOKUP(A194,Nosl_līg!A:H,8,0)</f>
        <v>14052753.140000001</v>
      </c>
      <c r="U194" s="23">
        <f>T194-J194</f>
        <v>-3326.7199999988079</v>
      </c>
      <c r="V194" s="23">
        <f>O194-S194-U194</f>
        <v>-0.14000000059604645</v>
      </c>
      <c r="W194" s="23">
        <f>IF(N194&gt;=S194+U194,N194-S194-U194,0)</f>
        <v>0</v>
      </c>
      <c r="X194" s="23"/>
      <c r="Y194" s="23">
        <f>IF(H194=0,0, IF(T194-E194+R194-M194&lt;0, 0, T194-E194+R194-M194))</f>
        <v>0</v>
      </c>
      <c r="Z194" s="117" t="e">
        <f>VLOOKUP(A194,#REF!,63,FALSE)/F194+#REF!</f>
        <v>#REF!</v>
      </c>
      <c r="AA194" s="880" t="e">
        <f t="shared" si="217"/>
        <v>#DIV/0!</v>
      </c>
    </row>
    <row r="195" spans="1:27" ht="16.5" customHeight="1">
      <c r="A195" s="14" t="s">
        <v>99</v>
      </c>
      <c r="B195" s="15" t="s">
        <v>567</v>
      </c>
      <c r="C195" s="16" t="s">
        <v>55</v>
      </c>
      <c r="D195" s="16" t="s">
        <v>131</v>
      </c>
      <c r="E195" s="17">
        <f t="shared" ref="E195:G195" si="292">E196+E199+E200+E201</f>
        <v>127883532.2</v>
      </c>
      <c r="F195" s="113"/>
      <c r="G195" s="113">
        <f t="shared" si="292"/>
        <v>0</v>
      </c>
      <c r="H195" s="17">
        <f t="shared" ref="H195:Y195" si="293">H196+H199+H200+H201</f>
        <v>9670591</v>
      </c>
      <c r="I195" s="17">
        <f t="shared" ref="I195:L195" si="294">I196+I199+I200+I201</f>
        <v>9670591</v>
      </c>
      <c r="J195" s="113">
        <f t="shared" si="294"/>
        <v>81450851.999999985</v>
      </c>
      <c r="K195" s="113">
        <f t="shared" si="294"/>
        <v>223045.36</v>
      </c>
      <c r="L195" s="113">
        <f t="shared" si="294"/>
        <v>0</v>
      </c>
      <c r="M195" s="17">
        <f t="shared" si="293"/>
        <v>223045.36</v>
      </c>
      <c r="N195" s="53">
        <f t="shared" si="293"/>
        <v>46432680.200000003</v>
      </c>
      <c r="O195" s="113">
        <f t="shared" si="293"/>
        <v>56103271.200000003</v>
      </c>
      <c r="P195" s="17">
        <v>2103399</v>
      </c>
      <c r="Q195" s="17">
        <f t="shared" si="293"/>
        <v>4389.6099999999997</v>
      </c>
      <c r="R195" s="17">
        <f t="shared" si="219"/>
        <v>2107788.61</v>
      </c>
      <c r="S195" s="17">
        <f t="shared" ref="S195:T195" si="295">S196+S199+S200+S201</f>
        <v>1884743.25</v>
      </c>
      <c r="T195" s="17">
        <f t="shared" si="295"/>
        <v>125471268.29000001</v>
      </c>
      <c r="U195" s="17">
        <f t="shared" si="293"/>
        <v>44020416.290000014</v>
      </c>
      <c r="V195" s="17">
        <f t="shared" si="293"/>
        <v>10198111.659999987</v>
      </c>
      <c r="W195" s="17">
        <f t="shared" si="293"/>
        <v>3855469.6000000006</v>
      </c>
      <c r="X195" s="17"/>
      <c r="Y195" s="17">
        <f t="shared" si="293"/>
        <v>9670588</v>
      </c>
      <c r="Z195" s="113" t="e">
        <f t="shared" ref="Z195" si="296">Z196+Z199+Z200+Z201</f>
        <v>#REF!</v>
      </c>
      <c r="AA195" s="879">
        <f t="shared" si="217"/>
        <v>0.99999968978111053</v>
      </c>
    </row>
    <row r="196" spans="1:27" ht="16.5" customHeight="1">
      <c r="A196" s="19" t="s">
        <v>100</v>
      </c>
      <c r="B196" s="20" t="s">
        <v>568</v>
      </c>
      <c r="C196" s="21" t="s">
        <v>55</v>
      </c>
      <c r="D196" s="21" t="s">
        <v>1</v>
      </c>
      <c r="E196" s="23">
        <f t="shared" ref="E196:G196" si="297">E197+E198</f>
        <v>109144798.45999999</v>
      </c>
      <c r="F196" s="116"/>
      <c r="G196" s="116">
        <f t="shared" si="297"/>
        <v>0</v>
      </c>
      <c r="H196" s="23">
        <f t="shared" ref="H196:Y196" si="298">H197+H198</f>
        <v>9670591</v>
      </c>
      <c r="I196" s="18">
        <f t="shared" ref="I196:L196" si="299">I197+I198</f>
        <v>9670591</v>
      </c>
      <c r="J196" s="116">
        <f t="shared" si="299"/>
        <v>81450851.999999985</v>
      </c>
      <c r="K196" s="116">
        <f t="shared" si="299"/>
        <v>223045.36</v>
      </c>
      <c r="L196" s="116">
        <f t="shared" si="299"/>
        <v>0</v>
      </c>
      <c r="M196" s="18">
        <f t="shared" si="298"/>
        <v>223045.36</v>
      </c>
      <c r="N196" s="54">
        <f t="shared" si="298"/>
        <v>27693946.460000005</v>
      </c>
      <c r="O196" s="116">
        <f t="shared" si="298"/>
        <v>37364537.460000008</v>
      </c>
      <c r="P196" s="18">
        <v>2103399</v>
      </c>
      <c r="Q196" s="18">
        <f t="shared" si="298"/>
        <v>4389.6099999999997</v>
      </c>
      <c r="R196" s="18">
        <f t="shared" si="219"/>
        <v>2107788.61</v>
      </c>
      <c r="S196" s="18">
        <f t="shared" ref="S196" si="300">S197+S198</f>
        <v>1884743.25</v>
      </c>
      <c r="T196" s="23">
        <f>T197+T198</f>
        <v>109282535.29000001</v>
      </c>
      <c r="U196" s="18">
        <f t="shared" si="298"/>
        <v>27831683.290000014</v>
      </c>
      <c r="V196" s="18">
        <f t="shared" si="298"/>
        <v>7648110.9199999887</v>
      </c>
      <c r="W196" s="18">
        <f t="shared" si="298"/>
        <v>1305468.8600000013</v>
      </c>
      <c r="X196" s="18"/>
      <c r="Y196" s="18">
        <f t="shared" si="298"/>
        <v>9670588</v>
      </c>
      <c r="Z196" s="116" t="e">
        <f t="shared" ref="Z196" si="301">Z197+Z198</f>
        <v>#REF!</v>
      </c>
      <c r="AA196" s="881">
        <f t="shared" si="217"/>
        <v>0.99999968978111053</v>
      </c>
    </row>
    <row r="197" spans="1:27" ht="16.5" customHeight="1">
      <c r="A197" s="19" t="s">
        <v>156</v>
      </c>
      <c r="B197" s="20" t="s">
        <v>569</v>
      </c>
      <c r="C197" s="21" t="s">
        <v>55</v>
      </c>
      <c r="D197" s="21" t="s">
        <v>628</v>
      </c>
      <c r="E197" s="22">
        <f>VLOOKUP($A197,publ_fin!$A:$I,8,FALSE)</f>
        <v>96944797.819999993</v>
      </c>
      <c r="F197" s="114">
        <v>1</v>
      </c>
      <c r="G197" s="115"/>
      <c r="H197" s="22">
        <v>9670591</v>
      </c>
      <c r="I197" s="22">
        <f>F197*H197</f>
        <v>9670591</v>
      </c>
      <c r="J197" s="117">
        <v>71030119.519999996</v>
      </c>
      <c r="K197" s="117">
        <v>214258</v>
      </c>
      <c r="L197" s="117">
        <v>0</v>
      </c>
      <c r="M197" s="23">
        <f t="shared" si="216"/>
        <v>214258</v>
      </c>
      <c r="N197" s="54">
        <f>E197-J197</f>
        <v>25914678.299999997</v>
      </c>
      <c r="O197" s="117">
        <f>H197+N197</f>
        <v>35585269.299999997</v>
      </c>
      <c r="P197" s="23">
        <v>2041919</v>
      </c>
      <c r="Q197" s="23">
        <f>IFERROR(VLOOKUP(A197,lauzti_līg!A:H,8,FALSE),0)</f>
        <v>0</v>
      </c>
      <c r="R197" s="23">
        <f t="shared" si="219"/>
        <v>2041919</v>
      </c>
      <c r="S197" s="23">
        <f>R197-M197</f>
        <v>1827661</v>
      </c>
      <c r="T197" s="23">
        <f>VLOOKUP(A197,Nosl_līg!A:H,8,0)</f>
        <v>98445085.760000005</v>
      </c>
      <c r="U197" s="23">
        <f>T197-J197</f>
        <v>27414966.24000001</v>
      </c>
      <c r="V197" s="23">
        <f>O197-S197-U197</f>
        <v>6342642.0599999875</v>
      </c>
      <c r="W197" s="23">
        <f>IF(N197&gt;=S197+U197,N197-S197-U197,0)</f>
        <v>0</v>
      </c>
      <c r="X197" s="23"/>
      <c r="Y197" s="23">
        <v>9670588</v>
      </c>
      <c r="Z197" s="117" t="e">
        <f>VLOOKUP(A197,#REF!,63,FALSE)/F197+#REF!</f>
        <v>#REF!</v>
      </c>
      <c r="AA197" s="880">
        <f t="shared" si="217"/>
        <v>0.99999968978111053</v>
      </c>
    </row>
    <row r="198" spans="1:27" ht="16.5" customHeight="1">
      <c r="A198" s="19" t="s">
        <v>176</v>
      </c>
      <c r="B198" s="20" t="s">
        <v>570</v>
      </c>
      <c r="C198" s="21" t="s">
        <v>55</v>
      </c>
      <c r="D198" s="21" t="s">
        <v>5</v>
      </c>
      <c r="E198" s="22">
        <f>VLOOKUP($A198,publ_fin!$A:$I,8,FALSE)</f>
        <v>12200000.640000001</v>
      </c>
      <c r="F198" s="114">
        <v>1</v>
      </c>
      <c r="G198" s="115"/>
      <c r="H198" s="22">
        <v>0</v>
      </c>
      <c r="I198" s="22">
        <f>F198*H198</f>
        <v>0</v>
      </c>
      <c r="J198" s="117">
        <v>10420732.479999993</v>
      </c>
      <c r="K198" s="117">
        <v>8787.36</v>
      </c>
      <c r="L198" s="117">
        <v>0</v>
      </c>
      <c r="M198" s="23">
        <f t="shared" si="216"/>
        <v>8787.36</v>
      </c>
      <c r="N198" s="54">
        <f>E198-J198</f>
        <v>1779268.1600000076</v>
      </c>
      <c r="O198" s="117">
        <f>H198+N198</f>
        <v>1779268.1600000076</v>
      </c>
      <c r="P198" s="23">
        <v>61480</v>
      </c>
      <c r="Q198" s="23">
        <f>IFERROR(VLOOKUP(A198,lauzti_līg!A:H,8,FALSE),0)</f>
        <v>4389.6099999999997</v>
      </c>
      <c r="R198" s="23">
        <f t="shared" si="219"/>
        <v>65869.61</v>
      </c>
      <c r="S198" s="23">
        <f>R198-M198</f>
        <v>57082.25</v>
      </c>
      <c r="T198" s="23">
        <f>VLOOKUP(A198,Nosl_līg!A:H,8,0)</f>
        <v>10837449.529999999</v>
      </c>
      <c r="U198" s="23">
        <f>T198-J198</f>
        <v>416717.05000000633</v>
      </c>
      <c r="V198" s="23">
        <f>O198-S198-U198</f>
        <v>1305468.8600000013</v>
      </c>
      <c r="W198" s="23">
        <f>IF(N198&gt;=S198+U198,N198-S198-U198,0)</f>
        <v>1305468.8600000013</v>
      </c>
      <c r="X198" s="23"/>
      <c r="Y198" s="23">
        <f>IF(H198=0,0, IF(T198-E198+R198-M198&lt;0, 0, T198-E198+R198-M198))</f>
        <v>0</v>
      </c>
      <c r="Z198" s="117" t="e">
        <f>VLOOKUP(A198,#REF!,63,FALSE)/F198+#REF!</f>
        <v>#REF!</v>
      </c>
      <c r="AA198" s="880" t="e">
        <f t="shared" si="217"/>
        <v>#DIV/0!</v>
      </c>
    </row>
    <row r="199" spans="1:27" ht="16.5" customHeight="1">
      <c r="A199" s="19" t="s">
        <v>101</v>
      </c>
      <c r="B199" s="20" t="s">
        <v>571</v>
      </c>
      <c r="C199" s="21" t="s">
        <v>55</v>
      </c>
      <c r="D199" s="21" t="s">
        <v>628</v>
      </c>
      <c r="E199" s="22">
        <f>VLOOKUP($A199,publ_fin!$A:$I,8,FALSE)</f>
        <v>2550000.62</v>
      </c>
      <c r="F199" s="114">
        <v>1</v>
      </c>
      <c r="G199" s="115"/>
      <c r="H199" s="22">
        <v>0</v>
      </c>
      <c r="I199" s="22">
        <f>F199*H199</f>
        <v>0</v>
      </c>
      <c r="J199" s="117">
        <v>0</v>
      </c>
      <c r="K199" s="117">
        <v>0</v>
      </c>
      <c r="L199" s="117">
        <v>0</v>
      </c>
      <c r="M199" s="23">
        <f t="shared" si="216"/>
        <v>0</v>
      </c>
      <c r="N199" s="54">
        <f>E199-J199</f>
        <v>2550000.62</v>
      </c>
      <c r="O199" s="117">
        <f>H199+N199</f>
        <v>2550000.62</v>
      </c>
      <c r="P199" s="23">
        <v>0</v>
      </c>
      <c r="Q199" s="23">
        <f>IFERROR(VLOOKUP(A199,lauzti_līg!A:H,8,FALSE),0)</f>
        <v>0</v>
      </c>
      <c r="R199" s="23">
        <f t="shared" si="219"/>
        <v>0</v>
      </c>
      <c r="S199" s="23">
        <f>R199-M199</f>
        <v>0</v>
      </c>
      <c r="T199" s="23">
        <v>0</v>
      </c>
      <c r="U199" s="23">
        <f>T199-J199</f>
        <v>0</v>
      </c>
      <c r="V199" s="23">
        <f>O199-S199-U199</f>
        <v>2550000.62</v>
      </c>
      <c r="W199" s="23">
        <f>IF(N199&gt;=S199+U199,N199-S199-U199,0)</f>
        <v>2550000.62</v>
      </c>
      <c r="X199" s="23"/>
      <c r="Y199" s="23">
        <f>IF(H199=0,0, IF(T199-E199+R199-M199&lt;0, 0, T199-E199+R199-M199))</f>
        <v>0</v>
      </c>
      <c r="Z199" s="117" t="e">
        <f>VLOOKUP(A199,#REF!,63,FALSE)/F199+#REF!</f>
        <v>#REF!</v>
      </c>
      <c r="AA199" s="880" t="e">
        <f t="shared" si="217"/>
        <v>#DIV/0!</v>
      </c>
    </row>
    <row r="200" spans="1:27" ht="16.5" customHeight="1">
      <c r="A200" s="19" t="s">
        <v>102</v>
      </c>
      <c r="B200" s="20" t="s">
        <v>572</v>
      </c>
      <c r="C200" s="21" t="s">
        <v>55</v>
      </c>
      <c r="D200" s="21" t="s">
        <v>140</v>
      </c>
      <c r="E200" s="22">
        <f>VLOOKUP($A200,publ_fin!$A:$I,8,FALSE)</f>
        <v>16188733.119999999</v>
      </c>
      <c r="F200" s="114">
        <v>1</v>
      </c>
      <c r="G200" s="115"/>
      <c r="H200" s="22">
        <v>0</v>
      </c>
      <c r="I200" s="22">
        <f>F200*H200</f>
        <v>0</v>
      </c>
      <c r="J200" s="117">
        <v>0</v>
      </c>
      <c r="K200" s="117">
        <v>0</v>
      </c>
      <c r="L200" s="117">
        <v>0</v>
      </c>
      <c r="M200" s="23">
        <f t="shared" si="216"/>
        <v>0</v>
      </c>
      <c r="N200" s="54">
        <f>E200-J200</f>
        <v>16188733.119999999</v>
      </c>
      <c r="O200" s="117">
        <f>H200+N200</f>
        <v>16188733.119999999</v>
      </c>
      <c r="P200" s="23">
        <v>0</v>
      </c>
      <c r="Q200" s="23">
        <f>IFERROR(VLOOKUP(A200,lauzti_līg!A:H,8,FALSE),0)</f>
        <v>0</v>
      </c>
      <c r="R200" s="23">
        <f t="shared" si="219"/>
        <v>0</v>
      </c>
      <c r="S200" s="23">
        <f>R200-M200</f>
        <v>0</v>
      </c>
      <c r="T200" s="23">
        <f>VLOOKUP(A200,Nosl_līg!A:H,8,0)</f>
        <v>16188733</v>
      </c>
      <c r="U200" s="23">
        <f>T200-J200</f>
        <v>16188733</v>
      </c>
      <c r="V200" s="23">
        <f>O200-S200-U200</f>
        <v>0.11999999918043613</v>
      </c>
      <c r="W200" s="23">
        <f>IF(N200&gt;=S200+U200,N200-S200-U200,0)</f>
        <v>0.11999999918043613</v>
      </c>
      <c r="X200" s="23"/>
      <c r="Y200" s="23">
        <f>IF(H200=0,0, IF(T200-E200+R200-M200&lt;0, 0, T200-E200+R200-M200))</f>
        <v>0</v>
      </c>
      <c r="Z200" s="117" t="e">
        <f>VLOOKUP(A200,#REF!,63,FALSE)/F200+#REF!</f>
        <v>#REF!</v>
      </c>
      <c r="AA200" s="880" t="e">
        <f t="shared" si="217"/>
        <v>#DIV/0!</v>
      </c>
    </row>
    <row r="201" spans="1:27" ht="16.5" customHeight="1">
      <c r="A201" s="19" t="s">
        <v>103</v>
      </c>
      <c r="B201" s="20" t="s">
        <v>573</v>
      </c>
      <c r="C201" s="21" t="s">
        <v>55</v>
      </c>
      <c r="D201" s="21" t="s">
        <v>140</v>
      </c>
      <c r="E201" s="17">
        <f t="shared" ref="E201:Z201" si="302">E202+E203</f>
        <v>0</v>
      </c>
      <c r="F201" s="113"/>
      <c r="G201" s="113">
        <f t="shared" si="302"/>
        <v>0</v>
      </c>
      <c r="H201" s="17">
        <f t="shared" si="302"/>
        <v>0</v>
      </c>
      <c r="I201" s="17">
        <f t="shared" si="302"/>
        <v>0</v>
      </c>
      <c r="J201" s="113">
        <f t="shared" si="302"/>
        <v>0</v>
      </c>
      <c r="K201" s="113">
        <f t="shared" si="302"/>
        <v>0</v>
      </c>
      <c r="L201" s="113">
        <f t="shared" si="302"/>
        <v>0</v>
      </c>
      <c r="M201" s="17">
        <f t="shared" si="302"/>
        <v>0</v>
      </c>
      <c r="N201" s="53">
        <f t="shared" si="302"/>
        <v>0</v>
      </c>
      <c r="O201" s="113">
        <f t="shared" si="302"/>
        <v>0</v>
      </c>
      <c r="P201" s="17">
        <v>0</v>
      </c>
      <c r="Q201" s="17">
        <f t="shared" si="302"/>
        <v>0</v>
      </c>
      <c r="R201" s="17">
        <f t="shared" si="219"/>
        <v>0</v>
      </c>
      <c r="S201" s="17">
        <f t="shared" si="302"/>
        <v>0</v>
      </c>
      <c r="T201" s="17">
        <f t="shared" si="302"/>
        <v>0</v>
      </c>
      <c r="U201" s="17">
        <f t="shared" si="302"/>
        <v>0</v>
      </c>
      <c r="V201" s="17">
        <f t="shared" si="302"/>
        <v>0</v>
      </c>
      <c r="W201" s="17">
        <f t="shared" si="302"/>
        <v>0</v>
      </c>
      <c r="X201" s="17"/>
      <c r="Y201" s="17">
        <f t="shared" si="302"/>
        <v>0</v>
      </c>
      <c r="Z201" s="113">
        <f t="shared" si="302"/>
        <v>0</v>
      </c>
      <c r="AA201" s="879" t="e">
        <f t="shared" si="217"/>
        <v>#DIV/0!</v>
      </c>
    </row>
    <row r="202" spans="1:27" ht="16.5" customHeight="1">
      <c r="A202" s="19" t="s">
        <v>104</v>
      </c>
      <c r="B202" s="20" t="s">
        <v>574</v>
      </c>
      <c r="C202" s="21" t="s">
        <v>55</v>
      </c>
      <c r="D202" s="21" t="s">
        <v>140</v>
      </c>
      <c r="E202" s="22">
        <f>VLOOKUP($A202,publ_fin!$A:$I,8,FALSE)</f>
        <v>0</v>
      </c>
      <c r="F202" s="114">
        <v>0</v>
      </c>
      <c r="G202" s="115"/>
      <c r="H202" s="22">
        <v>0</v>
      </c>
      <c r="I202" s="22">
        <f>F202*H202</f>
        <v>0</v>
      </c>
      <c r="J202" s="117">
        <v>0</v>
      </c>
      <c r="K202" s="117">
        <v>0</v>
      </c>
      <c r="L202" s="117">
        <v>0</v>
      </c>
      <c r="M202" s="23">
        <f t="shared" si="216"/>
        <v>0</v>
      </c>
      <c r="N202" s="54">
        <f>E202-J202</f>
        <v>0</v>
      </c>
      <c r="O202" s="117">
        <f>H202+N202</f>
        <v>0</v>
      </c>
      <c r="P202" s="23">
        <v>0</v>
      </c>
      <c r="Q202" s="23">
        <f>IFERROR(VLOOKUP(A202,lauzti_līg!A:H,8,FALSE),0)</f>
        <v>0</v>
      </c>
      <c r="R202" s="23">
        <f t="shared" si="219"/>
        <v>0</v>
      </c>
      <c r="S202" s="23">
        <f>R202-M202</f>
        <v>0</v>
      </c>
      <c r="T202" s="23">
        <v>0</v>
      </c>
      <c r="U202" s="23">
        <f>T202-J202</f>
        <v>0</v>
      </c>
      <c r="V202" s="23">
        <f>O202-S202-U202</f>
        <v>0</v>
      </c>
      <c r="W202" s="23">
        <f>IF(N202&gt;=S202+U202,N202-S202-U202,0)</f>
        <v>0</v>
      </c>
      <c r="X202" s="23"/>
      <c r="Y202" s="23">
        <f>IF(H202=0,0, IF(T202-E202+R202-M202&lt;0, 0, T202-E202+R202-M202))</f>
        <v>0</v>
      </c>
      <c r="Z202" s="117">
        <v>0</v>
      </c>
      <c r="AA202" s="880" t="e">
        <f t="shared" si="217"/>
        <v>#DIV/0!</v>
      </c>
    </row>
    <row r="203" spans="1:27" ht="16.5" customHeight="1">
      <c r="A203" s="19" t="s">
        <v>105</v>
      </c>
      <c r="B203" s="20" t="s">
        <v>575</v>
      </c>
      <c r="C203" s="21" t="s">
        <v>55</v>
      </c>
      <c r="D203" s="21" t="s">
        <v>140</v>
      </c>
      <c r="E203" s="22">
        <f>VLOOKUP($A203,publ_fin!$A:$I,8,FALSE)</f>
        <v>0</v>
      </c>
      <c r="F203" s="114">
        <v>0</v>
      </c>
      <c r="G203" s="115"/>
      <c r="H203" s="22">
        <v>0</v>
      </c>
      <c r="I203" s="22">
        <f>F203*H203</f>
        <v>0</v>
      </c>
      <c r="J203" s="117">
        <v>0</v>
      </c>
      <c r="K203" s="117">
        <v>0</v>
      </c>
      <c r="L203" s="117">
        <v>0</v>
      </c>
      <c r="M203" s="23">
        <f t="shared" si="216"/>
        <v>0</v>
      </c>
      <c r="N203" s="54">
        <f>E203-J203</f>
        <v>0</v>
      </c>
      <c r="O203" s="117">
        <f>H203+N203</f>
        <v>0</v>
      </c>
      <c r="P203" s="23">
        <v>0</v>
      </c>
      <c r="Q203" s="23">
        <f>IFERROR(VLOOKUP(A203,lauzti_līg!A:H,8,FALSE),0)</f>
        <v>0</v>
      </c>
      <c r="R203" s="23">
        <f t="shared" si="219"/>
        <v>0</v>
      </c>
      <c r="S203" s="23">
        <f>R203-M203</f>
        <v>0</v>
      </c>
      <c r="T203" s="23">
        <v>0</v>
      </c>
      <c r="U203" s="23">
        <f>T203-J203</f>
        <v>0</v>
      </c>
      <c r="V203" s="23">
        <f>O203-S203-U203</f>
        <v>0</v>
      </c>
      <c r="W203" s="23">
        <f>IF(N203&gt;=S203+U203,N203-S203-U203,0)</f>
        <v>0</v>
      </c>
      <c r="X203" s="23"/>
      <c r="Y203" s="23">
        <f>IF(H203=0,0, IF(T203-E203+R203-M203&lt;0, 0, T203-E203+R203-M203))</f>
        <v>0</v>
      </c>
      <c r="Z203" s="117">
        <v>0</v>
      </c>
      <c r="AA203" s="880" t="e">
        <f t="shared" si="217"/>
        <v>#DIV/0!</v>
      </c>
    </row>
    <row r="204" spans="1:27" ht="16.5" customHeight="1">
      <c r="A204" s="14" t="s">
        <v>202</v>
      </c>
      <c r="B204" s="15" t="s">
        <v>576</v>
      </c>
      <c r="C204" s="16" t="s">
        <v>142</v>
      </c>
      <c r="D204" s="16" t="s">
        <v>140</v>
      </c>
      <c r="E204" s="17">
        <f t="shared" ref="E204:G204" si="303">E205+E212</f>
        <v>653601744.07000005</v>
      </c>
      <c r="F204" s="113"/>
      <c r="G204" s="113">
        <f t="shared" si="303"/>
        <v>0</v>
      </c>
      <c r="H204" s="17">
        <f t="shared" ref="H204:Y204" si="304">H205+H212</f>
        <v>31087535</v>
      </c>
      <c r="I204" s="17">
        <f t="shared" ref="I204:L204" si="305">I205+I212</f>
        <v>26556140.524756763</v>
      </c>
      <c r="J204" s="113">
        <f t="shared" si="305"/>
        <v>618213763.5</v>
      </c>
      <c r="K204" s="113">
        <f t="shared" si="305"/>
        <v>66153.53</v>
      </c>
      <c r="L204" s="113">
        <f t="shared" si="305"/>
        <v>0</v>
      </c>
      <c r="M204" s="17">
        <f t="shared" si="304"/>
        <v>66153.53</v>
      </c>
      <c r="N204" s="53">
        <f t="shared" si="304"/>
        <v>35387980.570000008</v>
      </c>
      <c r="O204" s="113">
        <f t="shared" si="304"/>
        <v>66475515.569999993</v>
      </c>
      <c r="P204" s="17">
        <v>2829491</v>
      </c>
      <c r="Q204" s="17">
        <f t="shared" si="304"/>
        <v>0</v>
      </c>
      <c r="R204" s="17">
        <f t="shared" si="219"/>
        <v>2829491</v>
      </c>
      <c r="S204" s="17">
        <f t="shared" ref="S204:T204" si="306">S205+S212</f>
        <v>2763337.4699999997</v>
      </c>
      <c r="T204" s="17">
        <f t="shared" si="306"/>
        <v>579522639.52999997</v>
      </c>
      <c r="U204" s="17">
        <f t="shared" si="304"/>
        <v>-38691123.969999976</v>
      </c>
      <c r="V204" s="17">
        <f t="shared" si="304"/>
        <v>102403302.06999998</v>
      </c>
      <c r="W204" s="17">
        <f t="shared" si="304"/>
        <v>98674701.939999998</v>
      </c>
      <c r="X204" s="17"/>
      <c r="Y204" s="17">
        <f t="shared" si="304"/>
        <v>27735190</v>
      </c>
      <c r="Z204" s="113" t="e">
        <f t="shared" ref="Z204" si="307">Z205+Z212</f>
        <v>#REF!</v>
      </c>
      <c r="AA204" s="879">
        <f t="shared" si="217"/>
        <v>0.89216433531960637</v>
      </c>
    </row>
    <row r="205" spans="1:27" ht="16.5" customHeight="1">
      <c r="A205" s="14" t="s">
        <v>201</v>
      </c>
      <c r="B205" s="15" t="s">
        <v>577</v>
      </c>
      <c r="C205" s="16" t="s">
        <v>142</v>
      </c>
      <c r="D205" s="16" t="s">
        <v>1</v>
      </c>
      <c r="E205" s="17">
        <f t="shared" ref="E205:G205" si="308">E206+E207+E208+E209+E210+E211</f>
        <v>632101820.63</v>
      </c>
      <c r="F205" s="113"/>
      <c r="G205" s="113">
        <f t="shared" si="308"/>
        <v>0</v>
      </c>
      <c r="H205" s="17">
        <f t="shared" ref="H205:Y205" si="309">H206+H207+H208+H209+H210+H211</f>
        <v>31087535</v>
      </c>
      <c r="I205" s="17">
        <f t="shared" ref="I205:L205" si="310">I206+I207+I208+I209+I210+I211</f>
        <v>26556140.524756763</v>
      </c>
      <c r="J205" s="113">
        <f t="shared" si="310"/>
        <v>518134474.49999994</v>
      </c>
      <c r="K205" s="113">
        <f t="shared" si="310"/>
        <v>66153.53</v>
      </c>
      <c r="L205" s="113">
        <f t="shared" si="310"/>
        <v>0</v>
      </c>
      <c r="M205" s="17">
        <f t="shared" si="309"/>
        <v>66153.53</v>
      </c>
      <c r="N205" s="53">
        <f t="shared" si="309"/>
        <v>113967346.13000001</v>
      </c>
      <c r="O205" s="113">
        <f t="shared" si="309"/>
        <v>145054881.13</v>
      </c>
      <c r="P205" s="17">
        <v>2829491</v>
      </c>
      <c r="Q205" s="17">
        <f t="shared" si="309"/>
        <v>0</v>
      </c>
      <c r="R205" s="17">
        <f t="shared" si="219"/>
        <v>2829491</v>
      </c>
      <c r="S205" s="17">
        <f t="shared" ref="S205:T205" si="311">S206+S207+S208+S209+S210+S211</f>
        <v>2763337.4699999997</v>
      </c>
      <c r="T205" s="17">
        <f t="shared" si="311"/>
        <v>579522639.52999997</v>
      </c>
      <c r="U205" s="17">
        <f t="shared" si="309"/>
        <v>61388165.030000024</v>
      </c>
      <c r="V205" s="17">
        <f t="shared" si="309"/>
        <v>80903378.62999998</v>
      </c>
      <c r="W205" s="17">
        <f t="shared" si="309"/>
        <v>77174778.5</v>
      </c>
      <c r="X205" s="17"/>
      <c r="Y205" s="17">
        <f t="shared" si="309"/>
        <v>27735190</v>
      </c>
      <c r="Z205" s="113" t="e">
        <f t="shared" ref="Z205" si="312">Z206+Z207+Z208+Z209+Z210+Z211</f>
        <v>#REF!</v>
      </c>
      <c r="AA205" s="879">
        <f t="shared" ref="AA205:AA262" si="313">Y205/H205</f>
        <v>0.89216433531960637</v>
      </c>
    </row>
    <row r="206" spans="1:27" ht="16.5" customHeight="1">
      <c r="A206" s="19" t="s">
        <v>200</v>
      </c>
      <c r="B206" s="20" t="s">
        <v>578</v>
      </c>
      <c r="C206" s="21" t="s">
        <v>142</v>
      </c>
      <c r="D206" s="21" t="s">
        <v>140</v>
      </c>
      <c r="E206" s="22">
        <f>VLOOKUP($A206,publ_fin!$A:$I,8,FALSE)</f>
        <v>254987851.53999999</v>
      </c>
      <c r="F206" s="114">
        <v>0.8500000024746277</v>
      </c>
      <c r="G206" s="115"/>
      <c r="H206" s="22">
        <v>30209297</v>
      </c>
      <c r="I206" s="22">
        <f t="shared" ref="I206:I211" si="314">F206*H206</f>
        <v>25677902.524756763</v>
      </c>
      <c r="J206" s="117">
        <v>244231536.41999999</v>
      </c>
      <c r="K206" s="117">
        <v>9221.7000000000007</v>
      </c>
      <c r="L206" s="117">
        <f>126321000-126321000</f>
        <v>0</v>
      </c>
      <c r="M206" s="23">
        <f t="shared" ref="M206:M262" si="315">K206+L206</f>
        <v>9221.7000000000007</v>
      </c>
      <c r="N206" s="54">
        <f t="shared" ref="N206:N211" si="316">E206-J206</f>
        <v>10756315.120000005</v>
      </c>
      <c r="O206" s="117">
        <f t="shared" ref="O206:O211" si="317">H206+N206</f>
        <v>40965612.120000005</v>
      </c>
      <c r="P206" s="23">
        <v>273360</v>
      </c>
      <c r="Q206" s="23">
        <f>IF(IFERROR(VLOOKUP(A206,lauzti_līg!A:H,8,FALSE),0)-126330222&lt;0,0,IFERROR(VLOOKUP(A206,lauzti_līg!A:H,8,FALSE),0)-126330222)</f>
        <v>0</v>
      </c>
      <c r="R206" s="23">
        <f t="shared" si="219"/>
        <v>273360</v>
      </c>
      <c r="S206" s="23">
        <f t="shared" ref="S206:S211" si="318">R206-M206</f>
        <v>264138.3</v>
      </c>
      <c r="T206" s="23">
        <f>VLOOKUP(A206,Nosl_līg!A:H,8,0)</f>
        <v>282082648.11000001</v>
      </c>
      <c r="U206" s="23">
        <f t="shared" ref="U206:U211" si="319">T206-J206</f>
        <v>37851111.690000027</v>
      </c>
      <c r="V206" s="23">
        <f t="shared" ref="V206:V211" si="320">O206-S206-U206</f>
        <v>2850362.1299999803</v>
      </c>
      <c r="W206" s="23">
        <f t="shared" ref="W206:W211" si="321">IF(N206&gt;=S206+U206,N206-S206-U206,0)</f>
        <v>0</v>
      </c>
      <c r="X206" s="23"/>
      <c r="Y206" s="23">
        <v>27735190</v>
      </c>
      <c r="Z206" s="117" t="e">
        <f>VLOOKUP(A206,#REF!,63,FALSE)/F206+#REF!</f>
        <v>#REF!</v>
      </c>
      <c r="AA206" s="880">
        <f t="shared" si="313"/>
        <v>0.91810113952668282</v>
      </c>
    </row>
    <row r="207" spans="1:27" ht="16.5" customHeight="1">
      <c r="A207" s="19" t="s">
        <v>106</v>
      </c>
      <c r="B207" s="20" t="s">
        <v>579</v>
      </c>
      <c r="C207" s="21" t="s">
        <v>142</v>
      </c>
      <c r="D207" s="21" t="s">
        <v>140</v>
      </c>
      <c r="E207" s="22">
        <f>VLOOKUP($A207,publ_fin!$A:$I,8,FALSE)</f>
        <v>175110887.81</v>
      </c>
      <c r="F207" s="114">
        <v>0.95008604207576997</v>
      </c>
      <c r="G207" s="115"/>
      <c r="H207" s="22">
        <v>0</v>
      </c>
      <c r="I207" s="22">
        <f t="shared" si="314"/>
        <v>0</v>
      </c>
      <c r="J207" s="117">
        <v>96531521</v>
      </c>
      <c r="K207" s="117">
        <v>0</v>
      </c>
      <c r="L207" s="117">
        <v>0</v>
      </c>
      <c r="M207" s="23">
        <f t="shared" si="315"/>
        <v>0</v>
      </c>
      <c r="N207" s="54">
        <f t="shared" si="316"/>
        <v>78579366.810000002</v>
      </c>
      <c r="O207" s="117">
        <f t="shared" si="317"/>
        <v>78579366.810000002</v>
      </c>
      <c r="P207" s="23">
        <v>2273193</v>
      </c>
      <c r="Q207" s="23">
        <f>IFERROR(VLOOKUP(A207,lauzti_līg!A:H,8,FALSE),0)</f>
        <v>0</v>
      </c>
      <c r="R207" s="23">
        <f t="shared" si="219"/>
        <v>2273193</v>
      </c>
      <c r="S207" s="23">
        <f t="shared" si="318"/>
        <v>2273193</v>
      </c>
      <c r="T207" s="23">
        <f>VLOOKUP(A207,Nosl_līg!A:H,8,0)</f>
        <v>96531521</v>
      </c>
      <c r="U207" s="23">
        <f t="shared" si="319"/>
        <v>0</v>
      </c>
      <c r="V207" s="23">
        <f t="shared" si="320"/>
        <v>76306173.810000002</v>
      </c>
      <c r="W207" s="23">
        <f t="shared" si="321"/>
        <v>76306173.810000002</v>
      </c>
      <c r="X207" s="23"/>
      <c r="Y207" s="23">
        <f>IF(H207=0,0, IF(T207-E207+R207-M207&lt;0, 0, T207-E207+R207-M207))</f>
        <v>0</v>
      </c>
      <c r="Z207" s="117" t="e">
        <f>VLOOKUP(A207,#REF!,63,FALSE)/F207+#REF!</f>
        <v>#REF!</v>
      </c>
      <c r="AA207" s="880" t="e">
        <f t="shared" si="313"/>
        <v>#DIV/0!</v>
      </c>
    </row>
    <row r="208" spans="1:27" ht="16.5" customHeight="1">
      <c r="A208" s="19" t="s">
        <v>144</v>
      </c>
      <c r="B208" s="20" t="s">
        <v>580</v>
      </c>
      <c r="C208" s="21" t="s">
        <v>142</v>
      </c>
      <c r="D208" s="21" t="s">
        <v>140</v>
      </c>
      <c r="E208" s="22">
        <f>VLOOKUP($A208,publ_fin!$A:$I,8,FALSE)</f>
        <v>116805655.13</v>
      </c>
      <c r="F208" s="114">
        <v>1</v>
      </c>
      <c r="G208" s="115"/>
      <c r="H208" s="22">
        <v>878238</v>
      </c>
      <c r="I208" s="22">
        <f t="shared" si="314"/>
        <v>878238</v>
      </c>
      <c r="J208" s="117">
        <v>115864042.66</v>
      </c>
      <c r="K208" s="117">
        <v>0</v>
      </c>
      <c r="L208" s="117">
        <v>0</v>
      </c>
      <c r="M208" s="23">
        <f t="shared" si="315"/>
        <v>0</v>
      </c>
      <c r="N208" s="54">
        <f t="shared" si="316"/>
        <v>941612.46999999881</v>
      </c>
      <c r="O208" s="117">
        <f t="shared" si="317"/>
        <v>1819850.4699999988</v>
      </c>
      <c r="P208" s="23">
        <v>183153</v>
      </c>
      <c r="Q208" s="23">
        <f>IFERROR(VLOOKUP(A208,lauzti_līg!A:H,8,FALSE),0)</f>
        <v>0</v>
      </c>
      <c r="R208" s="23">
        <f t="shared" si="219"/>
        <v>183153</v>
      </c>
      <c r="S208" s="23">
        <f t="shared" si="318"/>
        <v>183153</v>
      </c>
      <c r="T208" s="23">
        <f>VLOOKUP(A208,Nosl_līg!A:H,8,0)</f>
        <v>115839963.59999999</v>
      </c>
      <c r="U208" s="23">
        <f t="shared" si="319"/>
        <v>-24079.060000002384</v>
      </c>
      <c r="V208" s="23">
        <f t="shared" si="320"/>
        <v>1660776.5300000012</v>
      </c>
      <c r="W208" s="23">
        <f t="shared" si="321"/>
        <v>782538.53000000119</v>
      </c>
      <c r="X208" s="23"/>
      <c r="Y208" s="23">
        <f>IF(H208=0,0, IF(T208-E208+R208-M208&lt;0, 0, T208-E208+R208-M208))</f>
        <v>0</v>
      </c>
      <c r="Z208" s="117" t="e">
        <f>VLOOKUP(A208,#REF!,63,FALSE)/F208+#REF!</f>
        <v>#REF!</v>
      </c>
      <c r="AA208" s="880">
        <f t="shared" si="313"/>
        <v>0</v>
      </c>
    </row>
    <row r="209" spans="1:27" ht="16.5" customHeight="1">
      <c r="A209" s="19" t="s">
        <v>107</v>
      </c>
      <c r="B209" s="20" t="s">
        <v>581</v>
      </c>
      <c r="C209" s="21" t="s">
        <v>142</v>
      </c>
      <c r="D209" s="21" t="s">
        <v>140</v>
      </c>
      <c r="E209" s="22">
        <f>VLOOKUP($A209,publ_fin!$A:$I,8,FALSE)</f>
        <v>53679435.090000004</v>
      </c>
      <c r="F209" s="114">
        <v>0.84620093325948598</v>
      </c>
      <c r="G209" s="115"/>
      <c r="H209" s="22">
        <v>0</v>
      </c>
      <c r="I209" s="22">
        <f t="shared" si="314"/>
        <v>0</v>
      </c>
      <c r="J209" s="117">
        <v>41114034</v>
      </c>
      <c r="K209" s="117">
        <v>0</v>
      </c>
      <c r="L209" s="117">
        <v>0</v>
      </c>
      <c r="M209" s="23">
        <f t="shared" si="315"/>
        <v>0</v>
      </c>
      <c r="N209" s="54">
        <f t="shared" si="316"/>
        <v>12565401.090000004</v>
      </c>
      <c r="O209" s="117">
        <f t="shared" si="317"/>
        <v>12565401.090000004</v>
      </c>
      <c r="P209" s="23">
        <v>0</v>
      </c>
      <c r="Q209" s="23">
        <f>IFERROR(VLOOKUP(A209,lauzti_līg!A:H,8,FALSE),0)</f>
        <v>0</v>
      </c>
      <c r="R209" s="23">
        <f t="shared" si="219"/>
        <v>0</v>
      </c>
      <c r="S209" s="23">
        <f t="shared" si="318"/>
        <v>0</v>
      </c>
      <c r="T209" s="23">
        <f>VLOOKUP(A209,Nosl_līg!A:H,8,0)</f>
        <v>53679435</v>
      </c>
      <c r="U209" s="23">
        <f t="shared" si="319"/>
        <v>12565401</v>
      </c>
      <c r="V209" s="23">
        <f t="shared" si="320"/>
        <v>9.0000003576278687E-2</v>
      </c>
      <c r="W209" s="23">
        <f t="shared" si="321"/>
        <v>9.0000003576278687E-2</v>
      </c>
      <c r="X209" s="23"/>
      <c r="Y209" s="23">
        <f>IF(H209=0,0, IF(T209-E209+R209-M209&lt;0, 0, T209-E209+R209-M209))</f>
        <v>0</v>
      </c>
      <c r="Z209" s="117" t="e">
        <f>VLOOKUP(A209,#REF!,63,FALSE)/F209+#REF!</f>
        <v>#REF!</v>
      </c>
      <c r="AA209" s="880" t="e">
        <f t="shared" si="313"/>
        <v>#DIV/0!</v>
      </c>
    </row>
    <row r="210" spans="1:27" ht="16.5" customHeight="1">
      <c r="A210" s="19" t="s">
        <v>166</v>
      </c>
      <c r="B210" s="20" t="s">
        <v>582</v>
      </c>
      <c r="C210" s="21" t="s">
        <v>142</v>
      </c>
      <c r="D210" s="21" t="s">
        <v>140</v>
      </c>
      <c r="E210" s="22">
        <f>VLOOKUP($A210,publ_fin!$A:$I,8,FALSE)</f>
        <v>20448828.059999999</v>
      </c>
      <c r="F210" s="114">
        <v>1</v>
      </c>
      <c r="G210" s="115"/>
      <c r="H210" s="22">
        <v>0</v>
      </c>
      <c r="I210" s="22">
        <f t="shared" si="314"/>
        <v>0</v>
      </c>
      <c r="J210" s="117">
        <v>20393340.420000002</v>
      </c>
      <c r="K210" s="117">
        <v>56931.83</v>
      </c>
      <c r="L210" s="117">
        <v>0</v>
      </c>
      <c r="M210" s="23">
        <f t="shared" si="315"/>
        <v>56931.83</v>
      </c>
      <c r="N210" s="54">
        <f t="shared" si="316"/>
        <v>55487.639999996871</v>
      </c>
      <c r="O210" s="117">
        <f t="shared" si="317"/>
        <v>55487.639999996871</v>
      </c>
      <c r="P210" s="23">
        <v>99785</v>
      </c>
      <c r="Q210" s="23">
        <f>IFERROR(VLOOKUP(A210,lauzti_līg!A:H,8,FALSE),0)</f>
        <v>0</v>
      </c>
      <c r="R210" s="23">
        <f t="shared" ref="R210:R262" si="322">P210+Q210</f>
        <v>99785</v>
      </c>
      <c r="S210" s="23">
        <f t="shared" si="318"/>
        <v>42853.17</v>
      </c>
      <c r="T210" s="23">
        <f>VLOOKUP(A210,Nosl_līg!A:H,8,0)</f>
        <v>20319909.420000002</v>
      </c>
      <c r="U210" s="23">
        <f t="shared" si="319"/>
        <v>-73431</v>
      </c>
      <c r="V210" s="23">
        <f t="shared" si="320"/>
        <v>86065.469999996873</v>
      </c>
      <c r="W210" s="23">
        <f t="shared" si="321"/>
        <v>86065.469999996873</v>
      </c>
      <c r="X210" s="23"/>
      <c r="Y210" s="23">
        <f>IF(H210=0,0, IF(T210-E210+R210-M210&lt;0, 0, T210-E210+R210-M210))</f>
        <v>0</v>
      </c>
      <c r="Z210" s="117" t="e">
        <f>VLOOKUP(A210,#REF!,63,FALSE)/F210+#REF!</f>
        <v>#REF!</v>
      </c>
      <c r="AA210" s="880" t="e">
        <f t="shared" si="313"/>
        <v>#DIV/0!</v>
      </c>
    </row>
    <row r="211" spans="1:27" ht="16.5" customHeight="1">
      <c r="A211" s="19" t="s">
        <v>136</v>
      </c>
      <c r="B211" s="20" t="s">
        <v>583</v>
      </c>
      <c r="C211" s="21" t="s">
        <v>142</v>
      </c>
      <c r="D211" s="21" t="s">
        <v>628</v>
      </c>
      <c r="E211" s="22">
        <f>VLOOKUP($A211,publ_fin!$A:$I,8,FALSE)</f>
        <v>11069163</v>
      </c>
      <c r="F211" s="114">
        <v>1</v>
      </c>
      <c r="G211" s="115"/>
      <c r="H211" s="22">
        <v>0</v>
      </c>
      <c r="I211" s="22">
        <f t="shared" si="314"/>
        <v>0</v>
      </c>
      <c r="J211" s="117">
        <v>0</v>
      </c>
      <c r="K211" s="117">
        <v>0</v>
      </c>
      <c r="L211" s="117">
        <v>0</v>
      </c>
      <c r="M211" s="23">
        <f t="shared" si="315"/>
        <v>0</v>
      </c>
      <c r="N211" s="54">
        <f t="shared" si="316"/>
        <v>11069163</v>
      </c>
      <c r="O211" s="117">
        <f t="shared" si="317"/>
        <v>11069163</v>
      </c>
      <c r="P211" s="23">
        <v>0</v>
      </c>
      <c r="Q211" s="23">
        <f>IFERROR(VLOOKUP(A211,lauzti_līg!A:H,8,FALSE),0)</f>
        <v>0</v>
      </c>
      <c r="R211" s="23">
        <f t="shared" si="322"/>
        <v>0</v>
      </c>
      <c r="S211" s="23">
        <f t="shared" si="318"/>
        <v>0</v>
      </c>
      <c r="T211" s="23">
        <f>VLOOKUP(A211,Nosl_līg!A:H,8,0)</f>
        <v>11069162.4</v>
      </c>
      <c r="U211" s="23">
        <f t="shared" si="319"/>
        <v>11069162.4</v>
      </c>
      <c r="V211" s="23">
        <f t="shared" si="320"/>
        <v>0.59999999962747097</v>
      </c>
      <c r="W211" s="23">
        <f t="shared" si="321"/>
        <v>0.59999999962747097</v>
      </c>
      <c r="X211" s="23"/>
      <c r="Y211" s="23">
        <f>IF(H211=0,0, IF(T211-E211+R211-M211&lt;0, 0, T211-E211+R211-M211))</f>
        <v>0</v>
      </c>
      <c r="Z211" s="117" t="e">
        <f>VLOOKUP(A211,#REF!,63,FALSE)/F211+#REF!</f>
        <v>#REF!</v>
      </c>
      <c r="AA211" s="880" t="e">
        <f t="shared" si="313"/>
        <v>#DIV/0!</v>
      </c>
    </row>
    <row r="212" spans="1:27" ht="16.5" customHeight="1">
      <c r="A212" s="14" t="s">
        <v>108</v>
      </c>
      <c r="B212" s="15" t="s">
        <v>584</v>
      </c>
      <c r="C212" s="16" t="s">
        <v>142</v>
      </c>
      <c r="D212" s="16" t="s">
        <v>140</v>
      </c>
      <c r="E212" s="17">
        <f t="shared" ref="E212:Z212" si="323">E213</f>
        <v>21499923.440000001</v>
      </c>
      <c r="F212" s="113"/>
      <c r="G212" s="113">
        <f t="shared" si="323"/>
        <v>0</v>
      </c>
      <c r="H212" s="17">
        <f t="shared" si="323"/>
        <v>0</v>
      </c>
      <c r="I212" s="17">
        <f t="shared" si="323"/>
        <v>0</v>
      </c>
      <c r="J212" s="113">
        <f t="shared" si="323"/>
        <v>100079289</v>
      </c>
      <c r="K212" s="113">
        <f t="shared" si="323"/>
        <v>0</v>
      </c>
      <c r="L212" s="113">
        <f t="shared" si="323"/>
        <v>0</v>
      </c>
      <c r="M212" s="17">
        <f t="shared" si="323"/>
        <v>0</v>
      </c>
      <c r="N212" s="53">
        <f t="shared" si="323"/>
        <v>-78579365.560000002</v>
      </c>
      <c r="O212" s="113">
        <f t="shared" si="323"/>
        <v>-78579365.560000002</v>
      </c>
      <c r="P212" s="17">
        <v>0</v>
      </c>
      <c r="Q212" s="17">
        <f t="shared" si="323"/>
        <v>0</v>
      </c>
      <c r="R212" s="17">
        <f t="shared" si="322"/>
        <v>0</v>
      </c>
      <c r="S212" s="17">
        <f t="shared" si="323"/>
        <v>0</v>
      </c>
      <c r="T212" s="17">
        <f t="shared" si="323"/>
        <v>0</v>
      </c>
      <c r="U212" s="17">
        <f t="shared" si="323"/>
        <v>-100079289</v>
      </c>
      <c r="V212" s="17">
        <f t="shared" si="323"/>
        <v>21499923.439999998</v>
      </c>
      <c r="W212" s="17">
        <f t="shared" si="323"/>
        <v>21499923.439999998</v>
      </c>
      <c r="X212" s="17"/>
      <c r="Y212" s="17">
        <f t="shared" si="323"/>
        <v>0</v>
      </c>
      <c r="Z212" s="113" t="e">
        <f t="shared" si="323"/>
        <v>#REF!</v>
      </c>
      <c r="AA212" s="879" t="e">
        <f t="shared" si="313"/>
        <v>#DIV/0!</v>
      </c>
    </row>
    <row r="213" spans="1:27" ht="16.5" customHeight="1">
      <c r="A213" s="19" t="s">
        <v>109</v>
      </c>
      <c r="B213" s="20" t="s">
        <v>585</v>
      </c>
      <c r="C213" s="21" t="s">
        <v>142</v>
      </c>
      <c r="D213" s="21" t="s">
        <v>140</v>
      </c>
      <c r="E213" s="22">
        <f>VLOOKUP($A213,publ_fin!$A:$I,8,FALSE)</f>
        <v>21499923.440000001</v>
      </c>
      <c r="F213" s="114">
        <v>1</v>
      </c>
      <c r="G213" s="115"/>
      <c r="H213" s="22">
        <v>0</v>
      </c>
      <c r="I213" s="22">
        <f>F213*H213</f>
        <v>0</v>
      </c>
      <c r="J213" s="117">
        <v>100079289</v>
      </c>
      <c r="K213" s="117">
        <v>0</v>
      </c>
      <c r="L213" s="117">
        <v>0</v>
      </c>
      <c r="M213" s="23">
        <f t="shared" si="315"/>
        <v>0</v>
      </c>
      <c r="N213" s="54">
        <f>E213-J213</f>
        <v>-78579365.560000002</v>
      </c>
      <c r="O213" s="117">
        <f>H213+N213</f>
        <v>-78579365.560000002</v>
      </c>
      <c r="P213" s="23">
        <v>0</v>
      </c>
      <c r="Q213" s="23">
        <v>0</v>
      </c>
      <c r="R213" s="23">
        <f t="shared" si="322"/>
        <v>0</v>
      </c>
      <c r="S213" s="23">
        <f>R213-M213</f>
        <v>0</v>
      </c>
      <c r="T213" s="23">
        <v>0</v>
      </c>
      <c r="U213" s="23">
        <f>T213-J213</f>
        <v>-100079289</v>
      </c>
      <c r="V213" s="23">
        <f>O213-S213-U213</f>
        <v>21499923.439999998</v>
      </c>
      <c r="W213" s="23">
        <f>IF(N213&gt;=S213+U213,N213-S213-U213,0)</f>
        <v>21499923.439999998</v>
      </c>
      <c r="X213" s="23"/>
      <c r="Y213" s="23">
        <f>IF(H213=0,0, IF(T213-E213+R213-M213&lt;0, 0, T213-E213+R213-M213))</f>
        <v>0</v>
      </c>
      <c r="Z213" s="117" t="e">
        <f>VLOOKUP(A213,#REF!,63,FALSE)/F213+#REF!</f>
        <v>#REF!</v>
      </c>
      <c r="AA213" s="880" t="e">
        <f t="shared" si="313"/>
        <v>#DIV/0!</v>
      </c>
    </row>
    <row r="214" spans="1:27" ht="16.5" customHeight="1">
      <c r="A214" s="14" t="s">
        <v>110</v>
      </c>
      <c r="B214" s="15" t="s">
        <v>633</v>
      </c>
      <c r="C214" s="16" t="s">
        <v>55</v>
      </c>
      <c r="D214" s="16" t="s">
        <v>131</v>
      </c>
      <c r="E214" s="17">
        <f t="shared" ref="E214:G214" si="324">E215+E222+E228+E232</f>
        <v>238915120.44</v>
      </c>
      <c r="F214" s="113"/>
      <c r="G214" s="113">
        <f t="shared" si="324"/>
        <v>0</v>
      </c>
      <c r="H214" s="17">
        <f t="shared" ref="H214:Y214" si="325">H215+H222+H228+H232</f>
        <v>29242015</v>
      </c>
      <c r="I214" s="17">
        <f t="shared" ref="I214:L214" si="326">I215+I222+I228+I232</f>
        <v>26513554.352118678</v>
      </c>
      <c r="J214" s="113">
        <f t="shared" si="326"/>
        <v>164832508.44999999</v>
      </c>
      <c r="K214" s="113">
        <f t="shared" si="326"/>
        <v>982956.83000000007</v>
      </c>
      <c r="L214" s="113">
        <f t="shared" si="326"/>
        <v>5837329.3399999999</v>
      </c>
      <c r="M214" s="17">
        <f t="shared" si="325"/>
        <v>6820286.1699999999</v>
      </c>
      <c r="N214" s="53">
        <f t="shared" si="325"/>
        <v>74082611.99000001</v>
      </c>
      <c r="O214" s="113">
        <f t="shared" si="325"/>
        <v>103324626.99000002</v>
      </c>
      <c r="P214" s="17">
        <v>6709510</v>
      </c>
      <c r="Q214" s="17">
        <f t="shared" si="325"/>
        <v>11927564.16</v>
      </c>
      <c r="R214" s="17">
        <f t="shared" si="322"/>
        <v>18637074.16</v>
      </c>
      <c r="S214" s="17">
        <f t="shared" ref="S214:T214" si="327">S215+S222+S228+S232</f>
        <v>11816787.989999998</v>
      </c>
      <c r="T214" s="17">
        <f t="shared" si="327"/>
        <v>244403233.83000013</v>
      </c>
      <c r="U214" s="17">
        <f t="shared" si="325"/>
        <v>79570725.380000129</v>
      </c>
      <c r="V214" s="17">
        <f t="shared" si="325"/>
        <v>11937113.619999895</v>
      </c>
      <c r="W214" s="17">
        <f t="shared" si="325"/>
        <v>5327186.7899998957</v>
      </c>
      <c r="X214" s="17"/>
      <c r="Y214" s="17">
        <f t="shared" si="325"/>
        <v>19305417.990000002</v>
      </c>
      <c r="Z214" s="113" t="e">
        <f t="shared" ref="Z214" si="328">Z215+Z222+Z228+Z232</f>
        <v>#REF!</v>
      </c>
      <c r="AA214" s="879">
        <f t="shared" si="313"/>
        <v>0.66019451771705895</v>
      </c>
    </row>
    <row r="215" spans="1:27" ht="16.5" customHeight="1">
      <c r="A215" s="14" t="s">
        <v>111</v>
      </c>
      <c r="B215" s="15" t="s">
        <v>632</v>
      </c>
      <c r="C215" s="16" t="s">
        <v>55</v>
      </c>
      <c r="D215" s="16" t="s">
        <v>628</v>
      </c>
      <c r="E215" s="17">
        <f t="shared" ref="E215:G215" si="329">E216+E217+E218+E219</f>
        <v>148858532.03</v>
      </c>
      <c r="F215" s="113"/>
      <c r="G215" s="113">
        <f t="shared" si="329"/>
        <v>0</v>
      </c>
      <c r="H215" s="17">
        <f t="shared" ref="H215:Y215" si="330">H216+H217+H218+H219</f>
        <v>9242015</v>
      </c>
      <c r="I215" s="17">
        <f t="shared" ref="I215:L215" si="331">I216+I217+I218+I219</f>
        <v>6513554.3521186784</v>
      </c>
      <c r="J215" s="113">
        <f t="shared" si="331"/>
        <v>96607259.079999998</v>
      </c>
      <c r="K215" s="113">
        <f t="shared" si="331"/>
        <v>696910.41</v>
      </c>
      <c r="L215" s="113">
        <f t="shared" si="331"/>
        <v>2772501.93</v>
      </c>
      <c r="M215" s="17">
        <f t="shared" si="330"/>
        <v>3469412.3400000003</v>
      </c>
      <c r="N215" s="53">
        <f t="shared" si="330"/>
        <v>52251272.949999988</v>
      </c>
      <c r="O215" s="113">
        <f t="shared" si="330"/>
        <v>61493287.949999988</v>
      </c>
      <c r="P215" s="17">
        <v>4832611</v>
      </c>
      <c r="Q215" s="17">
        <f t="shared" si="330"/>
        <v>5972261.9699999997</v>
      </c>
      <c r="R215" s="17">
        <f t="shared" si="322"/>
        <v>10804872.969999999</v>
      </c>
      <c r="S215" s="17">
        <f t="shared" ref="S215:T215" si="332">S216+S217+S218+S219</f>
        <v>7335460.629999999</v>
      </c>
      <c r="T215" s="17">
        <f t="shared" si="332"/>
        <v>137349728.48000011</v>
      </c>
      <c r="U215" s="17">
        <f t="shared" si="330"/>
        <v>40742469.400000103</v>
      </c>
      <c r="V215" s="17">
        <f t="shared" si="330"/>
        <v>13415357.919999896</v>
      </c>
      <c r="W215" s="17">
        <f t="shared" si="330"/>
        <v>4207901.2699998962</v>
      </c>
      <c r="X215" s="17"/>
      <c r="Y215" s="17">
        <f t="shared" si="330"/>
        <v>0</v>
      </c>
      <c r="Z215" s="113" t="e">
        <f t="shared" ref="Z215" si="333">Z216+Z217+Z218+Z219</f>
        <v>#REF!</v>
      </c>
      <c r="AA215" s="879">
        <f t="shared" si="313"/>
        <v>0</v>
      </c>
    </row>
    <row r="216" spans="1:27" ht="16.5" customHeight="1">
      <c r="A216" s="19" t="s">
        <v>353</v>
      </c>
      <c r="B216" s="20" t="s">
        <v>586</v>
      </c>
      <c r="C216" s="21" t="s">
        <v>55</v>
      </c>
      <c r="D216" s="21" t="s">
        <v>628</v>
      </c>
      <c r="E216" s="22">
        <f>VLOOKUP($A216,publ_fin!$A:$I,8,FALSE)</f>
        <v>102955000.52</v>
      </c>
      <c r="F216" s="114">
        <v>0.97953477490789098</v>
      </c>
      <c r="G216" s="115"/>
      <c r="H216" s="22">
        <v>157919</v>
      </c>
      <c r="I216" s="22">
        <f>F216*H216</f>
        <v>154687.15211867922</v>
      </c>
      <c r="J216" s="117">
        <v>63226476.700000003</v>
      </c>
      <c r="K216" s="117">
        <v>696668.48</v>
      </c>
      <c r="L216" s="117">
        <v>2772501.93</v>
      </c>
      <c r="M216" s="23">
        <f t="shared" si="315"/>
        <v>3469170.41</v>
      </c>
      <c r="N216" s="54">
        <f>E216-J216</f>
        <v>39728523.819999993</v>
      </c>
      <c r="O216" s="117">
        <f>H216+N216</f>
        <v>39886442.819999993</v>
      </c>
      <c r="P216" s="23">
        <v>4797810</v>
      </c>
      <c r="Q216" s="23">
        <f>IFERROR(VLOOKUP(A216,lauzti_līg!A:H,8,FALSE),0)</f>
        <v>5972261.9699999997</v>
      </c>
      <c r="R216" s="23">
        <f t="shared" si="322"/>
        <v>10770071.969999999</v>
      </c>
      <c r="S216" s="23">
        <f>R216-M216</f>
        <v>7300901.5599999987</v>
      </c>
      <c r="T216" s="23">
        <f>VLOOKUP(A216,Nosl_līg!A:H,8,0)</f>
        <v>95176226.940000102</v>
      </c>
      <c r="U216" s="23">
        <f>T216-J216</f>
        <v>31949750.240000099</v>
      </c>
      <c r="V216" s="23">
        <f>O216-S216-U216</f>
        <v>635791.01999989524</v>
      </c>
      <c r="W216" s="23">
        <f>IF(N216&gt;=S216+U216,N216-S216-U216,0)</f>
        <v>477872.01999989524</v>
      </c>
      <c r="X216" s="23"/>
      <c r="Y216" s="23">
        <f>IF(H216=0,0, IF(T216-E216+R216-M216&lt;0, 0, T216-E216+R216-M216))</f>
        <v>0</v>
      </c>
      <c r="Z216" s="117" t="e">
        <f>VLOOKUP(A216,#REF!,63,FALSE)/F216+#REF!</f>
        <v>#REF!</v>
      </c>
      <c r="AA216" s="880">
        <f t="shared" si="313"/>
        <v>0</v>
      </c>
    </row>
    <row r="217" spans="1:27" ht="16.5" customHeight="1">
      <c r="A217" s="19" t="s">
        <v>112</v>
      </c>
      <c r="B217" s="20" t="s">
        <v>587</v>
      </c>
      <c r="C217" s="21" t="s">
        <v>55</v>
      </c>
      <c r="D217" s="21" t="s">
        <v>628</v>
      </c>
      <c r="E217" s="22">
        <f>VLOOKUP($A217,publ_fin!$A:$I,8,FALSE)</f>
        <v>2124999.58</v>
      </c>
      <c r="F217" s="114">
        <v>1</v>
      </c>
      <c r="G217" s="115"/>
      <c r="H217" s="22">
        <v>0</v>
      </c>
      <c r="I217" s="22">
        <f>F217*H217</f>
        <v>0</v>
      </c>
      <c r="J217" s="117">
        <v>2124999</v>
      </c>
      <c r="K217" s="117">
        <v>0</v>
      </c>
      <c r="L217" s="117">
        <v>0</v>
      </c>
      <c r="M217" s="23">
        <f t="shared" si="315"/>
        <v>0</v>
      </c>
      <c r="N217" s="54">
        <f>E217-J217</f>
        <v>0.58000000007450581</v>
      </c>
      <c r="O217" s="117">
        <f>H217+N217</f>
        <v>0.58000000007450581</v>
      </c>
      <c r="P217" s="23">
        <v>0</v>
      </c>
      <c r="Q217" s="23">
        <f>IFERROR(VLOOKUP(A217,lauzti_līg!A:H,8,FALSE),0)</f>
        <v>0</v>
      </c>
      <c r="R217" s="23">
        <f t="shared" si="322"/>
        <v>0</v>
      </c>
      <c r="S217" s="23">
        <f>R217-M217</f>
        <v>0</v>
      </c>
      <c r="T217" s="23">
        <f>VLOOKUP(A217,Nosl_līg!A:H,8,0)</f>
        <v>2124999</v>
      </c>
      <c r="U217" s="23">
        <f>T217-J217</f>
        <v>0</v>
      </c>
      <c r="V217" s="23">
        <f>O217-S217-U217</f>
        <v>0.58000000007450581</v>
      </c>
      <c r="W217" s="23">
        <f>IF(N217&gt;=S217+U217,N217-S217-U217,0)</f>
        <v>0.58000000007450581</v>
      </c>
      <c r="X217" s="23"/>
      <c r="Y217" s="23">
        <f>IF(H217=0,0, IF(T217-E217+R217-M217&lt;0, 0, T217-E217+R217-M217))</f>
        <v>0</v>
      </c>
      <c r="Z217" s="117" t="e">
        <f>VLOOKUP(A217,#REF!,63,FALSE)/F217+#REF!</f>
        <v>#REF!</v>
      </c>
      <c r="AA217" s="880" t="e">
        <f t="shared" si="313"/>
        <v>#DIV/0!</v>
      </c>
    </row>
    <row r="218" spans="1:27" ht="16.5" customHeight="1">
      <c r="A218" s="19" t="s">
        <v>113</v>
      </c>
      <c r="B218" s="20" t="s">
        <v>588</v>
      </c>
      <c r="C218" s="21" t="s">
        <v>55</v>
      </c>
      <c r="D218" s="21" t="s">
        <v>628</v>
      </c>
      <c r="E218" s="22">
        <f>VLOOKUP($A218,publ_fin!$A:$I,8,FALSE)</f>
        <v>32564689</v>
      </c>
      <c r="F218" s="114">
        <v>0.7</v>
      </c>
      <c r="G218" s="115"/>
      <c r="H218" s="22">
        <v>9084096</v>
      </c>
      <c r="I218" s="22">
        <f>F218*H218</f>
        <v>6358867.1999999993</v>
      </c>
      <c r="J218" s="117">
        <v>25943484.5</v>
      </c>
      <c r="K218" s="117">
        <v>0</v>
      </c>
      <c r="L218" s="117">
        <v>0</v>
      </c>
      <c r="M218" s="23">
        <f t="shared" si="315"/>
        <v>0</v>
      </c>
      <c r="N218" s="54">
        <f>E218-J218</f>
        <v>6621204.5</v>
      </c>
      <c r="O218" s="117">
        <f>H218+N218</f>
        <v>15705300.5</v>
      </c>
      <c r="P218" s="23">
        <v>0</v>
      </c>
      <c r="Q218" s="23">
        <f>IFERROR(VLOOKUP(A218,lauzti_līg!A:H,8,FALSE),0)</f>
        <v>0</v>
      </c>
      <c r="R218" s="23">
        <f t="shared" si="322"/>
        <v>0</v>
      </c>
      <c r="S218" s="23">
        <f>R218-M218</f>
        <v>0</v>
      </c>
      <c r="T218" s="23">
        <f>VLOOKUP(A218,Nosl_līg!A:H,8,0)</f>
        <v>28834660.949999999</v>
      </c>
      <c r="U218" s="23">
        <f>T218-J218</f>
        <v>2891176.4499999993</v>
      </c>
      <c r="V218" s="23">
        <f>O218-S218-U218</f>
        <v>12814124.050000001</v>
      </c>
      <c r="W218" s="23">
        <f>IF(N218&gt;=S218+U218,N218-S218-U218,0)</f>
        <v>3730028.0500000007</v>
      </c>
      <c r="X218" s="23"/>
      <c r="Y218" s="23">
        <f>IF(H218=0,0, IF(T218-E218+R218-M218&lt;0, 0, T218-E218+R218-M218))</f>
        <v>0</v>
      </c>
      <c r="Z218" s="117" t="e">
        <f>VLOOKUP(A218,#REF!,63,FALSE)/F218+#REF!</f>
        <v>#REF!</v>
      </c>
      <c r="AA218" s="880">
        <f t="shared" si="313"/>
        <v>0</v>
      </c>
    </row>
    <row r="219" spans="1:27" ht="16.5" customHeight="1">
      <c r="A219" s="19" t="s">
        <v>210</v>
      </c>
      <c r="B219" s="20" t="s">
        <v>589</v>
      </c>
      <c r="C219" s="21" t="s">
        <v>55</v>
      </c>
      <c r="D219" s="21" t="s">
        <v>628</v>
      </c>
      <c r="E219" s="23">
        <f t="shared" ref="E219:G219" si="334">E220+E221</f>
        <v>11213842.93</v>
      </c>
      <c r="F219" s="116"/>
      <c r="G219" s="116">
        <f t="shared" si="334"/>
        <v>0</v>
      </c>
      <c r="H219" s="23">
        <f t="shared" ref="H219:Z219" si="335">H220+H221</f>
        <v>0</v>
      </c>
      <c r="I219" s="18">
        <f t="shared" si="335"/>
        <v>0</v>
      </c>
      <c r="J219" s="116">
        <f t="shared" si="335"/>
        <v>5312298.8800000008</v>
      </c>
      <c r="K219" s="116">
        <f t="shared" si="335"/>
        <v>241.93</v>
      </c>
      <c r="L219" s="116">
        <f t="shared" si="335"/>
        <v>0</v>
      </c>
      <c r="M219" s="18">
        <f t="shared" si="335"/>
        <v>241.93</v>
      </c>
      <c r="N219" s="54">
        <f t="shared" si="335"/>
        <v>5901544.0499999989</v>
      </c>
      <c r="O219" s="116">
        <f t="shared" si="335"/>
        <v>5901544.0499999989</v>
      </c>
      <c r="P219" s="18">
        <v>34801</v>
      </c>
      <c r="Q219" s="18">
        <f t="shared" si="335"/>
        <v>0</v>
      </c>
      <c r="R219" s="18">
        <f t="shared" si="322"/>
        <v>34801</v>
      </c>
      <c r="S219" s="18">
        <f t="shared" si="335"/>
        <v>34559.07</v>
      </c>
      <c r="T219" s="23">
        <f>T220+T221</f>
        <v>11213841.59</v>
      </c>
      <c r="U219" s="18">
        <f t="shared" si="335"/>
        <v>5901542.709999999</v>
      </c>
      <c r="V219" s="18">
        <f t="shared" si="335"/>
        <v>-34557.729999999981</v>
      </c>
      <c r="W219" s="18">
        <f t="shared" si="335"/>
        <v>0.62000000011175871</v>
      </c>
      <c r="X219" s="18"/>
      <c r="Y219" s="18">
        <f t="shared" si="335"/>
        <v>0</v>
      </c>
      <c r="Z219" s="116" t="e">
        <f t="shared" si="335"/>
        <v>#REF!</v>
      </c>
      <c r="AA219" s="881" t="e">
        <f t="shared" si="313"/>
        <v>#DIV/0!</v>
      </c>
    </row>
    <row r="220" spans="1:27" ht="16.5" customHeight="1">
      <c r="A220" s="19" t="s">
        <v>209</v>
      </c>
      <c r="B220" s="20" t="s">
        <v>590</v>
      </c>
      <c r="C220" s="21" t="s">
        <v>55</v>
      </c>
      <c r="D220" s="21" t="s">
        <v>628</v>
      </c>
      <c r="E220" s="22">
        <f>VLOOKUP($A220,publ_fin!$A:$I,8,FALSE)</f>
        <v>6881321.9299999997</v>
      </c>
      <c r="F220" s="114">
        <v>1</v>
      </c>
      <c r="G220" s="115"/>
      <c r="H220" s="22">
        <v>0</v>
      </c>
      <c r="I220" s="22">
        <f>F220*H220</f>
        <v>0</v>
      </c>
      <c r="J220" s="117">
        <v>3132321.31</v>
      </c>
      <c r="K220" s="117">
        <v>0</v>
      </c>
      <c r="L220" s="117">
        <v>0</v>
      </c>
      <c r="M220" s="23">
        <f t="shared" si="315"/>
        <v>0</v>
      </c>
      <c r="N220" s="54">
        <f>E220-J220</f>
        <v>3749000.6199999996</v>
      </c>
      <c r="O220" s="117">
        <f>H220+N220</f>
        <v>3749000.6199999996</v>
      </c>
      <c r="P220" s="23">
        <v>0</v>
      </c>
      <c r="Q220" s="23">
        <f>IFERROR(VLOOKUP(A220,lauzti_līg!A:H,8,FALSE),0)</f>
        <v>0</v>
      </c>
      <c r="R220" s="23">
        <f t="shared" si="322"/>
        <v>0</v>
      </c>
      <c r="S220" s="23">
        <f>R220-M220</f>
        <v>0</v>
      </c>
      <c r="T220" s="23">
        <f>VLOOKUP(A220,Nosl_līg!A:H,8,0)</f>
        <v>6881321.3099999996</v>
      </c>
      <c r="U220" s="23">
        <f>T220-J220</f>
        <v>3748999.9999999995</v>
      </c>
      <c r="V220" s="23">
        <f>O220-S220-U220</f>
        <v>0.62000000011175871</v>
      </c>
      <c r="W220" s="23">
        <f>IF(N220&gt;=S220+U220,N220-S220-U220,0)</f>
        <v>0.62000000011175871</v>
      </c>
      <c r="X220" s="23"/>
      <c r="Y220" s="23">
        <f>IF(H220=0,0, IF(T220-E220+R220-M220&lt;0, 0, T220-E220+R220-M220))</f>
        <v>0</v>
      </c>
      <c r="Z220" s="117" t="e">
        <f>VLOOKUP(A220,#REF!,63,FALSE)/F220+#REF!</f>
        <v>#REF!</v>
      </c>
      <c r="AA220" s="880" t="e">
        <f t="shared" si="313"/>
        <v>#DIV/0!</v>
      </c>
    </row>
    <row r="221" spans="1:27" ht="16.5" customHeight="1">
      <c r="A221" s="19" t="s">
        <v>114</v>
      </c>
      <c r="B221" s="20" t="s">
        <v>591</v>
      </c>
      <c r="C221" s="21" t="s">
        <v>55</v>
      </c>
      <c r="D221" s="21" t="s">
        <v>628</v>
      </c>
      <c r="E221" s="22">
        <f>VLOOKUP($A221,publ_fin!$A:$I,8,FALSE)</f>
        <v>4332521</v>
      </c>
      <c r="F221" s="114">
        <v>1</v>
      </c>
      <c r="G221" s="115"/>
      <c r="H221" s="22">
        <v>0</v>
      </c>
      <c r="I221" s="22">
        <f>F221*H221</f>
        <v>0</v>
      </c>
      <c r="J221" s="117">
        <v>2179977.5700000003</v>
      </c>
      <c r="K221" s="117">
        <v>241.93</v>
      </c>
      <c r="L221" s="117">
        <v>0</v>
      </c>
      <c r="M221" s="23">
        <f t="shared" si="315"/>
        <v>241.93</v>
      </c>
      <c r="N221" s="54">
        <f>E221-J221</f>
        <v>2152543.4299999997</v>
      </c>
      <c r="O221" s="117">
        <f>H221+N221</f>
        <v>2152543.4299999997</v>
      </c>
      <c r="P221" s="23">
        <v>34801</v>
      </c>
      <c r="Q221" s="23">
        <f>IFERROR(VLOOKUP(A221,lauzti_līg!A:H,8,FALSE),0)</f>
        <v>0</v>
      </c>
      <c r="R221" s="23">
        <f t="shared" si="322"/>
        <v>34801</v>
      </c>
      <c r="S221" s="23">
        <f>R221-M221</f>
        <v>34559.07</v>
      </c>
      <c r="T221" s="23">
        <f>VLOOKUP(A221,Nosl_līg!A:H,8,0)</f>
        <v>4332520.28</v>
      </c>
      <c r="U221" s="23">
        <f>T221-J221</f>
        <v>2152542.71</v>
      </c>
      <c r="V221" s="23">
        <f>O221-S221-U221</f>
        <v>-34558.350000000093</v>
      </c>
      <c r="W221" s="23">
        <f>IF(N221&gt;=S221+U221,N221-S221-U221,0)</f>
        <v>0</v>
      </c>
      <c r="X221" s="23"/>
      <c r="Y221" s="23">
        <f>IF(H221=0,0, IF(T221-E221+R221-M221&lt;0, 0, T221-E221+R221-M221))</f>
        <v>0</v>
      </c>
      <c r="Z221" s="117" t="e">
        <f>VLOOKUP(A221,#REF!,63,FALSE)/F221+#REF!</f>
        <v>#REF!</v>
      </c>
      <c r="AA221" s="880" t="e">
        <f t="shared" si="313"/>
        <v>#DIV/0!</v>
      </c>
    </row>
    <row r="222" spans="1:27" ht="16.5" customHeight="1">
      <c r="A222" s="14" t="s">
        <v>115</v>
      </c>
      <c r="B222" s="15" t="s">
        <v>592</v>
      </c>
      <c r="C222" s="16" t="s">
        <v>55</v>
      </c>
      <c r="D222" s="16" t="s">
        <v>137</v>
      </c>
      <c r="E222" s="17">
        <f t="shared" ref="E222:G222" si="336">E223+E227</f>
        <v>12109723.359999999</v>
      </c>
      <c r="F222" s="113"/>
      <c r="G222" s="113">
        <f t="shared" si="336"/>
        <v>0</v>
      </c>
      <c r="H222" s="17">
        <f t="shared" ref="H222:Y222" si="337">H223+H227</f>
        <v>0</v>
      </c>
      <c r="I222" s="17">
        <f t="shared" ref="I222:L222" si="338">I223+I227</f>
        <v>0</v>
      </c>
      <c r="J222" s="113">
        <f t="shared" si="338"/>
        <v>11916148.390000001</v>
      </c>
      <c r="K222" s="113">
        <f t="shared" si="338"/>
        <v>99024.6</v>
      </c>
      <c r="L222" s="113">
        <f t="shared" si="338"/>
        <v>1382545.9300000002</v>
      </c>
      <c r="M222" s="17">
        <f t="shared" si="337"/>
        <v>1481570.5300000003</v>
      </c>
      <c r="N222" s="53">
        <f t="shared" si="337"/>
        <v>193574.96999999881</v>
      </c>
      <c r="O222" s="113">
        <f t="shared" si="337"/>
        <v>193574.96999999881</v>
      </c>
      <c r="P222" s="17">
        <v>737893</v>
      </c>
      <c r="Q222" s="17">
        <f t="shared" si="337"/>
        <v>1382545.9300000002</v>
      </c>
      <c r="R222" s="17">
        <f t="shared" si="322"/>
        <v>2120438.9300000002</v>
      </c>
      <c r="S222" s="17">
        <f t="shared" ref="S222:T222" si="339">S223+S227</f>
        <v>638868.39999999991</v>
      </c>
      <c r="T222" s="17">
        <f t="shared" si="339"/>
        <v>10742641.33</v>
      </c>
      <c r="U222" s="17">
        <f t="shared" si="337"/>
        <v>-1173507.060000001</v>
      </c>
      <c r="V222" s="17">
        <f t="shared" si="337"/>
        <v>728213.62999999989</v>
      </c>
      <c r="W222" s="17">
        <f t="shared" si="337"/>
        <v>728213.62999999989</v>
      </c>
      <c r="X222" s="17"/>
      <c r="Y222" s="17">
        <f t="shared" si="337"/>
        <v>0</v>
      </c>
      <c r="Z222" s="113" t="e">
        <f t="shared" ref="Z222" si="340">Z223+Z227</f>
        <v>#REF!</v>
      </c>
      <c r="AA222" s="879" t="e">
        <f t="shared" si="313"/>
        <v>#DIV/0!</v>
      </c>
    </row>
    <row r="223" spans="1:27" ht="16.5" customHeight="1">
      <c r="A223" s="19" t="s">
        <v>116</v>
      </c>
      <c r="B223" s="20" t="s">
        <v>637</v>
      </c>
      <c r="C223" s="21" t="s">
        <v>55</v>
      </c>
      <c r="D223" s="21" t="s">
        <v>137</v>
      </c>
      <c r="E223" s="23">
        <f t="shared" ref="E223:G223" si="341">E224+E225+E226</f>
        <v>12109723.359999999</v>
      </c>
      <c r="F223" s="116"/>
      <c r="G223" s="116">
        <f t="shared" si="341"/>
        <v>0</v>
      </c>
      <c r="H223" s="23">
        <f t="shared" ref="H223:Y223" si="342">H224+H225+H226</f>
        <v>0</v>
      </c>
      <c r="I223" s="18">
        <f t="shared" ref="I223:L223" si="343">I224+I225+I226</f>
        <v>0</v>
      </c>
      <c r="J223" s="116">
        <f t="shared" si="343"/>
        <v>11916148.390000001</v>
      </c>
      <c r="K223" s="116">
        <f t="shared" si="343"/>
        <v>99024.6</v>
      </c>
      <c r="L223" s="116">
        <f t="shared" si="343"/>
        <v>1382545.9300000002</v>
      </c>
      <c r="M223" s="18">
        <f t="shared" si="342"/>
        <v>1481570.5300000003</v>
      </c>
      <c r="N223" s="54">
        <f t="shared" si="342"/>
        <v>193574.96999999881</v>
      </c>
      <c r="O223" s="116">
        <f t="shared" si="342"/>
        <v>193574.96999999881</v>
      </c>
      <c r="P223" s="18">
        <v>737893</v>
      </c>
      <c r="Q223" s="18">
        <f t="shared" si="342"/>
        <v>1382545.9300000002</v>
      </c>
      <c r="R223" s="18">
        <f t="shared" si="322"/>
        <v>2120438.9300000002</v>
      </c>
      <c r="S223" s="18">
        <f t="shared" ref="S223" si="344">S224+S225+S226</f>
        <v>638868.39999999991</v>
      </c>
      <c r="T223" s="23">
        <f>T224+T225+T226</f>
        <v>10742641.33</v>
      </c>
      <c r="U223" s="18">
        <f t="shared" si="342"/>
        <v>-1173507.060000001</v>
      </c>
      <c r="V223" s="18">
        <f t="shared" si="342"/>
        <v>728213.62999999989</v>
      </c>
      <c r="W223" s="18">
        <f t="shared" si="342"/>
        <v>728213.62999999989</v>
      </c>
      <c r="X223" s="18"/>
      <c r="Y223" s="18">
        <f t="shared" si="342"/>
        <v>0</v>
      </c>
      <c r="Z223" s="116" t="e">
        <f t="shared" ref="Z223" si="345">Z224+Z225+Z226</f>
        <v>#REF!</v>
      </c>
      <c r="AA223" s="881" t="e">
        <f t="shared" si="313"/>
        <v>#DIV/0!</v>
      </c>
    </row>
    <row r="224" spans="1:27" ht="16.5" customHeight="1">
      <c r="A224" s="19" t="s">
        <v>182</v>
      </c>
      <c r="B224" s="20" t="s">
        <v>638</v>
      </c>
      <c r="C224" s="21" t="s">
        <v>55</v>
      </c>
      <c r="D224" s="21" t="s">
        <v>137</v>
      </c>
      <c r="E224" s="22">
        <f>VLOOKUP($A224,publ_fin!$A:$I,8,FALSE)</f>
        <v>7765913.9199999999</v>
      </c>
      <c r="F224" s="114">
        <v>1</v>
      </c>
      <c r="G224" s="115"/>
      <c r="H224" s="22">
        <v>0</v>
      </c>
      <c r="I224" s="22">
        <f>F224*H224</f>
        <v>0</v>
      </c>
      <c r="J224" s="117">
        <v>7626340.620000001</v>
      </c>
      <c r="K224" s="117">
        <v>94312.42</v>
      </c>
      <c r="L224" s="117">
        <v>699991.52</v>
      </c>
      <c r="M224" s="23">
        <f t="shared" si="315"/>
        <v>794303.94000000006</v>
      </c>
      <c r="N224" s="54">
        <f>E224-J224</f>
        <v>139573.29999999888</v>
      </c>
      <c r="O224" s="117">
        <f>H224+N224</f>
        <v>139573.29999999888</v>
      </c>
      <c r="P224" s="23">
        <v>591178</v>
      </c>
      <c r="Q224" s="23">
        <f>IFERROR(VLOOKUP(A224,lauzti_līg!A:H,8,FALSE),0)</f>
        <v>699991.52</v>
      </c>
      <c r="R224" s="23">
        <f t="shared" si="322"/>
        <v>1291169.52</v>
      </c>
      <c r="S224" s="23">
        <f>R224-M224</f>
        <v>496865.57999999996</v>
      </c>
      <c r="T224" s="23">
        <f>VLOOKUP(A224,Nosl_līg!A:H,8,0)</f>
        <v>7007412.2300000004</v>
      </c>
      <c r="U224" s="23">
        <f>T224-J224</f>
        <v>-618928.3900000006</v>
      </c>
      <c r="V224" s="23">
        <f>O224-S224-U224</f>
        <v>261636.10999999952</v>
      </c>
      <c r="W224" s="23">
        <f>IF(N224&gt;=S224+U224,N224-S224-U224,0)</f>
        <v>261636.10999999952</v>
      </c>
      <c r="X224" s="23"/>
      <c r="Y224" s="23">
        <f>IF(H224=0,0, IF(T224-E224+R224-M224&lt;0, 0, T224-E224+R224-M224))</f>
        <v>0</v>
      </c>
      <c r="Z224" s="117" t="e">
        <f>VLOOKUP(A224,#REF!,63,FALSE)/F224+#REF!</f>
        <v>#REF!</v>
      </c>
      <c r="AA224" s="880" t="e">
        <f t="shared" si="313"/>
        <v>#DIV/0!</v>
      </c>
    </row>
    <row r="225" spans="1:27" ht="16.5" customHeight="1">
      <c r="A225" s="19" t="s">
        <v>164</v>
      </c>
      <c r="B225" s="20" t="s">
        <v>593</v>
      </c>
      <c r="C225" s="21" t="s">
        <v>55</v>
      </c>
      <c r="D225" s="21" t="s">
        <v>137</v>
      </c>
      <c r="E225" s="22">
        <f>VLOOKUP($A225,publ_fin!$A:$I,8,FALSE)</f>
        <v>4343809.4400000004</v>
      </c>
      <c r="F225" s="114">
        <v>1</v>
      </c>
      <c r="G225" s="115"/>
      <c r="H225" s="22">
        <v>0</v>
      </c>
      <c r="I225" s="22">
        <f>F225*H225</f>
        <v>0</v>
      </c>
      <c r="J225" s="117">
        <v>4289807.7700000005</v>
      </c>
      <c r="K225" s="117">
        <v>4712.18</v>
      </c>
      <c r="L225" s="117">
        <v>682554.41</v>
      </c>
      <c r="M225" s="23">
        <f t="shared" si="315"/>
        <v>687266.59000000008</v>
      </c>
      <c r="N225" s="54">
        <f>E225-J225</f>
        <v>54001.669999999925</v>
      </c>
      <c r="O225" s="117">
        <f>H225+N225</f>
        <v>54001.669999999925</v>
      </c>
      <c r="P225" s="23">
        <v>146715</v>
      </c>
      <c r="Q225" s="23">
        <f>IFERROR(VLOOKUP(A225,lauzti_līg!A:H,8,FALSE),0)</f>
        <v>682554.41</v>
      </c>
      <c r="R225" s="23">
        <f t="shared" si="322"/>
        <v>829269.41</v>
      </c>
      <c r="S225" s="23">
        <f>R225-M225</f>
        <v>142002.81999999995</v>
      </c>
      <c r="T225" s="23">
        <f>VLOOKUP(A225,Nosl_līg!A:H,8,0)</f>
        <v>3735229.1</v>
      </c>
      <c r="U225" s="23">
        <f>T225-J225</f>
        <v>-554578.67000000039</v>
      </c>
      <c r="V225" s="23">
        <f>O225-S225-U225</f>
        <v>466577.52000000037</v>
      </c>
      <c r="W225" s="23">
        <f>IF(N225&gt;=S225+U225,N225-S225-U225,0)</f>
        <v>466577.52000000037</v>
      </c>
      <c r="X225" s="23"/>
      <c r="Y225" s="23">
        <f>IF(H225=0,0, IF(T225-E225+R225-M225&lt;0, 0, T225-E225+R225-M225))</f>
        <v>0</v>
      </c>
      <c r="Z225" s="117" t="e">
        <f>VLOOKUP(A225,#REF!,63,FALSE)/F225+#REF!</f>
        <v>#REF!</v>
      </c>
      <c r="AA225" s="880" t="e">
        <f t="shared" si="313"/>
        <v>#DIV/0!</v>
      </c>
    </row>
    <row r="226" spans="1:27" ht="16.5" customHeight="1">
      <c r="A226" s="19" t="s">
        <v>117</v>
      </c>
      <c r="B226" s="20" t="s">
        <v>594</v>
      </c>
      <c r="C226" s="21" t="s">
        <v>55</v>
      </c>
      <c r="D226" s="21" t="s">
        <v>137</v>
      </c>
      <c r="E226" s="22">
        <f>VLOOKUP($A226,publ_fin!$A:$I,8,FALSE)</f>
        <v>0</v>
      </c>
      <c r="F226" s="114">
        <v>0</v>
      </c>
      <c r="G226" s="115"/>
      <c r="H226" s="22">
        <v>0</v>
      </c>
      <c r="I226" s="22">
        <f>F226*H226</f>
        <v>0</v>
      </c>
      <c r="J226" s="117">
        <v>0</v>
      </c>
      <c r="K226" s="117">
        <v>0</v>
      </c>
      <c r="L226" s="117">
        <v>0</v>
      </c>
      <c r="M226" s="23">
        <f t="shared" si="315"/>
        <v>0</v>
      </c>
      <c r="N226" s="54">
        <f>E226-J226</f>
        <v>0</v>
      </c>
      <c r="O226" s="117">
        <f>H226+N226</f>
        <v>0</v>
      </c>
      <c r="P226" s="23">
        <v>0</v>
      </c>
      <c r="Q226" s="23">
        <f>IFERROR(VLOOKUP(A226,lauzti_līg!A:H,8,FALSE),0)</f>
        <v>0</v>
      </c>
      <c r="R226" s="23">
        <f t="shared" si="322"/>
        <v>0</v>
      </c>
      <c r="S226" s="23">
        <f>R226-M226</f>
        <v>0</v>
      </c>
      <c r="T226" s="23">
        <v>0</v>
      </c>
      <c r="U226" s="23">
        <f>T226-J226</f>
        <v>0</v>
      </c>
      <c r="V226" s="23">
        <f>O226-S226-U226</f>
        <v>0</v>
      </c>
      <c r="W226" s="23">
        <f>IF(N226&gt;=S226+U226,N226-S226-U226,0)</f>
        <v>0</v>
      </c>
      <c r="X226" s="23"/>
      <c r="Y226" s="23">
        <f>IF(H226=0,0, IF(T226-E226+R226-M226&lt;0, 0, T226-E226+R226-M226))</f>
        <v>0</v>
      </c>
      <c r="Z226" s="117">
        <v>0</v>
      </c>
      <c r="AA226" s="880" t="e">
        <f t="shared" si="313"/>
        <v>#DIV/0!</v>
      </c>
    </row>
    <row r="227" spans="1:27" ht="16.5" customHeight="1">
      <c r="A227" s="19" t="s">
        <v>118</v>
      </c>
      <c r="B227" s="20" t="s">
        <v>595</v>
      </c>
      <c r="C227" s="21" t="s">
        <v>55</v>
      </c>
      <c r="D227" s="21" t="s">
        <v>137</v>
      </c>
      <c r="E227" s="22">
        <f>VLOOKUP($A227,publ_fin!$A:$I,8,FALSE)</f>
        <v>0</v>
      </c>
      <c r="F227" s="114">
        <v>0</v>
      </c>
      <c r="G227" s="115"/>
      <c r="H227" s="22">
        <v>0</v>
      </c>
      <c r="I227" s="22">
        <f>F227*H227</f>
        <v>0</v>
      </c>
      <c r="J227" s="117">
        <v>0</v>
      </c>
      <c r="K227" s="117">
        <v>0</v>
      </c>
      <c r="L227" s="117">
        <v>0</v>
      </c>
      <c r="M227" s="23">
        <f t="shared" si="315"/>
        <v>0</v>
      </c>
      <c r="N227" s="54">
        <f>E227-J227</f>
        <v>0</v>
      </c>
      <c r="O227" s="117">
        <f>H227+N227</f>
        <v>0</v>
      </c>
      <c r="P227" s="23">
        <v>0</v>
      </c>
      <c r="Q227" s="23">
        <f>IFERROR(VLOOKUP(A227,lauzti_līg!A:H,8,FALSE),0)</f>
        <v>0</v>
      </c>
      <c r="R227" s="23">
        <f t="shared" si="322"/>
        <v>0</v>
      </c>
      <c r="S227" s="23">
        <f>R227-M227</f>
        <v>0</v>
      </c>
      <c r="T227" s="23">
        <v>0</v>
      </c>
      <c r="U227" s="23">
        <f>T227-J227</f>
        <v>0</v>
      </c>
      <c r="V227" s="23">
        <f>O227-S227-U227</f>
        <v>0</v>
      </c>
      <c r="W227" s="23">
        <f>IF(N227&gt;=S227+U227,N227-S227-U227,0)</f>
        <v>0</v>
      </c>
      <c r="X227" s="23"/>
      <c r="Y227" s="23">
        <f>IF(H227=0,0, IF(T227-E227+R227-M227&lt;0, 0, T227-E227+R227-M227))</f>
        <v>0</v>
      </c>
      <c r="Z227" s="117">
        <v>0</v>
      </c>
      <c r="AA227" s="880" t="e">
        <f t="shared" si="313"/>
        <v>#DIV/0!</v>
      </c>
    </row>
    <row r="228" spans="1:27" ht="16.5" customHeight="1">
      <c r="A228" s="14" t="s">
        <v>119</v>
      </c>
      <c r="B228" s="15" t="s">
        <v>596</v>
      </c>
      <c r="C228" s="16" t="s">
        <v>55</v>
      </c>
      <c r="D228" s="16" t="s">
        <v>141</v>
      </c>
      <c r="E228" s="17">
        <f t="shared" ref="E228:Z228" si="346">E229+E230+E231</f>
        <v>25335213.43</v>
      </c>
      <c r="F228" s="113"/>
      <c r="G228" s="113">
        <f t="shared" si="346"/>
        <v>0</v>
      </c>
      <c r="H228" s="17">
        <f t="shared" si="346"/>
        <v>12000000</v>
      </c>
      <c r="I228" s="17">
        <f t="shared" si="346"/>
        <v>12000000</v>
      </c>
      <c r="J228" s="113">
        <f t="shared" si="346"/>
        <v>24499620.189999998</v>
      </c>
      <c r="K228" s="113">
        <f t="shared" si="346"/>
        <v>6039.43</v>
      </c>
      <c r="L228" s="113">
        <f t="shared" si="346"/>
        <v>0</v>
      </c>
      <c r="M228" s="17">
        <f t="shared" si="346"/>
        <v>6039.43</v>
      </c>
      <c r="N228" s="53">
        <f t="shared" si="346"/>
        <v>835593.24000000069</v>
      </c>
      <c r="O228" s="113">
        <f t="shared" si="346"/>
        <v>12835593.240000002</v>
      </c>
      <c r="P228" s="17">
        <v>182012</v>
      </c>
      <c r="Q228" s="17">
        <f t="shared" si="346"/>
        <v>678809.01</v>
      </c>
      <c r="R228" s="17">
        <f t="shared" si="322"/>
        <v>860821.01</v>
      </c>
      <c r="S228" s="17">
        <f t="shared" si="346"/>
        <v>854781.58000000007</v>
      </c>
      <c r="T228" s="17">
        <f t="shared" si="346"/>
        <v>35696258.25</v>
      </c>
      <c r="U228" s="17">
        <f t="shared" si="346"/>
        <v>11196638.060000001</v>
      </c>
      <c r="V228" s="17">
        <f t="shared" si="346"/>
        <v>784173.60000000009</v>
      </c>
      <c r="W228" s="17">
        <f t="shared" si="346"/>
        <v>0</v>
      </c>
      <c r="X228" s="17"/>
      <c r="Y228" s="17">
        <f t="shared" si="346"/>
        <v>11305417.99</v>
      </c>
      <c r="Z228" s="113" t="e">
        <f t="shared" si="346"/>
        <v>#REF!</v>
      </c>
      <c r="AA228" s="879">
        <f t="shared" si="313"/>
        <v>0.9421181658333333</v>
      </c>
    </row>
    <row r="229" spans="1:27" ht="16.5" customHeight="1">
      <c r="A229" s="19" t="s">
        <v>120</v>
      </c>
      <c r="B229" s="20" t="s">
        <v>639</v>
      </c>
      <c r="C229" s="21" t="s">
        <v>55</v>
      </c>
      <c r="D229" s="21" t="s">
        <v>141</v>
      </c>
      <c r="E229" s="22">
        <f>VLOOKUP($A229,publ_fin!$A:$I,8,FALSE)</f>
        <v>14890142.49</v>
      </c>
      <c r="F229" s="114">
        <v>1</v>
      </c>
      <c r="G229" s="115"/>
      <c r="H229" s="22">
        <v>0</v>
      </c>
      <c r="I229" s="22">
        <f>F229*H229</f>
        <v>0</v>
      </c>
      <c r="J229" s="117">
        <v>14889924.199999999</v>
      </c>
      <c r="K229" s="117">
        <v>0</v>
      </c>
      <c r="L229" s="117">
        <v>0</v>
      </c>
      <c r="M229" s="23">
        <f t="shared" si="315"/>
        <v>0</v>
      </c>
      <c r="N229" s="54">
        <f>E229-J229</f>
        <v>218.29000000096858</v>
      </c>
      <c r="O229" s="117">
        <f>H229+N229</f>
        <v>218.29000000096858</v>
      </c>
      <c r="P229" s="23">
        <v>139555</v>
      </c>
      <c r="Q229" s="23">
        <f>IFERROR(VLOOKUP(A229,lauzti_līg!A:H,8,FALSE),0)</f>
        <v>0</v>
      </c>
      <c r="R229" s="23">
        <f t="shared" si="322"/>
        <v>139555</v>
      </c>
      <c r="S229" s="23">
        <f>R229-M229</f>
        <v>139555</v>
      </c>
      <c r="T229" s="23">
        <f>VLOOKUP(A229,Nosl_līg!A:H,8,0)</f>
        <v>14886192.25</v>
      </c>
      <c r="U229" s="23">
        <f>T229-J229</f>
        <v>-3731.9499999992549</v>
      </c>
      <c r="V229" s="23">
        <f>O229-S229-U229</f>
        <v>-135604.75999999978</v>
      </c>
      <c r="W229" s="23">
        <f>IF(N229&gt;=S229+U229,N229-S229-U229,0)</f>
        <v>0</v>
      </c>
      <c r="X229" s="23"/>
      <c r="Y229" s="23">
        <f>IF(H229=0,0, IF(T229-E229+R229-M229&lt;0, 0, T229-E229+R229-M229))</f>
        <v>0</v>
      </c>
      <c r="Z229" s="117" t="e">
        <f>VLOOKUP(A229,#REF!,63,FALSE)/F229+#REF!</f>
        <v>#REF!</v>
      </c>
      <c r="AA229" s="880" t="e">
        <f t="shared" si="313"/>
        <v>#DIV/0!</v>
      </c>
    </row>
    <row r="230" spans="1:27" ht="16.5" customHeight="1">
      <c r="A230" s="19" t="s">
        <v>172</v>
      </c>
      <c r="B230" s="20" t="s">
        <v>640</v>
      </c>
      <c r="C230" s="21" t="s">
        <v>55</v>
      </c>
      <c r="D230" s="21" t="s">
        <v>141</v>
      </c>
      <c r="E230" s="22">
        <f>VLOOKUP($A230,publ_fin!$A:$I,8,FALSE)</f>
        <v>6445071.8099999996</v>
      </c>
      <c r="F230" s="114">
        <v>1</v>
      </c>
      <c r="G230" s="115"/>
      <c r="H230" s="22">
        <v>8000000</v>
      </c>
      <c r="I230" s="22">
        <f>F230*H230</f>
        <v>8000000</v>
      </c>
      <c r="J230" s="117">
        <v>6443826.7400000002</v>
      </c>
      <c r="K230" s="117">
        <v>6039.43</v>
      </c>
      <c r="L230" s="117">
        <v>0</v>
      </c>
      <c r="M230" s="23">
        <f t="shared" si="315"/>
        <v>6039.43</v>
      </c>
      <c r="N230" s="54">
        <f>E230-J230</f>
        <v>1245.0699999993667</v>
      </c>
      <c r="O230" s="117">
        <f>H230+N230</f>
        <v>8001245.0699999994</v>
      </c>
      <c r="P230" s="23">
        <v>37064</v>
      </c>
      <c r="Q230" s="23">
        <f>IFERROR(VLOOKUP(A230,lauzti_līg!A:H,8,FALSE),0)</f>
        <v>0</v>
      </c>
      <c r="R230" s="23">
        <f t="shared" si="322"/>
        <v>37064</v>
      </c>
      <c r="S230" s="23">
        <f>R230-M230</f>
        <v>31024.57</v>
      </c>
      <c r="T230" s="23">
        <f>VLOOKUP(A230,Nosl_līg!A:H,8,0)</f>
        <v>14188521.73</v>
      </c>
      <c r="U230" s="23">
        <f>T230-J230</f>
        <v>7744694.9900000002</v>
      </c>
      <c r="V230" s="23">
        <f>O230-S230-U230</f>
        <v>225525.50999999885</v>
      </c>
      <c r="W230" s="23">
        <f>IF(N230&gt;=S230+U230,N230-S230-U230,0)</f>
        <v>0</v>
      </c>
      <c r="X230" s="23"/>
      <c r="Y230" s="58">
        <f>IF(H230=0,0, IF(T230-E230+R230-M230&lt;0, 0, T230-E230+R230-M230))+225196.35</f>
        <v>7999670.8400000008</v>
      </c>
      <c r="Z230" s="117" t="e">
        <f>VLOOKUP(A230,#REF!,63,FALSE)/F230+#REF!</f>
        <v>#REF!</v>
      </c>
      <c r="AA230" s="880">
        <f t="shared" si="313"/>
        <v>0.99995885500000015</v>
      </c>
    </row>
    <row r="231" spans="1:27" ht="16.5" customHeight="1">
      <c r="A231" s="19" t="s">
        <v>161</v>
      </c>
      <c r="B231" s="20" t="s">
        <v>597</v>
      </c>
      <c r="C231" s="21" t="s">
        <v>55</v>
      </c>
      <c r="D231" s="21" t="s">
        <v>141</v>
      </c>
      <c r="E231" s="22">
        <f>VLOOKUP($A231,publ_fin!$A:$I,8,FALSE)</f>
        <v>3999999.13</v>
      </c>
      <c r="F231" s="114">
        <v>1</v>
      </c>
      <c r="G231" s="115"/>
      <c r="H231" s="22">
        <v>4000000</v>
      </c>
      <c r="I231" s="22">
        <f>F231*H231</f>
        <v>4000000</v>
      </c>
      <c r="J231" s="117">
        <v>3165869.2499999995</v>
      </c>
      <c r="K231" s="117">
        <v>0</v>
      </c>
      <c r="L231" s="117">
        <v>0</v>
      </c>
      <c r="M231" s="23">
        <f t="shared" si="315"/>
        <v>0</v>
      </c>
      <c r="N231" s="54">
        <f>E231-J231</f>
        <v>834129.88000000035</v>
      </c>
      <c r="O231" s="117">
        <f>H231+N231</f>
        <v>4834129.8800000008</v>
      </c>
      <c r="P231" s="23">
        <v>5393</v>
      </c>
      <c r="Q231" s="23">
        <f>IFERROR(VLOOKUP(A231,lauzti_līg!A:H,8,FALSE),0)</f>
        <v>678809.01</v>
      </c>
      <c r="R231" s="23">
        <f t="shared" si="322"/>
        <v>684202.01</v>
      </c>
      <c r="S231" s="23">
        <f>R231-M231</f>
        <v>684202.01</v>
      </c>
      <c r="T231" s="23">
        <f>VLOOKUP(A231,Nosl_līg!A:H,8,0)</f>
        <v>6621544.2699999996</v>
      </c>
      <c r="U231" s="23">
        <f>T231-J231</f>
        <v>3455675.02</v>
      </c>
      <c r="V231" s="23">
        <f>O231-S231-U231</f>
        <v>694252.85000000102</v>
      </c>
      <c r="W231" s="23">
        <f>IF(N231&gt;=S231+U231,N231-S231-U231,0)</f>
        <v>0</v>
      </c>
      <c r="X231" s="23"/>
      <c r="Y231" s="23">
        <f>IF(H231=0,0, IF(T231-E231+R231-M231&lt;0, 0, T231-E231+R231-M231))</f>
        <v>3305747.1499999994</v>
      </c>
      <c r="Z231" s="117" t="e">
        <f>VLOOKUP(A231,#REF!,63,FALSE)/F231+#REF!</f>
        <v>#REF!</v>
      </c>
      <c r="AA231" s="880">
        <f t="shared" si="313"/>
        <v>0.82643678749999983</v>
      </c>
    </row>
    <row r="232" spans="1:27" ht="16.5" customHeight="1">
      <c r="A232" s="14" t="s">
        <v>121</v>
      </c>
      <c r="B232" s="15" t="s">
        <v>598</v>
      </c>
      <c r="C232" s="16" t="s">
        <v>55</v>
      </c>
      <c r="D232" s="16" t="s">
        <v>137</v>
      </c>
      <c r="E232" s="17">
        <f t="shared" ref="E232:Z232" si="347">E233+E234</f>
        <v>52611651.620000005</v>
      </c>
      <c r="F232" s="113"/>
      <c r="G232" s="113">
        <f t="shared" si="347"/>
        <v>0</v>
      </c>
      <c r="H232" s="17">
        <f t="shared" si="347"/>
        <v>8000000</v>
      </c>
      <c r="I232" s="17">
        <f t="shared" si="347"/>
        <v>8000000</v>
      </c>
      <c r="J232" s="113">
        <f t="shared" si="347"/>
        <v>31809480.789999977</v>
      </c>
      <c r="K232" s="113">
        <f t="shared" si="347"/>
        <v>180982.38999999998</v>
      </c>
      <c r="L232" s="113">
        <f t="shared" si="347"/>
        <v>1682281.48</v>
      </c>
      <c r="M232" s="17">
        <f t="shared" si="347"/>
        <v>1863263.8699999996</v>
      </c>
      <c r="N232" s="53">
        <f t="shared" si="347"/>
        <v>20802170.830000028</v>
      </c>
      <c r="O232" s="113">
        <f t="shared" si="347"/>
        <v>28802170.830000028</v>
      </c>
      <c r="P232" s="17">
        <v>956994</v>
      </c>
      <c r="Q232" s="17">
        <f t="shared" si="347"/>
        <v>3893947.25</v>
      </c>
      <c r="R232" s="17">
        <f t="shared" si="322"/>
        <v>4850941.25</v>
      </c>
      <c r="S232" s="17">
        <f t="shared" si="347"/>
        <v>2987677.38</v>
      </c>
      <c r="T232" s="17">
        <f t="shared" si="347"/>
        <v>60614605.770000003</v>
      </c>
      <c r="U232" s="17">
        <f t="shared" si="347"/>
        <v>28805124.980000027</v>
      </c>
      <c r="V232" s="17">
        <f t="shared" si="347"/>
        <v>-2990631.5300000017</v>
      </c>
      <c r="W232" s="17">
        <f t="shared" si="347"/>
        <v>391071.89</v>
      </c>
      <c r="X232" s="17"/>
      <c r="Y232" s="17">
        <f t="shared" si="347"/>
        <v>8000000</v>
      </c>
      <c r="Z232" s="113" t="e">
        <f t="shared" si="347"/>
        <v>#REF!</v>
      </c>
      <c r="AA232" s="879">
        <f t="shared" si="313"/>
        <v>1</v>
      </c>
    </row>
    <row r="233" spans="1:27" ht="16.5" customHeight="1">
      <c r="A233" s="19" t="s">
        <v>196</v>
      </c>
      <c r="B233" s="20" t="s">
        <v>599</v>
      </c>
      <c r="C233" s="21" t="s">
        <v>55</v>
      </c>
      <c r="D233" s="21" t="s">
        <v>137</v>
      </c>
      <c r="E233" s="22">
        <f>VLOOKUP($A233,publ_fin!$A:$I,8,FALSE)</f>
        <v>47759948.920000002</v>
      </c>
      <c r="F233" s="114">
        <v>1</v>
      </c>
      <c r="G233" s="115"/>
      <c r="H233" s="22">
        <v>8000000</v>
      </c>
      <c r="I233" s="22">
        <f>F233*H233</f>
        <v>8000000</v>
      </c>
      <c r="J233" s="117">
        <v>27200340.449999977</v>
      </c>
      <c r="K233" s="117">
        <v>59721.38</v>
      </c>
      <c r="L233" s="117">
        <v>1455791.5999999999</v>
      </c>
      <c r="M233" s="23">
        <f t="shared" si="315"/>
        <v>1515512.9799999997</v>
      </c>
      <c r="N233" s="54">
        <f>E233-J233</f>
        <v>20559608.470000025</v>
      </c>
      <c r="O233" s="117">
        <f>H233+N233</f>
        <v>28559608.470000025</v>
      </c>
      <c r="P233" s="23">
        <v>458136</v>
      </c>
      <c r="Q233" s="23">
        <f>IFERROR(VLOOKUP(A233,lauzti_līg!A:H,8,FALSE),0)</f>
        <v>3392615.98</v>
      </c>
      <c r="R233" s="23">
        <f t="shared" si="322"/>
        <v>3850751.98</v>
      </c>
      <c r="S233" s="23">
        <f>R233-M233</f>
        <v>2335239</v>
      </c>
      <c r="T233" s="23">
        <f>VLOOKUP(A233,Nosl_līg!A:H,8,0)</f>
        <v>56806413.340000004</v>
      </c>
      <c r="U233" s="23">
        <f>T233-J233</f>
        <v>29606072.890000027</v>
      </c>
      <c r="V233" s="23">
        <f>O233-S233-U233</f>
        <v>-3381703.4200000018</v>
      </c>
      <c r="W233" s="23">
        <f>IF(N233&gt;=S233+U233,N233-S233-U233,0)</f>
        <v>0</v>
      </c>
      <c r="X233" s="23"/>
      <c r="Y233" s="22">
        <v>8000000</v>
      </c>
      <c r="Z233" s="117" t="e">
        <f>VLOOKUP(A233,#REF!,63,FALSE)/F233+#REF!</f>
        <v>#REF!</v>
      </c>
      <c r="AA233" s="880">
        <f t="shared" si="313"/>
        <v>1</v>
      </c>
    </row>
    <row r="234" spans="1:27" ht="16.5" customHeight="1">
      <c r="A234" s="19" t="s">
        <v>365</v>
      </c>
      <c r="B234" s="20" t="s">
        <v>630</v>
      </c>
      <c r="C234" s="21" t="s">
        <v>55</v>
      </c>
      <c r="D234" s="21" t="s">
        <v>137</v>
      </c>
      <c r="E234" s="22">
        <f>VLOOKUP($A234,publ_fin!$A:$I,8,FALSE)</f>
        <v>4851702.7</v>
      </c>
      <c r="F234" s="114">
        <v>1</v>
      </c>
      <c r="G234" s="115"/>
      <c r="H234" s="22">
        <v>0</v>
      </c>
      <c r="I234" s="22">
        <f>F234*H234</f>
        <v>0</v>
      </c>
      <c r="J234" s="117">
        <v>4609140.3399999989</v>
      </c>
      <c r="K234" s="117">
        <v>121261.01</v>
      </c>
      <c r="L234" s="117">
        <v>226489.88</v>
      </c>
      <c r="M234" s="23">
        <f t="shared" si="315"/>
        <v>347750.89</v>
      </c>
      <c r="N234" s="54">
        <f>E234-J234</f>
        <v>242562.36000000127</v>
      </c>
      <c r="O234" s="117">
        <f>H234+N234</f>
        <v>242562.36000000127</v>
      </c>
      <c r="P234" s="23">
        <v>498858</v>
      </c>
      <c r="Q234" s="23">
        <f>IFERROR(VLOOKUP(A234,lauzti_līg!A:H,8,FALSE),0)</f>
        <v>501331.27</v>
      </c>
      <c r="R234" s="23">
        <f t="shared" si="322"/>
        <v>1000189.27</v>
      </c>
      <c r="S234" s="23">
        <f>R234-M234</f>
        <v>652438.38</v>
      </c>
      <c r="T234" s="23">
        <f>VLOOKUP(A234,Nosl_līg!A:H,8,0)</f>
        <v>3808192.43</v>
      </c>
      <c r="U234" s="23">
        <f>T234-J234</f>
        <v>-800947.90999999875</v>
      </c>
      <c r="V234" s="23">
        <f>O234-S234-U234</f>
        <v>391071.89</v>
      </c>
      <c r="W234" s="23">
        <f>IF(N234&gt;=S234+U234,N234-S234-U234,0)</f>
        <v>391071.89</v>
      </c>
      <c r="X234" s="23"/>
      <c r="Y234" s="23">
        <f>IF(H234=0,0, IF(T234-E234+R234-M234&lt;0, 0, T234-E234+R234-M234))</f>
        <v>0</v>
      </c>
      <c r="Z234" s="117" t="e">
        <f>VLOOKUP(A234,#REF!,63,FALSE)/F234+#REF!</f>
        <v>#REF!</v>
      </c>
      <c r="AA234" s="880" t="e">
        <f t="shared" si="313"/>
        <v>#DIV/0!</v>
      </c>
    </row>
    <row r="235" spans="1:27" ht="16.5" customHeight="1">
      <c r="A235" s="14" t="s">
        <v>122</v>
      </c>
      <c r="B235" s="15" t="s">
        <v>600</v>
      </c>
      <c r="C235" s="16" t="s">
        <v>142</v>
      </c>
      <c r="D235" s="16" t="s">
        <v>131</v>
      </c>
      <c r="E235" s="17">
        <f t="shared" ref="E235:G235" si="348">E236+E244</f>
        <v>485857473.47999996</v>
      </c>
      <c r="F235" s="113"/>
      <c r="G235" s="113">
        <f t="shared" si="348"/>
        <v>0</v>
      </c>
      <c r="H235" s="17">
        <f t="shared" ref="H235:Y235" si="349">H236+H244</f>
        <v>3879949</v>
      </c>
      <c r="I235" s="17">
        <f t="shared" ref="I235:L235" si="350">I236+I244</f>
        <v>3703530.266434405</v>
      </c>
      <c r="J235" s="113">
        <f t="shared" si="350"/>
        <v>386556498.61999989</v>
      </c>
      <c r="K235" s="113">
        <f t="shared" si="350"/>
        <v>372719.52</v>
      </c>
      <c r="L235" s="113">
        <f t="shared" si="350"/>
        <v>3045000</v>
      </c>
      <c r="M235" s="17">
        <f t="shared" si="349"/>
        <v>3417719.52</v>
      </c>
      <c r="N235" s="53">
        <f t="shared" si="349"/>
        <v>99300974.860000134</v>
      </c>
      <c r="O235" s="113">
        <f t="shared" si="349"/>
        <v>103180923.86000013</v>
      </c>
      <c r="P235" s="17">
        <v>1835114</v>
      </c>
      <c r="Q235" s="17">
        <f t="shared" si="349"/>
        <v>8601217.1400000006</v>
      </c>
      <c r="R235" s="17">
        <f t="shared" si="322"/>
        <v>10436331.140000001</v>
      </c>
      <c r="S235" s="17">
        <f t="shared" ref="S235:T235" si="351">S236+S244</f>
        <v>7018611.6199999992</v>
      </c>
      <c r="T235" s="17">
        <f t="shared" si="351"/>
        <v>438299678.24000001</v>
      </c>
      <c r="U235" s="17">
        <f t="shared" si="349"/>
        <v>51743179.620000169</v>
      </c>
      <c r="V235" s="17">
        <f t="shared" si="349"/>
        <v>44419132.61999996</v>
      </c>
      <c r="W235" s="17">
        <f t="shared" si="349"/>
        <v>40725285.809999973</v>
      </c>
      <c r="X235" s="17"/>
      <c r="Y235" s="17">
        <f t="shared" si="349"/>
        <v>0</v>
      </c>
      <c r="Z235" s="113" t="e">
        <f t="shared" ref="Z235" si="352">Z236+Z244</f>
        <v>#REF!</v>
      </c>
      <c r="AA235" s="879">
        <f t="shared" si="313"/>
        <v>0</v>
      </c>
    </row>
    <row r="236" spans="1:27" ht="16.5" customHeight="1">
      <c r="A236" s="14" t="s">
        <v>123</v>
      </c>
      <c r="B236" s="15" t="s">
        <v>601</v>
      </c>
      <c r="C236" s="16" t="s">
        <v>142</v>
      </c>
      <c r="D236" s="16" t="s">
        <v>628</v>
      </c>
      <c r="E236" s="17">
        <f t="shared" ref="E236:G236" si="353">E237+E238+E242+E243</f>
        <v>406005335.59999996</v>
      </c>
      <c r="F236" s="113"/>
      <c r="G236" s="113">
        <f t="shared" si="353"/>
        <v>0</v>
      </c>
      <c r="H236" s="17">
        <f t="shared" ref="H236:Y236" si="354">H237+H238+H242+H243</f>
        <v>3879949</v>
      </c>
      <c r="I236" s="17">
        <f t="shared" ref="I236:L236" si="355">I237+I238+I242+I243</f>
        <v>3703530.266434405</v>
      </c>
      <c r="J236" s="113">
        <f t="shared" si="355"/>
        <v>337116454.30999988</v>
      </c>
      <c r="K236" s="113">
        <f t="shared" si="355"/>
        <v>337346.12</v>
      </c>
      <c r="L236" s="113">
        <f t="shared" si="355"/>
        <v>3045000</v>
      </c>
      <c r="M236" s="17">
        <f t="shared" si="354"/>
        <v>3382346.12</v>
      </c>
      <c r="N236" s="53">
        <f t="shared" si="354"/>
        <v>68888881.290000141</v>
      </c>
      <c r="O236" s="113">
        <f t="shared" si="354"/>
        <v>72768830.290000141</v>
      </c>
      <c r="P236" s="17">
        <v>1448234</v>
      </c>
      <c r="Q236" s="17">
        <f t="shared" si="354"/>
        <v>7841637.2999999998</v>
      </c>
      <c r="R236" s="17">
        <f t="shared" si="322"/>
        <v>9289871.3000000007</v>
      </c>
      <c r="S236" s="17">
        <f t="shared" ref="S236:T236" si="356">S237+S238+S242+S243</f>
        <v>5907525.1799999997</v>
      </c>
      <c r="T236" s="17">
        <f t="shared" si="356"/>
        <v>367510061.84000003</v>
      </c>
      <c r="U236" s="17">
        <f t="shared" si="354"/>
        <v>30393607.530000161</v>
      </c>
      <c r="V236" s="17">
        <f t="shared" si="354"/>
        <v>36467697.579999968</v>
      </c>
      <c r="W236" s="17">
        <f t="shared" si="354"/>
        <v>32702733.189999979</v>
      </c>
      <c r="X236" s="17"/>
      <c r="Y236" s="17">
        <f t="shared" si="354"/>
        <v>0</v>
      </c>
      <c r="Z236" s="113" t="e">
        <f t="shared" ref="Z236" si="357">Z237+Z238+Z242+Z243</f>
        <v>#REF!</v>
      </c>
      <c r="AA236" s="879">
        <f t="shared" si="313"/>
        <v>0</v>
      </c>
    </row>
    <row r="237" spans="1:27" ht="16.5" customHeight="1">
      <c r="A237" s="19" t="s">
        <v>167</v>
      </c>
      <c r="B237" s="20" t="s">
        <v>602</v>
      </c>
      <c r="C237" s="21" t="s">
        <v>142</v>
      </c>
      <c r="D237" s="21" t="s">
        <v>628</v>
      </c>
      <c r="E237" s="22">
        <f>VLOOKUP($A237,publ_fin!$A:$I,8,FALSE)</f>
        <v>322265822.94999999</v>
      </c>
      <c r="F237" s="114">
        <v>0.95643029169533877</v>
      </c>
      <c r="G237" s="115"/>
      <c r="H237" s="22">
        <v>3749949</v>
      </c>
      <c r="I237" s="22">
        <f>F237*H237</f>
        <v>3586564.8159126439</v>
      </c>
      <c r="J237" s="117">
        <v>286005202.46999985</v>
      </c>
      <c r="K237" s="117">
        <v>333511.5</v>
      </c>
      <c r="L237" s="117">
        <v>0</v>
      </c>
      <c r="M237" s="23">
        <f t="shared" si="315"/>
        <v>333511.5</v>
      </c>
      <c r="N237" s="54">
        <f>E237-J237</f>
        <v>36260620.480000138</v>
      </c>
      <c r="O237" s="117">
        <f>H237+N237</f>
        <v>40010569.480000138</v>
      </c>
      <c r="P237" s="23">
        <v>1283559</v>
      </c>
      <c r="Q237" s="23">
        <f>IFERROR(VLOOKUP(A237,lauzti_līg!A:H,8,FALSE),0)</f>
        <v>0</v>
      </c>
      <c r="R237" s="23">
        <f t="shared" si="322"/>
        <v>1283559</v>
      </c>
      <c r="S237" s="23">
        <f>R237-M237</f>
        <v>950047.5</v>
      </c>
      <c r="T237" s="23">
        <f>VLOOKUP(A237,Nosl_līg!A:H,8,0)</f>
        <v>311225005.55000001</v>
      </c>
      <c r="U237" s="23">
        <f>T237-J237</f>
        <v>25219803.080000162</v>
      </c>
      <c r="V237" s="23">
        <f>O237-S237-U237</f>
        <v>13840718.899999976</v>
      </c>
      <c r="W237" s="23">
        <f>IF(N237&gt;=S237+U237,N237-S237-U237,0)</f>
        <v>10090769.899999976</v>
      </c>
      <c r="X237" s="23"/>
      <c r="Y237" s="23">
        <f>IF(H237=0,0, IF(T237-E237+R237-M237&lt;0, 0, T237-E237+R237-M237))</f>
        <v>0</v>
      </c>
      <c r="Z237" s="117" t="e">
        <f>VLOOKUP(A237,#REF!,63,FALSE)/F237+#REF!</f>
        <v>#REF!</v>
      </c>
      <c r="AA237" s="880">
        <f t="shared" si="313"/>
        <v>0</v>
      </c>
    </row>
    <row r="238" spans="1:27" ht="16.5" customHeight="1">
      <c r="A238" s="19" t="s">
        <v>124</v>
      </c>
      <c r="B238" s="20" t="s">
        <v>603</v>
      </c>
      <c r="C238" s="21" t="s">
        <v>142</v>
      </c>
      <c r="D238" s="21" t="s">
        <v>628</v>
      </c>
      <c r="E238" s="23">
        <f t="shared" ref="E238:G238" si="358">E239+E240+E241</f>
        <v>68707333.479999989</v>
      </c>
      <c r="F238" s="116"/>
      <c r="G238" s="116">
        <f t="shared" si="358"/>
        <v>0</v>
      </c>
      <c r="H238" s="23">
        <f t="shared" ref="H238:Z238" si="359">H239+H240+H241</f>
        <v>0</v>
      </c>
      <c r="I238" s="18">
        <f t="shared" si="359"/>
        <v>0</v>
      </c>
      <c r="J238" s="116">
        <f t="shared" si="359"/>
        <v>40753557.579999998</v>
      </c>
      <c r="K238" s="116">
        <f t="shared" si="359"/>
        <v>3834.6200000000003</v>
      </c>
      <c r="L238" s="116">
        <f t="shared" si="359"/>
        <v>0</v>
      </c>
      <c r="M238" s="18">
        <f t="shared" si="359"/>
        <v>3834.6200000000003</v>
      </c>
      <c r="N238" s="54">
        <f t="shared" si="359"/>
        <v>27953775.900000002</v>
      </c>
      <c r="O238" s="116">
        <f t="shared" si="359"/>
        <v>27953775.900000002</v>
      </c>
      <c r="P238" s="18">
        <v>127493</v>
      </c>
      <c r="Q238" s="18">
        <f t="shared" si="359"/>
        <v>4796637.3</v>
      </c>
      <c r="R238" s="18">
        <f t="shared" si="322"/>
        <v>4924130.3</v>
      </c>
      <c r="S238" s="18">
        <f t="shared" si="359"/>
        <v>4920295.68</v>
      </c>
      <c r="T238" s="23">
        <f>T239+T240+T241</f>
        <v>44082842.879999995</v>
      </c>
      <c r="U238" s="18">
        <f t="shared" si="359"/>
        <v>3329285.3000000017</v>
      </c>
      <c r="V238" s="18">
        <f t="shared" si="359"/>
        <v>19704194.919999998</v>
      </c>
      <c r="W238" s="18">
        <f t="shared" si="359"/>
        <v>19819179.530000001</v>
      </c>
      <c r="X238" s="18"/>
      <c r="Y238" s="18">
        <f t="shared" si="359"/>
        <v>0</v>
      </c>
      <c r="Z238" s="116" t="e">
        <f t="shared" si="359"/>
        <v>#REF!</v>
      </c>
      <c r="AA238" s="881" t="e">
        <f t="shared" si="313"/>
        <v>#DIV/0!</v>
      </c>
    </row>
    <row r="239" spans="1:27" ht="16.5" customHeight="1">
      <c r="A239" s="19" t="s">
        <v>368</v>
      </c>
      <c r="B239" s="20" t="s">
        <v>604</v>
      </c>
      <c r="C239" s="21" t="s">
        <v>142</v>
      </c>
      <c r="D239" s="21" t="s">
        <v>628</v>
      </c>
      <c r="E239" s="22">
        <f>VLOOKUP($A239,publ_fin!$A:$I,8,FALSE)</f>
        <v>11830766.390000001</v>
      </c>
      <c r="F239" s="114">
        <v>1</v>
      </c>
      <c r="G239" s="115"/>
      <c r="H239" s="22">
        <v>0</v>
      </c>
      <c r="I239" s="22">
        <f>F239*H239</f>
        <v>0</v>
      </c>
      <c r="J239" s="117">
        <v>5938812.7099999981</v>
      </c>
      <c r="K239" s="117">
        <v>3612.82</v>
      </c>
      <c r="L239" s="117">
        <v>0</v>
      </c>
      <c r="M239" s="23">
        <f t="shared" si="315"/>
        <v>3612.82</v>
      </c>
      <c r="N239" s="54">
        <f>E239-J239</f>
        <v>5891953.6800000025</v>
      </c>
      <c r="O239" s="117">
        <f>H239+N239</f>
        <v>5891953.6800000025</v>
      </c>
      <c r="P239" s="23">
        <v>11304</v>
      </c>
      <c r="Q239" s="23">
        <f>IFERROR(VLOOKUP(A239,lauzti_līg!A:H,8,FALSE),0)</f>
        <v>0</v>
      </c>
      <c r="R239" s="23">
        <f t="shared" si="322"/>
        <v>11304</v>
      </c>
      <c r="S239" s="23">
        <f>R239-M239</f>
        <v>7691.18</v>
      </c>
      <c r="T239" s="23">
        <f>VLOOKUP(A239,Nosl_līg!A:H,8,0)</f>
        <v>11615920.970000001</v>
      </c>
      <c r="U239" s="23">
        <f>T239-J239</f>
        <v>5677108.2600000026</v>
      </c>
      <c r="V239" s="23">
        <f>O239-S239-U239</f>
        <v>207154.24000000022</v>
      </c>
      <c r="W239" s="23">
        <f>IF(N239&gt;=S239+U239,N239-S239-U239,0)</f>
        <v>207154.24000000022</v>
      </c>
      <c r="X239" s="23"/>
      <c r="Y239" s="23">
        <f>IF(H239=0,0, IF(T239-E239+R239-M239&lt;0, 0, T239-E239+R239-M239))</f>
        <v>0</v>
      </c>
      <c r="Z239" s="117" t="e">
        <f>VLOOKUP(A239,#REF!,63,FALSE)/F239+#REF!</f>
        <v>#REF!</v>
      </c>
      <c r="AA239" s="880" t="e">
        <f t="shared" si="313"/>
        <v>#DIV/0!</v>
      </c>
    </row>
    <row r="240" spans="1:27" ht="16.5" customHeight="1">
      <c r="A240" s="19" t="s">
        <v>148</v>
      </c>
      <c r="B240" s="20" t="s">
        <v>605</v>
      </c>
      <c r="C240" s="21" t="s">
        <v>142</v>
      </c>
      <c r="D240" s="21" t="s">
        <v>628</v>
      </c>
      <c r="E240" s="22">
        <f>VLOOKUP($A240,publ_fin!$A:$I,8,FALSE)</f>
        <v>27987494.52</v>
      </c>
      <c r="F240" s="114">
        <v>1</v>
      </c>
      <c r="G240" s="115"/>
      <c r="H240" s="22">
        <v>0</v>
      </c>
      <c r="I240" s="22">
        <f>F240*H240</f>
        <v>0</v>
      </c>
      <c r="J240" s="117">
        <v>25405186.740000002</v>
      </c>
      <c r="K240" s="117">
        <v>31.76</v>
      </c>
      <c r="L240" s="117">
        <v>0</v>
      </c>
      <c r="M240" s="23">
        <f t="shared" si="315"/>
        <v>31.76</v>
      </c>
      <c r="N240" s="54">
        <f>E240-J240</f>
        <v>2582307.7799999975</v>
      </c>
      <c r="O240" s="117">
        <f>H240+N240</f>
        <v>2582307.7799999975</v>
      </c>
      <c r="P240" s="23">
        <v>115017</v>
      </c>
      <c r="Q240" s="23">
        <f>IFERROR(VLOOKUP(A240,lauzti_līg!A:H,8,FALSE),0)</f>
        <v>0</v>
      </c>
      <c r="R240" s="23">
        <f t="shared" si="322"/>
        <v>115017</v>
      </c>
      <c r="S240" s="23">
        <f>R240-M240</f>
        <v>114985.24</v>
      </c>
      <c r="T240" s="23">
        <f>VLOOKUP(A240,Nosl_līg!A:H,8,0)</f>
        <v>27987493.890000001</v>
      </c>
      <c r="U240" s="23">
        <f>T240-J240</f>
        <v>2582307.1499999985</v>
      </c>
      <c r="V240" s="23">
        <f>O240-S240-U240</f>
        <v>-114984.61000000127</v>
      </c>
      <c r="W240" s="23">
        <f>IF(N240&gt;=S240+U240,N240-S240-U240,0)</f>
        <v>0</v>
      </c>
      <c r="X240" s="23"/>
      <c r="Y240" s="23">
        <f>IF(H240=0,0, IF(T240-E240+R240-M240&lt;0, 0, T240-E240+R240-M240))</f>
        <v>0</v>
      </c>
      <c r="Z240" s="117" t="e">
        <f>VLOOKUP(A240,#REF!,63,FALSE)/F240+#REF!</f>
        <v>#REF!</v>
      </c>
      <c r="AA240" s="880" t="e">
        <f t="shared" si="313"/>
        <v>#DIV/0!</v>
      </c>
    </row>
    <row r="241" spans="1:27" ht="16.5" customHeight="1">
      <c r="A241" s="19" t="s">
        <v>183</v>
      </c>
      <c r="B241" s="20" t="s">
        <v>606</v>
      </c>
      <c r="C241" s="21" t="s">
        <v>142</v>
      </c>
      <c r="D241" s="21" t="s">
        <v>628</v>
      </c>
      <c r="E241" s="22">
        <f>VLOOKUP($A241,publ_fin!$A:$I,8,FALSE)</f>
        <v>28889072.57</v>
      </c>
      <c r="F241" s="114">
        <v>1</v>
      </c>
      <c r="G241" s="115"/>
      <c r="H241" s="22">
        <v>0</v>
      </c>
      <c r="I241" s="22">
        <f>F241*H241</f>
        <v>0</v>
      </c>
      <c r="J241" s="117">
        <v>9409558.129999999</v>
      </c>
      <c r="K241" s="117">
        <v>190.04</v>
      </c>
      <c r="L241" s="117">
        <v>0</v>
      </c>
      <c r="M241" s="23">
        <f t="shared" si="315"/>
        <v>190.04</v>
      </c>
      <c r="N241" s="54">
        <f>E241-J241</f>
        <v>19479514.440000001</v>
      </c>
      <c r="O241" s="117">
        <f>H241+N241</f>
        <v>19479514.440000001</v>
      </c>
      <c r="P241" s="23">
        <v>1172</v>
      </c>
      <c r="Q241" s="23">
        <f>IFERROR(VLOOKUP(A241,lauzti_līg!A:H,8,FALSE),0)</f>
        <v>4796637.3</v>
      </c>
      <c r="R241" s="23">
        <f t="shared" si="322"/>
        <v>4797809.3</v>
      </c>
      <c r="S241" s="23">
        <f>R241-M241</f>
        <v>4797619.26</v>
      </c>
      <c r="T241" s="23">
        <f>VLOOKUP(A241,Nosl_līg!A:H,8,0)</f>
        <v>4479428.0199999996</v>
      </c>
      <c r="U241" s="23">
        <f>T241-J241</f>
        <v>-4930130.1099999994</v>
      </c>
      <c r="V241" s="23">
        <f>O241-S241-U241</f>
        <v>19612025.289999999</v>
      </c>
      <c r="W241" s="23">
        <f>IF(N241&gt;=S241+U241,N241-S241-U241,0)</f>
        <v>19612025.289999999</v>
      </c>
      <c r="X241" s="23"/>
      <c r="Y241" s="23">
        <f>IF(H241=0,0, IF(T241-E241+R241-M241&lt;0, 0, T241-E241+R241-M241))</f>
        <v>0</v>
      </c>
      <c r="Z241" s="117" t="e">
        <f>VLOOKUP(A241,#REF!,63,FALSE)/F241+#REF!</f>
        <v>#REF!</v>
      </c>
      <c r="AA241" s="880" t="e">
        <f t="shared" si="313"/>
        <v>#DIV/0!</v>
      </c>
    </row>
    <row r="242" spans="1:27" ht="16.5" customHeight="1">
      <c r="A242" s="19" t="s">
        <v>169</v>
      </c>
      <c r="B242" s="20" t="s">
        <v>607</v>
      </c>
      <c r="C242" s="21" t="s">
        <v>142</v>
      </c>
      <c r="D242" s="21" t="s">
        <v>628</v>
      </c>
      <c r="E242" s="22">
        <f>VLOOKUP($A242,publ_fin!$A:$I,8,FALSE)</f>
        <v>7064714.4199999999</v>
      </c>
      <c r="F242" s="114">
        <v>1</v>
      </c>
      <c r="G242" s="115"/>
      <c r="H242" s="22">
        <v>0</v>
      </c>
      <c r="I242" s="22">
        <f>F242*H242</f>
        <v>0</v>
      </c>
      <c r="J242" s="117">
        <v>2563552.85</v>
      </c>
      <c r="K242" s="117">
        <v>0</v>
      </c>
      <c r="L242" s="117">
        <v>0</v>
      </c>
      <c r="M242" s="23">
        <f t="shared" si="315"/>
        <v>0</v>
      </c>
      <c r="N242" s="54">
        <f>E242-J242</f>
        <v>4501161.57</v>
      </c>
      <c r="O242" s="117">
        <f>H242+N242</f>
        <v>4501161.57</v>
      </c>
      <c r="P242" s="23">
        <v>0</v>
      </c>
      <c r="Q242" s="23">
        <f>IFERROR(VLOOKUP(A242,lauzti_līg!A:H,8,FALSE),0)</f>
        <v>0</v>
      </c>
      <c r="R242" s="23">
        <f t="shared" si="322"/>
        <v>0</v>
      </c>
      <c r="S242" s="23">
        <f>R242-M242</f>
        <v>0</v>
      </c>
      <c r="T242" s="23">
        <f>VLOOKUP(A242,Nosl_līg!A:H,8,0)</f>
        <v>4408072</v>
      </c>
      <c r="U242" s="23">
        <f>T242-J242</f>
        <v>1844519.15</v>
      </c>
      <c r="V242" s="23">
        <f>O242-S242-U242</f>
        <v>2656642.4200000004</v>
      </c>
      <c r="W242" s="23">
        <f>IF(N242&gt;=S242+U242,N242-S242-U242,0)</f>
        <v>2656642.4200000004</v>
      </c>
      <c r="X242" s="23"/>
      <c r="Y242" s="23">
        <f>IF(H242=0,0, IF(T242-E242+R242-M242&lt;0, 0, T242-E242+R242-M242))</f>
        <v>0</v>
      </c>
      <c r="Z242" s="117" t="e">
        <f>VLOOKUP(A242,#REF!,63,FALSE)/F242+#REF!</f>
        <v>#REF!</v>
      </c>
      <c r="AA242" s="880" t="e">
        <f t="shared" si="313"/>
        <v>#DIV/0!</v>
      </c>
    </row>
    <row r="243" spans="1:27" ht="16.5" customHeight="1">
      <c r="A243" s="19" t="s">
        <v>184</v>
      </c>
      <c r="B243" s="20" t="s">
        <v>608</v>
      </c>
      <c r="C243" s="21" t="s">
        <v>142</v>
      </c>
      <c r="D243" s="21" t="s">
        <v>628</v>
      </c>
      <c r="E243" s="22">
        <f>VLOOKUP($A243,publ_fin!$A:$I,8,FALSE)</f>
        <v>7967464.75</v>
      </c>
      <c r="F243" s="114">
        <v>0.89973423478277703</v>
      </c>
      <c r="G243" s="115"/>
      <c r="H243" s="22">
        <v>130000</v>
      </c>
      <c r="I243" s="22">
        <f>F243*H243</f>
        <v>116965.45052176101</v>
      </c>
      <c r="J243" s="117">
        <v>7794141.4100000001</v>
      </c>
      <c r="K243" s="117">
        <v>0</v>
      </c>
      <c r="L243" s="117">
        <v>3045000</v>
      </c>
      <c r="M243" s="23">
        <f t="shared" si="315"/>
        <v>3045000</v>
      </c>
      <c r="N243" s="54">
        <f>E243-J243</f>
        <v>173323.33999999985</v>
      </c>
      <c r="O243" s="117">
        <f>H243+N243</f>
        <v>303323.33999999985</v>
      </c>
      <c r="P243" s="23">
        <v>37182</v>
      </c>
      <c r="Q243" s="23">
        <f>IFERROR(VLOOKUP(A243,lauzti_līg!A:H,8,FALSE),0)</f>
        <v>3045000</v>
      </c>
      <c r="R243" s="23">
        <f t="shared" si="322"/>
        <v>3082182</v>
      </c>
      <c r="S243" s="23">
        <f>R243-M243</f>
        <v>37182</v>
      </c>
      <c r="T243" s="23">
        <f>VLOOKUP(A243,Nosl_līg!A:H,8,0)</f>
        <v>7794141.4100000001</v>
      </c>
      <c r="U243" s="23">
        <f>T243-J243</f>
        <v>0</v>
      </c>
      <c r="V243" s="23">
        <f>O243-S243-U243</f>
        <v>266141.33999999985</v>
      </c>
      <c r="W243" s="23">
        <f>IF(N243&gt;=S243+U243,N243-S243-U243,0)</f>
        <v>136141.33999999985</v>
      </c>
      <c r="X243" s="23"/>
      <c r="Y243" s="23">
        <f>IF(H243=0,0, IF(T243-E243+R243-M243&lt;0, 0, T243-E243+R243-M243))</f>
        <v>0</v>
      </c>
      <c r="Z243" s="117" t="e">
        <f>VLOOKUP(A243,#REF!,63,FALSE)/F243+#REF!</f>
        <v>#REF!</v>
      </c>
      <c r="AA243" s="880">
        <f t="shared" si="313"/>
        <v>0</v>
      </c>
    </row>
    <row r="244" spans="1:27" s="40" customFormat="1" ht="16.5" customHeight="1">
      <c r="A244" s="14" t="s">
        <v>125</v>
      </c>
      <c r="B244" s="15" t="s">
        <v>609</v>
      </c>
      <c r="C244" s="16" t="s">
        <v>142</v>
      </c>
      <c r="D244" s="16" t="s">
        <v>131</v>
      </c>
      <c r="E244" s="17">
        <f t="shared" ref="E244:G244" si="360">E245+E248+E249+E250</f>
        <v>79852137.879999995</v>
      </c>
      <c r="F244" s="113"/>
      <c r="G244" s="113">
        <f t="shared" si="360"/>
        <v>0</v>
      </c>
      <c r="H244" s="17">
        <f t="shared" ref="H244:Y244" si="361">H245+H248+H249+H250</f>
        <v>0</v>
      </c>
      <c r="I244" s="17">
        <f t="shared" ref="I244:L244" si="362">I245+I248+I249+I250</f>
        <v>0</v>
      </c>
      <c r="J244" s="113">
        <f t="shared" si="362"/>
        <v>49440044.309999995</v>
      </c>
      <c r="K244" s="113">
        <f t="shared" si="362"/>
        <v>35373.4</v>
      </c>
      <c r="L244" s="113">
        <f t="shared" si="362"/>
        <v>0</v>
      </c>
      <c r="M244" s="17">
        <f t="shared" si="361"/>
        <v>35373.4</v>
      </c>
      <c r="N244" s="53">
        <f t="shared" si="361"/>
        <v>30412093.57</v>
      </c>
      <c r="O244" s="113">
        <f t="shared" si="361"/>
        <v>30412093.57</v>
      </c>
      <c r="P244" s="17">
        <v>386880</v>
      </c>
      <c r="Q244" s="17">
        <f t="shared" si="361"/>
        <v>759579.84</v>
      </c>
      <c r="R244" s="17">
        <f t="shared" si="322"/>
        <v>1146459.8399999999</v>
      </c>
      <c r="S244" s="17">
        <f t="shared" ref="S244:T244" si="363">S245+S248+S249+S250</f>
        <v>1111086.44</v>
      </c>
      <c r="T244" s="17">
        <f t="shared" si="363"/>
        <v>70789616.400000006</v>
      </c>
      <c r="U244" s="17">
        <f t="shared" si="361"/>
        <v>21349572.090000007</v>
      </c>
      <c r="V244" s="17">
        <f t="shared" si="361"/>
        <v>7951435.0399999917</v>
      </c>
      <c r="W244" s="17">
        <f t="shared" si="361"/>
        <v>8022552.6199999936</v>
      </c>
      <c r="X244" s="17"/>
      <c r="Y244" s="17">
        <f t="shared" si="361"/>
        <v>0</v>
      </c>
      <c r="Z244" s="113" t="e">
        <f>Z245+Z248+Z249+Z250</f>
        <v>#REF!</v>
      </c>
      <c r="AA244" s="879" t="e">
        <f t="shared" si="313"/>
        <v>#DIV/0!</v>
      </c>
    </row>
    <row r="245" spans="1:27" s="40" customFormat="1" ht="16.5" customHeight="1">
      <c r="A245" s="19" t="s">
        <v>382</v>
      </c>
      <c r="B245" s="20" t="s">
        <v>610</v>
      </c>
      <c r="C245" s="21" t="s">
        <v>142</v>
      </c>
      <c r="D245" s="21" t="s">
        <v>137</v>
      </c>
      <c r="E245" s="23">
        <f t="shared" ref="E245:G245" si="364">E246+E247</f>
        <v>59056401.549999997</v>
      </c>
      <c r="F245" s="116"/>
      <c r="G245" s="116">
        <f t="shared" si="364"/>
        <v>0</v>
      </c>
      <c r="H245" s="23">
        <f t="shared" ref="H245:Y245" si="365">H246+H247</f>
        <v>0</v>
      </c>
      <c r="I245" s="18">
        <f t="shared" ref="I245:L245" si="366">I246+I247</f>
        <v>0</v>
      </c>
      <c r="J245" s="116">
        <f t="shared" si="366"/>
        <v>28074544.759999998</v>
      </c>
      <c r="K245" s="116">
        <f t="shared" si="366"/>
        <v>35373.4</v>
      </c>
      <c r="L245" s="116">
        <f t="shared" si="366"/>
        <v>0</v>
      </c>
      <c r="M245" s="18">
        <f t="shared" si="365"/>
        <v>35373.4</v>
      </c>
      <c r="N245" s="54">
        <f t="shared" si="365"/>
        <v>30981856.789999999</v>
      </c>
      <c r="O245" s="116">
        <f t="shared" si="365"/>
        <v>30981856.789999999</v>
      </c>
      <c r="P245" s="18">
        <v>315762</v>
      </c>
      <c r="Q245" s="18">
        <f t="shared" si="365"/>
        <v>759579.84</v>
      </c>
      <c r="R245" s="18">
        <f t="shared" si="322"/>
        <v>1075341.8399999999</v>
      </c>
      <c r="S245" s="18">
        <f t="shared" ref="S245" si="367">S246+S247</f>
        <v>1039968.4399999998</v>
      </c>
      <c r="T245" s="23">
        <f>T246+T247</f>
        <v>49993880.490000002</v>
      </c>
      <c r="U245" s="18">
        <f t="shared" si="365"/>
        <v>21919335.730000004</v>
      </c>
      <c r="V245" s="18">
        <f t="shared" si="365"/>
        <v>8022552.6199999936</v>
      </c>
      <c r="W245" s="18">
        <f t="shared" si="365"/>
        <v>8022552.6199999936</v>
      </c>
      <c r="X245" s="18"/>
      <c r="Y245" s="18">
        <f t="shared" si="365"/>
        <v>0</v>
      </c>
      <c r="Z245" s="116" t="e">
        <f t="shared" ref="Z245" si="368">Z246+Z247</f>
        <v>#REF!</v>
      </c>
      <c r="AA245" s="881" t="e">
        <f t="shared" si="313"/>
        <v>#DIV/0!</v>
      </c>
    </row>
    <row r="246" spans="1:27" ht="16.5" customHeight="1">
      <c r="A246" s="19" t="s">
        <v>374</v>
      </c>
      <c r="B246" s="20" t="s">
        <v>611</v>
      </c>
      <c r="C246" s="21" t="s">
        <v>142</v>
      </c>
      <c r="D246" s="21" t="s">
        <v>137</v>
      </c>
      <c r="E246" s="22">
        <f>VLOOKUP($A246,publ_fin!$A:$I,8,FALSE)</f>
        <v>59056401.549999997</v>
      </c>
      <c r="F246" s="114">
        <v>1</v>
      </c>
      <c r="G246" s="115"/>
      <c r="H246" s="22">
        <v>0</v>
      </c>
      <c r="I246" s="22">
        <f>F246*H246</f>
        <v>0</v>
      </c>
      <c r="J246" s="117">
        <v>28074544.759999998</v>
      </c>
      <c r="K246" s="117">
        <v>35373.4</v>
      </c>
      <c r="L246" s="117">
        <v>0</v>
      </c>
      <c r="M246" s="23">
        <f t="shared" si="315"/>
        <v>35373.4</v>
      </c>
      <c r="N246" s="54">
        <f>E246-J246</f>
        <v>30981856.789999999</v>
      </c>
      <c r="O246" s="117">
        <f>H246+N246</f>
        <v>30981856.789999999</v>
      </c>
      <c r="P246" s="23">
        <v>315762</v>
      </c>
      <c r="Q246" s="23">
        <f>IFERROR(VLOOKUP(A246,lauzti_līg!A:H,8,FALSE),0)</f>
        <v>759579.84</v>
      </c>
      <c r="R246" s="23">
        <f t="shared" si="322"/>
        <v>1075341.8399999999</v>
      </c>
      <c r="S246" s="23">
        <f>R246-M246</f>
        <v>1039968.4399999998</v>
      </c>
      <c r="T246" s="23">
        <f>VLOOKUP(A246,Nosl_līg!A:H,8,0)</f>
        <v>49993880.490000002</v>
      </c>
      <c r="U246" s="23">
        <f>T246-J246</f>
        <v>21919335.730000004</v>
      </c>
      <c r="V246" s="23">
        <f>O246-S246-U246</f>
        <v>8022552.6199999936</v>
      </c>
      <c r="W246" s="23">
        <f>IF(N246&gt;=S246+U246,N246-S246-U246,0)</f>
        <v>8022552.6199999936</v>
      </c>
      <c r="X246" s="23"/>
      <c r="Y246" s="23">
        <f>IF(H246=0,0, IF(T246-E246+R246-M246&lt;0, 0, T246-E246+R246-M246))</f>
        <v>0</v>
      </c>
      <c r="Z246" s="117" t="e">
        <f>VLOOKUP(A246,#REF!,63,FALSE)/F246+#REF!</f>
        <v>#REF!</v>
      </c>
      <c r="AA246" s="880" t="e">
        <f t="shared" si="313"/>
        <v>#DIV/0!</v>
      </c>
    </row>
    <row r="247" spans="1:27" ht="16.5" customHeight="1">
      <c r="A247" s="19" t="s">
        <v>158</v>
      </c>
      <c r="B247" s="20" t="s">
        <v>612</v>
      </c>
      <c r="C247" s="21" t="s">
        <v>142</v>
      </c>
      <c r="D247" s="21" t="s">
        <v>137</v>
      </c>
      <c r="E247" s="22">
        <f>VLOOKUP($A247,publ_fin!$A:$I,8,FALSE)</f>
        <v>0</v>
      </c>
      <c r="F247" s="114">
        <v>1</v>
      </c>
      <c r="G247" s="115"/>
      <c r="H247" s="22">
        <v>0</v>
      </c>
      <c r="I247" s="22">
        <f>F247*H247</f>
        <v>0</v>
      </c>
      <c r="J247" s="117">
        <v>0</v>
      </c>
      <c r="K247" s="117">
        <v>0</v>
      </c>
      <c r="L247" s="117">
        <v>0</v>
      </c>
      <c r="M247" s="23">
        <f t="shared" si="315"/>
        <v>0</v>
      </c>
      <c r="N247" s="54">
        <f>E247-J247</f>
        <v>0</v>
      </c>
      <c r="O247" s="117">
        <f>H247+N247</f>
        <v>0</v>
      </c>
      <c r="P247" s="23">
        <v>0</v>
      </c>
      <c r="Q247" s="23">
        <f>IFERROR(VLOOKUP(A247,lauzti_līg!A:H,8,FALSE),0)</f>
        <v>0</v>
      </c>
      <c r="R247" s="23">
        <f t="shared" si="322"/>
        <v>0</v>
      </c>
      <c r="S247" s="23">
        <f>R247-M247</f>
        <v>0</v>
      </c>
      <c r="T247" s="23">
        <v>0</v>
      </c>
      <c r="U247" s="23">
        <f>T247-J247</f>
        <v>0</v>
      </c>
      <c r="V247" s="23">
        <f>O247-S247-U247</f>
        <v>0</v>
      </c>
      <c r="W247" s="23">
        <f>IF(N247&gt;=S247+U247,N247-S247-U247,0)</f>
        <v>0</v>
      </c>
      <c r="X247" s="23"/>
      <c r="Y247" s="23">
        <f>IF(H247=0,0, IF(T247-E247+R247-M247&lt;0, 0, T247-E247+R247-M247))</f>
        <v>0</v>
      </c>
      <c r="Z247" s="117" t="e">
        <f>VLOOKUP(A247,#REF!,63,FALSE)/F247+#REF!</f>
        <v>#REF!</v>
      </c>
      <c r="AA247" s="880" t="e">
        <f t="shared" si="313"/>
        <v>#DIV/0!</v>
      </c>
    </row>
    <row r="248" spans="1:27" ht="16.5" customHeight="1">
      <c r="A248" s="19" t="s">
        <v>143</v>
      </c>
      <c r="B248" s="20" t="s">
        <v>613</v>
      </c>
      <c r="C248" s="21" t="s">
        <v>142</v>
      </c>
      <c r="D248" s="21" t="s">
        <v>137</v>
      </c>
      <c r="E248" s="22">
        <f>VLOOKUP($A248,publ_fin!$A:$I,8,FALSE)</f>
        <v>20795736.329999998</v>
      </c>
      <c r="F248" s="114">
        <v>1</v>
      </c>
      <c r="G248" s="115"/>
      <c r="H248" s="22">
        <v>0</v>
      </c>
      <c r="I248" s="22">
        <f>F248*H248</f>
        <v>0</v>
      </c>
      <c r="J248" s="117">
        <v>21365499.549999997</v>
      </c>
      <c r="K248" s="117">
        <v>0</v>
      </c>
      <c r="L248" s="117">
        <v>0</v>
      </c>
      <c r="M248" s="23">
        <f t="shared" si="315"/>
        <v>0</v>
      </c>
      <c r="N248" s="54">
        <f>E248-J248</f>
        <v>-569763.21999999881</v>
      </c>
      <c r="O248" s="117">
        <f>H248+N248</f>
        <v>-569763.21999999881</v>
      </c>
      <c r="P248" s="23">
        <v>71118</v>
      </c>
      <c r="Q248" s="23">
        <f>IFERROR(VLOOKUP(A248,lauzti_līg!A:H,8,FALSE),0)</f>
        <v>0</v>
      </c>
      <c r="R248" s="23">
        <f t="shared" si="322"/>
        <v>71118</v>
      </c>
      <c r="S248" s="23">
        <f>R248-M248</f>
        <v>71118</v>
      </c>
      <c r="T248" s="23">
        <f>VLOOKUP(A248,Nosl_līg!A:H,8,0)</f>
        <v>20795735.91</v>
      </c>
      <c r="U248" s="23">
        <f>T248-J248</f>
        <v>-569763.63999999687</v>
      </c>
      <c r="V248" s="23">
        <f>O248-S248-U248</f>
        <v>-71117.580000001937</v>
      </c>
      <c r="W248" s="23">
        <f>IF(N248&gt;=S248+U248,N248-S248-U248,0)</f>
        <v>0</v>
      </c>
      <c r="X248" s="23"/>
      <c r="Y248" s="23">
        <f>IF(H248=0,0, IF(T248-E248+R248-M248&lt;0, 0, T248-E248+R248-M248))</f>
        <v>0</v>
      </c>
      <c r="Z248" s="117" t="e">
        <f>VLOOKUP(A248,#REF!,63,FALSE)/F248+#REF!</f>
        <v>#REF!</v>
      </c>
      <c r="AA248" s="880" t="e">
        <f t="shared" si="313"/>
        <v>#DIV/0!</v>
      </c>
    </row>
    <row r="249" spans="1:27" ht="16.5" customHeight="1">
      <c r="A249" s="19" t="s">
        <v>126</v>
      </c>
      <c r="B249" s="20" t="s">
        <v>614</v>
      </c>
      <c r="C249" s="21" t="s">
        <v>142</v>
      </c>
      <c r="D249" s="21" t="s">
        <v>137</v>
      </c>
      <c r="E249" s="22">
        <f>VLOOKUP($A249,publ_fin!$A:$I,8,FALSE)</f>
        <v>0</v>
      </c>
      <c r="F249" s="114">
        <v>0</v>
      </c>
      <c r="G249" s="115"/>
      <c r="H249" s="22">
        <v>0</v>
      </c>
      <c r="I249" s="22">
        <f>F249*H249</f>
        <v>0</v>
      </c>
      <c r="J249" s="117">
        <v>0</v>
      </c>
      <c r="K249" s="117">
        <v>0</v>
      </c>
      <c r="L249" s="117">
        <v>0</v>
      </c>
      <c r="M249" s="23">
        <f t="shared" si="315"/>
        <v>0</v>
      </c>
      <c r="N249" s="54">
        <f>E249-J249</f>
        <v>0</v>
      </c>
      <c r="O249" s="117">
        <f>H249+N249</f>
        <v>0</v>
      </c>
      <c r="P249" s="23">
        <v>0</v>
      </c>
      <c r="Q249" s="23">
        <f>IFERROR(VLOOKUP(A249,lauzti_līg!A:H,8,FALSE),0)</f>
        <v>0</v>
      </c>
      <c r="R249" s="23">
        <f t="shared" si="322"/>
        <v>0</v>
      </c>
      <c r="S249" s="23">
        <f>R249-M249</f>
        <v>0</v>
      </c>
      <c r="T249" s="23">
        <v>0</v>
      </c>
      <c r="U249" s="23">
        <f>T249-J249</f>
        <v>0</v>
      </c>
      <c r="V249" s="23">
        <f>O249-S249-U249</f>
        <v>0</v>
      </c>
      <c r="W249" s="23">
        <f>IF(N249&gt;=S249+U249,N249-S249-U249,0)</f>
        <v>0</v>
      </c>
      <c r="X249" s="23"/>
      <c r="Y249" s="23">
        <f>IF(H249=0,0, IF(T249-E249+R249-M249&lt;0, 0, T249-E249+R249-M249))</f>
        <v>0</v>
      </c>
      <c r="Z249" s="117">
        <v>0</v>
      </c>
      <c r="AA249" s="880" t="e">
        <f t="shared" si="313"/>
        <v>#DIV/0!</v>
      </c>
    </row>
    <row r="250" spans="1:27" ht="16.5" customHeight="1">
      <c r="A250" s="19" t="s">
        <v>127</v>
      </c>
      <c r="B250" s="20" t="s">
        <v>615</v>
      </c>
      <c r="C250" s="21" t="s">
        <v>142</v>
      </c>
      <c r="D250" s="21" t="s">
        <v>137</v>
      </c>
      <c r="E250" s="22">
        <f>VLOOKUP($A250,publ_fin!$A:$I,8,FALSE)</f>
        <v>0</v>
      </c>
      <c r="F250" s="114">
        <v>0</v>
      </c>
      <c r="G250" s="115"/>
      <c r="H250" s="22">
        <v>0</v>
      </c>
      <c r="I250" s="22">
        <f>F250*H250</f>
        <v>0</v>
      </c>
      <c r="J250" s="117">
        <v>0</v>
      </c>
      <c r="K250" s="117">
        <v>0</v>
      </c>
      <c r="L250" s="117">
        <v>0</v>
      </c>
      <c r="M250" s="23">
        <f t="shared" si="315"/>
        <v>0</v>
      </c>
      <c r="N250" s="54">
        <f>E250-J250</f>
        <v>0</v>
      </c>
      <c r="O250" s="117">
        <f>H250+N250</f>
        <v>0</v>
      </c>
      <c r="P250" s="23">
        <v>0</v>
      </c>
      <c r="Q250" s="23">
        <f>IFERROR(VLOOKUP(A250,lauzti_līg!A:H,8,FALSE),0)</f>
        <v>0</v>
      </c>
      <c r="R250" s="23">
        <f t="shared" si="322"/>
        <v>0</v>
      </c>
      <c r="S250" s="23">
        <f>R250-M250</f>
        <v>0</v>
      </c>
      <c r="T250" s="23">
        <v>0</v>
      </c>
      <c r="U250" s="23">
        <f>T250-J250</f>
        <v>0</v>
      </c>
      <c r="V250" s="23">
        <f>O250-S250-U250</f>
        <v>0</v>
      </c>
      <c r="W250" s="23">
        <f>IF(N250&gt;=S250+U250,N250-S250-U250,0)</f>
        <v>0</v>
      </c>
      <c r="X250" s="23"/>
      <c r="Y250" s="23">
        <f>IF(H250=0,0, IF(T250-E250+R250-M250&lt;0, 0, T250-E250+R250-M250))</f>
        <v>0</v>
      </c>
      <c r="Z250" s="117">
        <v>0</v>
      </c>
      <c r="AA250" s="880" t="e">
        <f t="shared" si="313"/>
        <v>#DIV/0!</v>
      </c>
    </row>
    <row r="251" spans="1:27" ht="16.5" customHeight="1">
      <c r="A251" s="14" t="s">
        <v>128</v>
      </c>
      <c r="B251" s="15" t="s">
        <v>616</v>
      </c>
      <c r="C251" s="16" t="s">
        <v>55</v>
      </c>
      <c r="D251" s="16" t="s">
        <v>131</v>
      </c>
      <c r="E251" s="17">
        <f t="shared" ref="E251:G251" si="369">E252+E255</f>
        <v>192923990.01999998</v>
      </c>
      <c r="F251" s="113"/>
      <c r="G251" s="113">
        <f t="shared" si="369"/>
        <v>0</v>
      </c>
      <c r="H251" s="17">
        <f t="shared" ref="H251:Y251" si="370">H252+H255</f>
        <v>50787563</v>
      </c>
      <c r="I251" s="17">
        <f t="shared" ref="I251:L251" si="371">I252+I255</f>
        <v>50787563</v>
      </c>
      <c r="J251" s="113">
        <f t="shared" si="371"/>
        <v>170478607.62000009</v>
      </c>
      <c r="K251" s="113">
        <f t="shared" si="371"/>
        <v>906171.11</v>
      </c>
      <c r="L251" s="113">
        <f t="shared" si="371"/>
        <v>4791603</v>
      </c>
      <c r="M251" s="17">
        <f t="shared" si="370"/>
        <v>5697774.1100000003</v>
      </c>
      <c r="N251" s="53">
        <f t="shared" si="370"/>
        <v>22445382.39999989</v>
      </c>
      <c r="O251" s="113">
        <f t="shared" si="370"/>
        <v>73232945.399999887</v>
      </c>
      <c r="P251" s="17">
        <v>4057613</v>
      </c>
      <c r="Q251" s="17">
        <f t="shared" si="370"/>
        <v>4791603</v>
      </c>
      <c r="R251" s="17">
        <f t="shared" si="322"/>
        <v>8849216</v>
      </c>
      <c r="S251" s="17">
        <f t="shared" ref="S251:T251" si="372">S252+S255</f>
        <v>3151441.8899999997</v>
      </c>
      <c r="T251" s="17">
        <f t="shared" si="372"/>
        <v>229362975.78999999</v>
      </c>
      <c r="U251" s="17">
        <f t="shared" si="370"/>
        <v>58884368.169999905</v>
      </c>
      <c r="V251" s="17">
        <f t="shared" si="370"/>
        <v>11197135.339999985</v>
      </c>
      <c r="W251" s="17">
        <f t="shared" si="370"/>
        <v>0</v>
      </c>
      <c r="X251" s="17"/>
      <c r="Y251" s="17">
        <f t="shared" si="370"/>
        <v>40500269</v>
      </c>
      <c r="Z251" s="113" t="e">
        <f t="shared" ref="Z251" si="373">Z252+Z255</f>
        <v>#REF!</v>
      </c>
      <c r="AA251" s="879">
        <f t="shared" si="313"/>
        <v>0.79744462241671255</v>
      </c>
    </row>
    <row r="252" spans="1:27" ht="16.5" customHeight="1">
      <c r="A252" s="14" t="s">
        <v>129</v>
      </c>
      <c r="B252" s="15" t="s">
        <v>617</v>
      </c>
      <c r="C252" s="16" t="s">
        <v>55</v>
      </c>
      <c r="D252" s="16" t="s">
        <v>131</v>
      </c>
      <c r="E252" s="17">
        <f t="shared" ref="E252:G252" si="374">E253+E254</f>
        <v>184862251.13999999</v>
      </c>
      <c r="F252" s="113"/>
      <c r="G252" s="113">
        <f t="shared" si="374"/>
        <v>0</v>
      </c>
      <c r="H252" s="17">
        <f t="shared" ref="H252:Y252" si="375">H253+H254</f>
        <v>29935543</v>
      </c>
      <c r="I252" s="17">
        <f t="shared" ref="I252:L252" si="376">I253+I254</f>
        <v>29935543</v>
      </c>
      <c r="J252" s="113">
        <f t="shared" si="376"/>
        <v>169541681.62000009</v>
      </c>
      <c r="K252" s="113">
        <f t="shared" si="376"/>
        <v>906171.11</v>
      </c>
      <c r="L252" s="113">
        <f t="shared" si="376"/>
        <v>4791603</v>
      </c>
      <c r="M252" s="17">
        <f t="shared" si="375"/>
        <v>5697774.1100000003</v>
      </c>
      <c r="N252" s="53">
        <f t="shared" si="375"/>
        <v>15320569.519999892</v>
      </c>
      <c r="O252" s="113">
        <f t="shared" si="375"/>
        <v>45256112.519999892</v>
      </c>
      <c r="P252" s="17">
        <v>4012059</v>
      </c>
      <c r="Q252" s="17">
        <f t="shared" si="375"/>
        <v>4791603</v>
      </c>
      <c r="R252" s="17">
        <f t="shared" si="322"/>
        <v>8803662</v>
      </c>
      <c r="S252" s="17">
        <f t="shared" ref="S252:T252" si="377">S253+S254</f>
        <v>3105887.8899999997</v>
      </c>
      <c r="T252" s="17">
        <f t="shared" si="377"/>
        <v>204841733.44</v>
      </c>
      <c r="U252" s="17">
        <f t="shared" si="375"/>
        <v>35300051.819999903</v>
      </c>
      <c r="V252" s="17">
        <f t="shared" si="375"/>
        <v>6850172.8099999875</v>
      </c>
      <c r="W252" s="17">
        <f t="shared" si="375"/>
        <v>0</v>
      </c>
      <c r="X252" s="17"/>
      <c r="Y252" s="17">
        <f t="shared" si="375"/>
        <v>22624498</v>
      </c>
      <c r="Z252" s="113" t="e">
        <f t="shared" ref="Z252" si="378">Z253+Z254</f>
        <v>#REF!</v>
      </c>
      <c r="AA252" s="879">
        <f t="shared" si="313"/>
        <v>0.7557737636494517</v>
      </c>
    </row>
    <row r="253" spans="1:27" ht="16.5" customHeight="1">
      <c r="A253" s="19" t="s">
        <v>377</v>
      </c>
      <c r="B253" s="20" t="s">
        <v>618</v>
      </c>
      <c r="C253" s="21" t="s">
        <v>55</v>
      </c>
      <c r="D253" s="21" t="s">
        <v>628</v>
      </c>
      <c r="E253" s="22">
        <f>VLOOKUP($A253,publ_fin!$A:$I,8,FALSE)</f>
        <v>177834211.13999999</v>
      </c>
      <c r="F253" s="114">
        <v>1</v>
      </c>
      <c r="G253" s="115"/>
      <c r="H253" s="22">
        <v>29935543</v>
      </c>
      <c r="I253" s="22">
        <f>F253*H253</f>
        <v>29935543</v>
      </c>
      <c r="J253" s="117">
        <v>162513641.62000009</v>
      </c>
      <c r="K253" s="117">
        <v>906171.11</v>
      </c>
      <c r="L253" s="117">
        <v>4791603</v>
      </c>
      <c r="M253" s="23">
        <f t="shared" si="315"/>
        <v>5697774.1100000003</v>
      </c>
      <c r="N253" s="54">
        <f>E253-J253</f>
        <v>15320569.519999892</v>
      </c>
      <c r="O253" s="117">
        <f>H253+N253</f>
        <v>45256112.519999892</v>
      </c>
      <c r="P253" s="23">
        <v>4004677</v>
      </c>
      <c r="Q253" s="23">
        <f>IFERROR(VLOOKUP(A253,lauzti_līg!A:H,8,FALSE),0)</f>
        <v>4791603</v>
      </c>
      <c r="R253" s="23">
        <f t="shared" si="322"/>
        <v>8796280</v>
      </c>
      <c r="S253" s="23">
        <f>R253-M253</f>
        <v>3098505.8899999997</v>
      </c>
      <c r="T253" s="23">
        <f>VLOOKUP(A253,Nosl_līg!A:H,8,0)</f>
        <v>197813693.44</v>
      </c>
      <c r="U253" s="23">
        <f>T253-J253</f>
        <v>35300051.819999903</v>
      </c>
      <c r="V253" s="23">
        <f>O253-S253-U253</f>
        <v>6857554.8099999875</v>
      </c>
      <c r="W253" s="23">
        <f>IF(N253&gt;=S253+U253,N253-S253-U253,0)</f>
        <v>0</v>
      </c>
      <c r="X253" s="23"/>
      <c r="Y253" s="18">
        <v>22624498</v>
      </c>
      <c r="Z253" s="117" t="e">
        <f>VLOOKUP(A253,#REF!,63,FALSE)/F253+#REF!</f>
        <v>#REF!</v>
      </c>
      <c r="AA253" s="880">
        <f t="shared" si="313"/>
        <v>0.7557737636494517</v>
      </c>
    </row>
    <row r="254" spans="1:27" ht="16.5" customHeight="1">
      <c r="A254" s="19" t="s">
        <v>130</v>
      </c>
      <c r="B254" s="20" t="s">
        <v>636</v>
      </c>
      <c r="C254" s="21" t="s">
        <v>55</v>
      </c>
      <c r="D254" s="21" t="s">
        <v>628</v>
      </c>
      <c r="E254" s="22">
        <f>VLOOKUP($A254,publ_fin!$A:$I,8,FALSE)</f>
        <v>7028040</v>
      </c>
      <c r="F254" s="114">
        <v>1</v>
      </c>
      <c r="G254" s="115"/>
      <c r="H254" s="22">
        <v>0</v>
      </c>
      <c r="I254" s="22">
        <f>F254*H254</f>
        <v>0</v>
      </c>
      <c r="J254" s="117">
        <v>7028040</v>
      </c>
      <c r="K254" s="117">
        <v>0</v>
      </c>
      <c r="L254" s="117">
        <v>0</v>
      </c>
      <c r="M254" s="23">
        <f t="shared" si="315"/>
        <v>0</v>
      </c>
      <c r="N254" s="54">
        <f>E254-J254</f>
        <v>0</v>
      </c>
      <c r="O254" s="117">
        <f>H254+N254</f>
        <v>0</v>
      </c>
      <c r="P254" s="23">
        <v>7382</v>
      </c>
      <c r="Q254" s="23">
        <f>IFERROR(VLOOKUP(A254,lauzti_līg!A:H,8,FALSE),0)</f>
        <v>0</v>
      </c>
      <c r="R254" s="23">
        <f t="shared" si="322"/>
        <v>7382</v>
      </c>
      <c r="S254" s="23">
        <f>R254-M254</f>
        <v>7382</v>
      </c>
      <c r="T254" s="23">
        <f>VLOOKUP(A254,Nosl_līg!A:H,8,0)</f>
        <v>7028040</v>
      </c>
      <c r="U254" s="23">
        <f>T254-J254</f>
        <v>0</v>
      </c>
      <c r="V254" s="23">
        <f>O254-S254-U254</f>
        <v>-7382</v>
      </c>
      <c r="W254" s="23">
        <f>IF(N254&gt;=S254+U254,N254-S254-U254,0)</f>
        <v>0</v>
      </c>
      <c r="X254" s="23"/>
      <c r="Y254" s="23">
        <f>IF(H254=0,0, IF(T254-E254+R254-M254&lt;0, 0, T254-E254+R254-M254))</f>
        <v>0</v>
      </c>
      <c r="Z254" s="117" t="e">
        <f>VLOOKUP(A254,#REF!,63,FALSE)/F254+#REF!</f>
        <v>#REF!</v>
      </c>
      <c r="AA254" s="880" t="e">
        <f t="shared" si="313"/>
        <v>#DIV/0!</v>
      </c>
    </row>
    <row r="255" spans="1:27" ht="16.5" customHeight="1">
      <c r="A255" s="14" t="s">
        <v>132</v>
      </c>
      <c r="B255" s="15" t="s">
        <v>619</v>
      </c>
      <c r="C255" s="16" t="s">
        <v>55</v>
      </c>
      <c r="D255" s="16" t="s">
        <v>134</v>
      </c>
      <c r="E255" s="17">
        <f t="shared" ref="E255:Z255" si="379">E256</f>
        <v>8061738.8799999999</v>
      </c>
      <c r="F255" s="113"/>
      <c r="G255" s="113">
        <f t="shared" si="379"/>
        <v>0</v>
      </c>
      <c r="H255" s="17">
        <f t="shared" si="379"/>
        <v>20852020</v>
      </c>
      <c r="I255" s="17">
        <f t="shared" si="379"/>
        <v>20852020</v>
      </c>
      <c r="J255" s="113">
        <f t="shared" si="379"/>
        <v>936926</v>
      </c>
      <c r="K255" s="113">
        <f t="shared" si="379"/>
        <v>0</v>
      </c>
      <c r="L255" s="113">
        <f t="shared" si="379"/>
        <v>0</v>
      </c>
      <c r="M255" s="17">
        <f t="shared" si="379"/>
        <v>0</v>
      </c>
      <c r="N255" s="53">
        <f t="shared" si="379"/>
        <v>7124812.8799999999</v>
      </c>
      <c r="O255" s="113">
        <f t="shared" si="379"/>
        <v>27976832.879999999</v>
      </c>
      <c r="P255" s="17">
        <v>45554</v>
      </c>
      <c r="Q255" s="17">
        <f t="shared" si="379"/>
        <v>0</v>
      </c>
      <c r="R255" s="17">
        <f t="shared" si="322"/>
        <v>45554</v>
      </c>
      <c r="S255" s="17">
        <f t="shared" si="379"/>
        <v>45554</v>
      </c>
      <c r="T255" s="17">
        <f t="shared" si="379"/>
        <v>24521242.350000001</v>
      </c>
      <c r="U255" s="17">
        <f t="shared" si="379"/>
        <v>23584316.350000001</v>
      </c>
      <c r="V255" s="17">
        <f t="shared" si="379"/>
        <v>4346962.5299999975</v>
      </c>
      <c r="W255" s="17">
        <f t="shared" si="379"/>
        <v>0</v>
      </c>
      <c r="X255" s="17"/>
      <c r="Y255" s="17">
        <f t="shared" si="379"/>
        <v>17875771</v>
      </c>
      <c r="Z255" s="113" t="e">
        <f t="shared" si="379"/>
        <v>#REF!</v>
      </c>
      <c r="AA255" s="879">
        <f t="shared" si="313"/>
        <v>0.85726807282939499</v>
      </c>
    </row>
    <row r="256" spans="1:27" ht="16.5" customHeight="1">
      <c r="A256" s="19" t="s">
        <v>133</v>
      </c>
      <c r="B256" s="20" t="s">
        <v>620</v>
      </c>
      <c r="C256" s="21" t="s">
        <v>55</v>
      </c>
      <c r="D256" s="21" t="s">
        <v>628</v>
      </c>
      <c r="E256" s="22">
        <f>VLOOKUP($A256,publ_fin!$A:$I,8,FALSE)</f>
        <v>8061738.8799999999</v>
      </c>
      <c r="F256" s="114">
        <v>1</v>
      </c>
      <c r="G256" s="115"/>
      <c r="H256" s="22">
        <v>20852020</v>
      </c>
      <c r="I256" s="22">
        <f>F256*H256</f>
        <v>20852020</v>
      </c>
      <c r="J256" s="117">
        <v>936926</v>
      </c>
      <c r="K256" s="117">
        <v>0</v>
      </c>
      <c r="L256" s="117">
        <v>0</v>
      </c>
      <c r="M256" s="23">
        <f t="shared" si="315"/>
        <v>0</v>
      </c>
      <c r="N256" s="54">
        <f>E256-J256</f>
        <v>7124812.8799999999</v>
      </c>
      <c r="O256" s="117">
        <f>H256+N256</f>
        <v>27976832.879999999</v>
      </c>
      <c r="P256" s="23">
        <v>45554</v>
      </c>
      <c r="Q256" s="23">
        <f>IFERROR(VLOOKUP(A256,lauzti_līg!A:H,8,FALSE),0)</f>
        <v>0</v>
      </c>
      <c r="R256" s="23">
        <f t="shared" si="322"/>
        <v>45554</v>
      </c>
      <c r="S256" s="23">
        <f>R256-M256</f>
        <v>45554</v>
      </c>
      <c r="T256" s="23">
        <f>VLOOKUP(A256,Nosl_līg!A:H,8,0)</f>
        <v>24521242.350000001</v>
      </c>
      <c r="U256" s="23">
        <f>T256-J256</f>
        <v>23584316.350000001</v>
      </c>
      <c r="V256" s="23">
        <f>O256-S256-U256</f>
        <v>4346962.5299999975</v>
      </c>
      <c r="W256" s="23">
        <f>IF(N256&gt;=S256+U256,N256-S256-U256,0)</f>
        <v>0</v>
      </c>
      <c r="X256" s="23"/>
      <c r="Y256" s="23">
        <v>17875771</v>
      </c>
      <c r="Z256" s="117" t="e">
        <f>VLOOKUP(A256,#REF!,63,FALSE)/F256+#REF!</f>
        <v>#REF!</v>
      </c>
      <c r="AA256" s="880">
        <f t="shared" si="313"/>
        <v>0.85726807282939499</v>
      </c>
    </row>
    <row r="257" spans="1:27" ht="16.5" customHeight="1">
      <c r="A257" s="14" t="s">
        <v>192</v>
      </c>
      <c r="B257" s="15" t="s">
        <v>621</v>
      </c>
      <c r="C257" s="16" t="s">
        <v>55</v>
      </c>
      <c r="D257" s="16"/>
      <c r="E257" s="17">
        <f t="shared" ref="E257:T258" si="380">E258</f>
        <v>40488570.07</v>
      </c>
      <c r="F257" s="113"/>
      <c r="G257" s="113">
        <f t="shared" si="380"/>
        <v>0</v>
      </c>
      <c r="H257" s="17">
        <f t="shared" si="380"/>
        <v>0</v>
      </c>
      <c r="I257" s="17">
        <f t="shared" si="380"/>
        <v>0</v>
      </c>
      <c r="J257" s="113">
        <f t="shared" si="380"/>
        <v>35650701.710000001</v>
      </c>
      <c r="K257" s="113">
        <f t="shared" si="380"/>
        <v>89659.22</v>
      </c>
      <c r="L257" s="113">
        <f t="shared" si="380"/>
        <v>0</v>
      </c>
      <c r="M257" s="17">
        <f>M258</f>
        <v>89659.22</v>
      </c>
      <c r="N257" s="53">
        <f t="shared" si="380"/>
        <v>4837868.3599999994</v>
      </c>
      <c r="O257" s="113">
        <f t="shared" si="380"/>
        <v>4837868.3599999994</v>
      </c>
      <c r="P257" s="17">
        <v>91204</v>
      </c>
      <c r="Q257" s="17">
        <f t="shared" si="380"/>
        <v>0</v>
      </c>
      <c r="R257" s="17">
        <f t="shared" si="322"/>
        <v>91204</v>
      </c>
      <c r="S257" s="17">
        <f t="shared" si="380"/>
        <v>1544.7799999999988</v>
      </c>
      <c r="T257" s="17">
        <f t="shared" si="380"/>
        <v>40322109.299999997</v>
      </c>
      <c r="U257" s="17">
        <f t="shared" ref="H257:Z258" si="381">U258</f>
        <v>4671407.5899999961</v>
      </c>
      <c r="V257" s="17">
        <f t="shared" si="381"/>
        <v>164915.99000000302</v>
      </c>
      <c r="W257" s="17">
        <f t="shared" si="381"/>
        <v>164915.99000000302</v>
      </c>
      <c r="X257" s="17"/>
      <c r="Y257" s="17">
        <f t="shared" si="381"/>
        <v>0</v>
      </c>
      <c r="Z257" s="113" t="e">
        <f t="shared" si="381"/>
        <v>#REF!</v>
      </c>
      <c r="AA257" s="879" t="e">
        <f t="shared" si="313"/>
        <v>#DIV/0!</v>
      </c>
    </row>
    <row r="258" spans="1:27" ht="16.5" customHeight="1">
      <c r="A258" s="14" t="s">
        <v>153</v>
      </c>
      <c r="B258" s="15" t="s">
        <v>622</v>
      </c>
      <c r="C258" s="16" t="s">
        <v>55</v>
      </c>
      <c r="D258" s="16" t="s">
        <v>131</v>
      </c>
      <c r="E258" s="17">
        <f t="shared" si="380"/>
        <v>40488570.07</v>
      </c>
      <c r="F258" s="113"/>
      <c r="G258" s="113">
        <f t="shared" si="380"/>
        <v>0</v>
      </c>
      <c r="H258" s="17">
        <f t="shared" si="381"/>
        <v>0</v>
      </c>
      <c r="I258" s="17">
        <f t="shared" si="381"/>
        <v>0</v>
      </c>
      <c r="J258" s="113">
        <f t="shared" si="381"/>
        <v>35650701.710000001</v>
      </c>
      <c r="K258" s="113">
        <f t="shared" si="381"/>
        <v>89659.22</v>
      </c>
      <c r="L258" s="113">
        <f t="shared" si="381"/>
        <v>0</v>
      </c>
      <c r="M258" s="17">
        <f t="shared" si="381"/>
        <v>89659.22</v>
      </c>
      <c r="N258" s="53">
        <f t="shared" si="381"/>
        <v>4837868.3599999994</v>
      </c>
      <c r="O258" s="113">
        <f t="shared" si="381"/>
        <v>4837868.3599999994</v>
      </c>
      <c r="P258" s="17">
        <v>91204</v>
      </c>
      <c r="Q258" s="17">
        <f t="shared" si="381"/>
        <v>0</v>
      </c>
      <c r="R258" s="17">
        <f t="shared" si="322"/>
        <v>91204</v>
      </c>
      <c r="S258" s="17">
        <f t="shared" si="381"/>
        <v>1544.7799999999988</v>
      </c>
      <c r="T258" s="17">
        <f t="shared" si="381"/>
        <v>40322109.299999997</v>
      </c>
      <c r="U258" s="17">
        <f t="shared" si="381"/>
        <v>4671407.5899999961</v>
      </c>
      <c r="V258" s="17">
        <f t="shared" si="381"/>
        <v>164915.99000000302</v>
      </c>
      <c r="W258" s="17">
        <f t="shared" si="381"/>
        <v>164915.99000000302</v>
      </c>
      <c r="X258" s="17"/>
      <c r="Y258" s="17">
        <f t="shared" si="381"/>
        <v>0</v>
      </c>
      <c r="Z258" s="113" t="e">
        <f t="shared" ref="Z258" si="382">Z259</f>
        <v>#REF!</v>
      </c>
      <c r="AA258" s="879" t="e">
        <f t="shared" si="313"/>
        <v>#DIV/0!</v>
      </c>
    </row>
    <row r="259" spans="1:27" ht="16.5" customHeight="1">
      <c r="A259" s="19" t="s">
        <v>193</v>
      </c>
      <c r="B259" s="20" t="s">
        <v>491</v>
      </c>
      <c r="C259" s="21" t="s">
        <v>55</v>
      </c>
      <c r="D259" s="21" t="s">
        <v>139</v>
      </c>
      <c r="E259" s="22">
        <f>VLOOKUP($A259,publ_fin!$A:$I,8,FALSE)</f>
        <v>40488570.07</v>
      </c>
      <c r="F259" s="114">
        <v>1</v>
      </c>
      <c r="G259" s="115"/>
      <c r="H259" s="22">
        <v>0</v>
      </c>
      <c r="I259" s="22">
        <f>F259*H259</f>
        <v>0</v>
      </c>
      <c r="J259" s="117">
        <v>35650701.710000001</v>
      </c>
      <c r="K259" s="117">
        <v>89659.22</v>
      </c>
      <c r="L259" s="117">
        <v>0</v>
      </c>
      <c r="M259" s="23">
        <f t="shared" si="315"/>
        <v>89659.22</v>
      </c>
      <c r="N259" s="54">
        <f>E259-J259</f>
        <v>4837868.3599999994</v>
      </c>
      <c r="O259" s="117">
        <f>H259+N259</f>
        <v>4837868.3599999994</v>
      </c>
      <c r="P259" s="23">
        <v>91204</v>
      </c>
      <c r="Q259" s="23">
        <f>IFERROR(VLOOKUP(A259,lauzti_līg!A:H,8,FALSE),0)</f>
        <v>0</v>
      </c>
      <c r="R259" s="23">
        <f t="shared" si="322"/>
        <v>91204</v>
      </c>
      <c r="S259" s="23">
        <f>R259-M259</f>
        <v>1544.7799999999988</v>
      </c>
      <c r="T259" s="23">
        <f>VLOOKUP(A259,Nosl_līg!A:H,8,0)</f>
        <v>40322109.299999997</v>
      </c>
      <c r="U259" s="23">
        <f>T259-J259</f>
        <v>4671407.5899999961</v>
      </c>
      <c r="V259" s="23">
        <f>O259-S259-U259</f>
        <v>164915.99000000302</v>
      </c>
      <c r="W259" s="23">
        <f>IF(N259&gt;=S259+U259,N259-S259-U259,0)</f>
        <v>164915.99000000302</v>
      </c>
      <c r="X259" s="23"/>
      <c r="Y259" s="23">
        <f>IF(H259=0,0, IF(T259-E259+R259-M259&lt;0, 0, T259-E259+R259-M259))</f>
        <v>0</v>
      </c>
      <c r="Z259" s="117" t="e">
        <f>VLOOKUP(A259,#REF!,63,FALSE)/F259+#REF!</f>
        <v>#REF!</v>
      </c>
      <c r="AA259" s="880" t="e">
        <f t="shared" si="313"/>
        <v>#DIV/0!</v>
      </c>
    </row>
    <row r="260" spans="1:27" ht="16.5" customHeight="1">
      <c r="A260" s="14" t="s">
        <v>194</v>
      </c>
      <c r="B260" s="15" t="s">
        <v>623</v>
      </c>
      <c r="C260" s="16" t="s">
        <v>142</v>
      </c>
      <c r="D260" s="16"/>
      <c r="E260" s="17">
        <f t="shared" ref="E260:T261" si="383">E261</f>
        <v>8574208.8000000007</v>
      </c>
      <c r="F260" s="113"/>
      <c r="G260" s="113">
        <f t="shared" si="383"/>
        <v>0</v>
      </c>
      <c r="H260" s="17">
        <f t="shared" si="383"/>
        <v>0</v>
      </c>
      <c r="I260" s="17">
        <f t="shared" si="383"/>
        <v>0</v>
      </c>
      <c r="J260" s="113">
        <f t="shared" si="383"/>
        <v>6390749.25</v>
      </c>
      <c r="K260" s="113">
        <f t="shared" si="383"/>
        <v>6069.07</v>
      </c>
      <c r="L260" s="113">
        <f t="shared" si="383"/>
        <v>0</v>
      </c>
      <c r="M260" s="17">
        <f t="shared" si="383"/>
        <v>6069.07</v>
      </c>
      <c r="N260" s="53">
        <f t="shared" si="383"/>
        <v>2183459.5500000007</v>
      </c>
      <c r="O260" s="113">
        <f t="shared" si="383"/>
        <v>2183459.5500000007</v>
      </c>
      <c r="P260" s="17">
        <v>6274</v>
      </c>
      <c r="Q260" s="17">
        <f t="shared" si="383"/>
        <v>0</v>
      </c>
      <c r="R260" s="17">
        <f t="shared" si="322"/>
        <v>6274</v>
      </c>
      <c r="S260" s="17">
        <f t="shared" si="383"/>
        <v>204.93000000000029</v>
      </c>
      <c r="T260" s="17">
        <f t="shared" si="383"/>
        <v>7696477.6200000001</v>
      </c>
      <c r="U260" s="17">
        <f t="shared" ref="H260:Z261" si="384">U261</f>
        <v>1305728.3700000001</v>
      </c>
      <c r="V260" s="17">
        <f t="shared" si="384"/>
        <v>877526.25000000047</v>
      </c>
      <c r="W260" s="17">
        <f t="shared" si="384"/>
        <v>877526.25000000047</v>
      </c>
      <c r="X260" s="17"/>
      <c r="Y260" s="17">
        <f t="shared" si="384"/>
        <v>0</v>
      </c>
      <c r="Z260" s="113" t="e">
        <f t="shared" si="384"/>
        <v>#REF!</v>
      </c>
      <c r="AA260" s="879" t="e">
        <f t="shared" si="313"/>
        <v>#DIV/0!</v>
      </c>
    </row>
    <row r="261" spans="1:27" ht="16.5" customHeight="1">
      <c r="A261" s="14" t="s">
        <v>152</v>
      </c>
      <c r="B261" s="15" t="s">
        <v>624</v>
      </c>
      <c r="C261" s="16" t="s">
        <v>142</v>
      </c>
      <c r="D261" s="16" t="s">
        <v>131</v>
      </c>
      <c r="E261" s="17">
        <f t="shared" si="383"/>
        <v>8574208.8000000007</v>
      </c>
      <c r="F261" s="113"/>
      <c r="G261" s="113">
        <f t="shared" si="383"/>
        <v>0</v>
      </c>
      <c r="H261" s="17">
        <f t="shared" si="384"/>
        <v>0</v>
      </c>
      <c r="I261" s="17">
        <f t="shared" si="384"/>
        <v>0</v>
      </c>
      <c r="J261" s="113">
        <f t="shared" si="384"/>
        <v>6390749.25</v>
      </c>
      <c r="K261" s="113">
        <f t="shared" si="384"/>
        <v>6069.07</v>
      </c>
      <c r="L261" s="113">
        <f t="shared" si="384"/>
        <v>0</v>
      </c>
      <c r="M261" s="17">
        <f t="shared" si="384"/>
        <v>6069.07</v>
      </c>
      <c r="N261" s="53">
        <f t="shared" si="384"/>
        <v>2183459.5500000007</v>
      </c>
      <c r="O261" s="113">
        <f t="shared" si="384"/>
        <v>2183459.5500000007</v>
      </c>
      <c r="P261" s="17">
        <v>6274</v>
      </c>
      <c r="Q261" s="17">
        <f t="shared" si="384"/>
        <v>0</v>
      </c>
      <c r="R261" s="17">
        <f t="shared" si="322"/>
        <v>6274</v>
      </c>
      <c r="S261" s="17">
        <f t="shared" si="384"/>
        <v>204.93000000000029</v>
      </c>
      <c r="T261" s="17">
        <f t="shared" si="384"/>
        <v>7696477.6200000001</v>
      </c>
      <c r="U261" s="17">
        <f t="shared" si="384"/>
        <v>1305728.3700000001</v>
      </c>
      <c r="V261" s="17">
        <f t="shared" si="384"/>
        <v>877526.25000000047</v>
      </c>
      <c r="W261" s="17">
        <f t="shared" si="384"/>
        <v>877526.25000000047</v>
      </c>
      <c r="X261" s="17"/>
      <c r="Y261" s="17">
        <f t="shared" si="384"/>
        <v>0</v>
      </c>
      <c r="Z261" s="113" t="e">
        <f t="shared" ref="Z261" si="385">Z262</f>
        <v>#REF!</v>
      </c>
      <c r="AA261" s="879" t="e">
        <f t="shared" si="313"/>
        <v>#DIV/0!</v>
      </c>
    </row>
    <row r="262" spans="1:27" ht="16.5" customHeight="1">
      <c r="A262" s="19" t="s">
        <v>195</v>
      </c>
      <c r="B262" s="20" t="s">
        <v>491</v>
      </c>
      <c r="C262" s="21" t="s">
        <v>142</v>
      </c>
      <c r="D262" s="21" t="s">
        <v>139</v>
      </c>
      <c r="E262" s="22">
        <f>VLOOKUP($A262,publ_fin!$A:$I,8,FALSE)</f>
        <v>8574208.8000000007</v>
      </c>
      <c r="F262" s="114">
        <v>1</v>
      </c>
      <c r="G262" s="115"/>
      <c r="H262" s="22">
        <v>0</v>
      </c>
      <c r="I262" s="22">
        <f>F262*H262</f>
        <v>0</v>
      </c>
      <c r="J262" s="117">
        <v>6390749.25</v>
      </c>
      <c r="K262" s="117">
        <v>6069.07</v>
      </c>
      <c r="L262" s="117">
        <v>0</v>
      </c>
      <c r="M262" s="23">
        <f t="shared" si="315"/>
        <v>6069.07</v>
      </c>
      <c r="N262" s="54">
        <f>E262-J262</f>
        <v>2183459.5500000007</v>
      </c>
      <c r="O262" s="117">
        <f>H262+N262</f>
        <v>2183459.5500000007</v>
      </c>
      <c r="P262" s="23">
        <v>6274</v>
      </c>
      <c r="Q262" s="23">
        <f>IFERROR(VLOOKUP(A262,lauzti_līg!A:H,8,FALSE),0)</f>
        <v>0</v>
      </c>
      <c r="R262" s="23">
        <f t="shared" si="322"/>
        <v>6274</v>
      </c>
      <c r="S262" s="23">
        <f>R262-M262</f>
        <v>204.93000000000029</v>
      </c>
      <c r="T262" s="23">
        <f>VLOOKUP(A262,Nosl_līg!A:H,8,0)</f>
        <v>7696477.6200000001</v>
      </c>
      <c r="U262" s="23">
        <f>T262-J262</f>
        <v>1305728.3700000001</v>
      </c>
      <c r="V262" s="23">
        <f>O262-S262-U262</f>
        <v>877526.25000000047</v>
      </c>
      <c r="W262" s="23">
        <f>IF(N262&gt;=S262+U262,N262-S262-U262,0)</f>
        <v>877526.25000000047</v>
      </c>
      <c r="X262" s="23"/>
      <c r="Y262" s="23">
        <f>IF(H262=0,0, IF(T262-E262+R262-M262&lt;0, 0, T262-E262+R262-M262))</f>
        <v>0</v>
      </c>
      <c r="Z262" s="117" t="e">
        <f>VLOOKUP(A262,#REF!,63,FALSE)/F262+#REF!</f>
        <v>#REF!</v>
      </c>
      <c r="AA262" s="880" t="e">
        <f t="shared" si="313"/>
        <v>#DIV/0!</v>
      </c>
    </row>
    <row r="263" spans="1:27" ht="15" customHeight="1">
      <c r="A263"/>
      <c r="B263"/>
      <c r="C263"/>
    </row>
  </sheetData>
  <sheetProtection formatCells="0"/>
  <protectedRanges>
    <protectedRange sqref="A264:XFD418" name="footnote"/>
    <protectedRange sqref="B7:B262" name="Aktivitātes nosaukums"/>
  </protectedRanges>
  <autoFilter ref="A16:AB262"/>
  <pageMargins left="0.70866141732283472" right="0.70866141732283472" top="0.74803149606299213" bottom="0.74803149606299213" header="0.31496062992125984" footer="0.31496062992125984"/>
  <pageSetup paperSize="9" scale="70" fitToHeight="0" orientation="landscape" r:id="rId1"/>
  <headerFooter>
    <oddFooter>&amp;R&amp;P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112"/>
  <sheetViews>
    <sheetView showGridLines="0" zoomScale="110" zoomScaleNormal="110" workbookViewId="0">
      <selection activeCell="L28" sqref="L28"/>
    </sheetView>
  </sheetViews>
  <sheetFormatPr defaultRowHeight="12.75"/>
  <cols>
    <col min="1" max="1" width="13" style="32" customWidth="1"/>
    <col min="2" max="2" width="47.5703125" style="32" customWidth="1"/>
    <col min="3" max="3" width="17.28515625" style="32" hidden="1" customWidth="1"/>
    <col min="4" max="4" width="12.28515625" style="32" bestFit="1" customWidth="1"/>
    <col min="5" max="5" width="12" style="32" customWidth="1"/>
    <col min="6" max="7" width="11.85546875" style="32" customWidth="1"/>
    <col min="8" max="8" width="12.28515625" style="32" bestFit="1" customWidth="1"/>
    <col min="9" max="9" width="26.28515625" style="32" customWidth="1"/>
    <col min="10" max="16384" width="9.140625" style="32"/>
  </cols>
  <sheetData>
    <row r="1" spans="1:9" ht="22.5" customHeight="1">
      <c r="A1" s="1036" t="s">
        <v>705</v>
      </c>
      <c r="B1" s="1036"/>
      <c r="C1" s="1036"/>
      <c r="D1" s="1036"/>
      <c r="E1" s="1036"/>
      <c r="F1" s="1036"/>
      <c r="G1" s="1036"/>
      <c r="H1" s="1036"/>
      <c r="I1" s="1036"/>
    </row>
    <row r="2" spans="1:9" ht="10.5" customHeight="1">
      <c r="A2" s="85"/>
      <c r="B2" s="85"/>
      <c r="C2" s="85"/>
      <c r="D2" s="85"/>
      <c r="E2" s="85"/>
      <c r="F2" s="85"/>
      <c r="G2" s="85"/>
      <c r="H2" s="85"/>
      <c r="I2" s="85"/>
    </row>
    <row r="3" spans="1:9">
      <c r="A3" s="1037" t="s">
        <v>645</v>
      </c>
      <c r="B3" s="1037"/>
      <c r="C3" s="1037"/>
      <c r="D3" s="1037"/>
      <c r="E3" s="1037"/>
      <c r="F3" s="1037"/>
      <c r="G3" s="1037"/>
      <c r="H3" s="1037"/>
      <c r="I3" s="1037"/>
    </row>
    <row r="4" spans="1:9" ht="31.5" customHeight="1">
      <c r="A4" s="1037" t="s">
        <v>669</v>
      </c>
      <c r="B4" s="1037"/>
      <c r="C4" s="1037"/>
      <c r="D4" s="1037"/>
      <c r="E4" s="1037"/>
      <c r="F4" s="1037"/>
      <c r="G4" s="1037"/>
      <c r="H4" s="1037"/>
      <c r="I4" s="1037"/>
    </row>
    <row r="5" spans="1:9">
      <c r="A5" s="1037" t="s">
        <v>646</v>
      </c>
      <c r="B5" s="1037"/>
      <c r="C5" s="1037"/>
      <c r="D5" s="1037"/>
      <c r="E5" s="1037"/>
      <c r="F5" s="1037"/>
      <c r="G5" s="1037"/>
      <c r="H5" s="1037"/>
      <c r="I5" s="1037"/>
    </row>
    <row r="6" spans="1:9" ht="12.75" customHeight="1">
      <c r="A6" s="1037" t="s">
        <v>733</v>
      </c>
      <c r="B6" s="1037"/>
      <c r="C6" s="1037"/>
      <c r="D6" s="1037"/>
      <c r="E6" s="1037"/>
      <c r="F6" s="1037"/>
      <c r="G6" s="1037"/>
      <c r="H6" s="1037"/>
      <c r="I6" s="1037"/>
    </row>
    <row r="8" spans="1:9" ht="12.75" customHeight="1">
      <c r="A8" s="1038" t="s">
        <v>389</v>
      </c>
      <c r="B8" s="1038" t="s">
        <v>390</v>
      </c>
      <c r="C8" s="86" t="s">
        <v>667</v>
      </c>
      <c r="D8" s="1040" t="s">
        <v>391</v>
      </c>
      <c r="E8" s="1041"/>
      <c r="F8" s="1041"/>
      <c r="G8" s="1041"/>
      <c r="H8" s="1042"/>
      <c r="I8" s="85"/>
    </row>
    <row r="9" spans="1:9" ht="48">
      <c r="A9" s="1039"/>
      <c r="B9" s="1039"/>
      <c r="C9" s="87" t="s">
        <v>668</v>
      </c>
      <c r="D9" s="88" t="s">
        <v>649</v>
      </c>
      <c r="E9" s="88" t="s">
        <v>650</v>
      </c>
      <c r="F9" s="88" t="s">
        <v>652</v>
      </c>
      <c r="G9" s="88" t="s">
        <v>651</v>
      </c>
      <c r="H9" s="89" t="s">
        <v>647</v>
      </c>
      <c r="I9" s="85"/>
    </row>
    <row r="10" spans="1:9">
      <c r="A10" s="92" t="s">
        <v>170</v>
      </c>
      <c r="B10" s="1045" t="s">
        <v>224</v>
      </c>
      <c r="C10" s="1046"/>
      <c r="D10" s="42"/>
      <c r="E10" s="93">
        <v>116576.91</v>
      </c>
      <c r="F10" s="42"/>
      <c r="G10" s="93">
        <v>20573.240000000002</v>
      </c>
      <c r="H10" s="94">
        <v>137150.15</v>
      </c>
      <c r="I10" s="85"/>
    </row>
    <row r="11" spans="1:9">
      <c r="A11" s="92" t="s">
        <v>225</v>
      </c>
      <c r="B11" s="1043" t="s">
        <v>226</v>
      </c>
      <c r="C11" s="1044"/>
      <c r="D11" s="42"/>
      <c r="E11" s="93">
        <v>25137.47</v>
      </c>
      <c r="F11" s="42"/>
      <c r="G11" s="93">
        <v>2939.75</v>
      </c>
      <c r="H11" s="94">
        <v>28077.22</v>
      </c>
      <c r="I11" s="85"/>
    </row>
    <row r="12" spans="1:9">
      <c r="A12" s="92" t="s">
        <v>227</v>
      </c>
      <c r="B12" s="1043" t="s">
        <v>228</v>
      </c>
      <c r="C12" s="1044"/>
      <c r="D12" s="42"/>
      <c r="E12" s="93">
        <v>86907.59</v>
      </c>
      <c r="F12" s="42"/>
      <c r="G12" s="93">
        <v>6191.23</v>
      </c>
      <c r="H12" s="94">
        <v>93098.82</v>
      </c>
      <c r="I12" s="85"/>
    </row>
    <row r="13" spans="1:9" ht="12.75" customHeight="1">
      <c r="A13" s="92" t="s">
        <v>10</v>
      </c>
      <c r="B13" s="1043" t="s">
        <v>229</v>
      </c>
      <c r="C13" s="1044"/>
      <c r="D13" s="42"/>
      <c r="E13" s="93">
        <v>1249.24</v>
      </c>
      <c r="F13" s="42"/>
      <c r="G13" s="93">
        <v>0</v>
      </c>
      <c r="H13" s="94">
        <v>1249.24</v>
      </c>
      <c r="I13" s="85"/>
    </row>
    <row r="14" spans="1:9" ht="12.75" customHeight="1">
      <c r="A14" s="92" t="s">
        <v>188</v>
      </c>
      <c r="B14" s="1043" t="s">
        <v>231</v>
      </c>
      <c r="C14" s="1044"/>
      <c r="D14" s="42"/>
      <c r="E14" s="93">
        <v>195349.35</v>
      </c>
      <c r="F14" s="42"/>
      <c r="G14" s="93">
        <v>34473.599999999999</v>
      </c>
      <c r="H14" s="94">
        <v>229822.95</v>
      </c>
      <c r="I14" s="85"/>
    </row>
    <row r="15" spans="1:9" ht="12.75" customHeight="1">
      <c r="A15" s="92" t="s">
        <v>220</v>
      </c>
      <c r="B15" s="1043" t="s">
        <v>232</v>
      </c>
      <c r="C15" s="1044"/>
      <c r="D15" s="42"/>
      <c r="E15" s="93">
        <v>255302.01</v>
      </c>
      <c r="F15" s="42"/>
      <c r="G15" s="93">
        <v>32329.39</v>
      </c>
      <c r="H15" s="94">
        <v>287631.40000000002</v>
      </c>
      <c r="I15" s="85"/>
    </row>
    <row r="16" spans="1:9" ht="12.75" customHeight="1">
      <c r="A16" s="92" t="s">
        <v>187</v>
      </c>
      <c r="B16" s="1043" t="s">
        <v>233</v>
      </c>
      <c r="C16" s="1044"/>
      <c r="D16" s="42"/>
      <c r="E16" s="93">
        <v>25992.63</v>
      </c>
      <c r="F16" s="42"/>
      <c r="G16" s="93">
        <v>4587.01</v>
      </c>
      <c r="H16" s="94">
        <v>30579.64</v>
      </c>
      <c r="I16" s="85"/>
    </row>
    <row r="17" spans="1:8" ht="12.75" customHeight="1">
      <c r="A17" s="92" t="s">
        <v>186</v>
      </c>
      <c r="B17" s="1043" t="s">
        <v>234</v>
      </c>
      <c r="C17" s="1044"/>
      <c r="D17" s="42"/>
      <c r="E17" s="93">
        <v>36300.230000000003</v>
      </c>
      <c r="F17" s="42"/>
      <c r="G17" s="93">
        <v>6406.02</v>
      </c>
      <c r="H17" s="94">
        <v>42706.25</v>
      </c>
    </row>
    <row r="18" spans="1:8" ht="12.75" customHeight="1">
      <c r="A18" s="92" t="s">
        <v>165</v>
      </c>
      <c r="B18" s="1043" t="s">
        <v>235</v>
      </c>
      <c r="C18" s="1044"/>
      <c r="D18" s="42"/>
      <c r="E18" s="93">
        <v>124773.63</v>
      </c>
      <c r="F18" s="42"/>
      <c r="G18" s="93">
        <v>22018.9</v>
      </c>
      <c r="H18" s="94">
        <v>146792.53</v>
      </c>
    </row>
    <row r="19" spans="1:8" ht="12.75" customHeight="1">
      <c r="A19" s="92" t="s">
        <v>179</v>
      </c>
      <c r="B19" s="1043" t="s">
        <v>236</v>
      </c>
      <c r="C19" s="1044"/>
      <c r="D19" s="42"/>
      <c r="E19" s="93">
        <v>44992.99</v>
      </c>
      <c r="F19" s="42"/>
      <c r="G19" s="93">
        <v>7940.04</v>
      </c>
      <c r="H19" s="94">
        <v>52933.03</v>
      </c>
    </row>
    <row r="20" spans="1:8" ht="12.75" customHeight="1">
      <c r="A20" s="92" t="s">
        <v>19</v>
      </c>
      <c r="B20" s="1043" t="s">
        <v>237</v>
      </c>
      <c r="C20" s="1044"/>
      <c r="D20" s="42"/>
      <c r="E20" s="93">
        <v>63444.88</v>
      </c>
      <c r="F20" s="42"/>
      <c r="G20" s="93">
        <v>0</v>
      </c>
      <c r="H20" s="94">
        <v>63444.88</v>
      </c>
    </row>
    <row r="21" spans="1:8" ht="12.75" customHeight="1">
      <c r="A21" s="92" t="s">
        <v>238</v>
      </c>
      <c r="B21" s="1043" t="s">
        <v>239</v>
      </c>
      <c r="C21" s="1044"/>
      <c r="D21" s="42"/>
      <c r="E21" s="93">
        <v>37333.050000000003</v>
      </c>
      <c r="F21" s="42"/>
      <c r="G21" s="93">
        <v>6588.25</v>
      </c>
      <c r="H21" s="94">
        <v>43921.3</v>
      </c>
    </row>
    <row r="22" spans="1:8" ht="12.75" customHeight="1">
      <c r="A22" s="92" t="s">
        <v>26</v>
      </c>
      <c r="B22" s="1043" t="s">
        <v>240</v>
      </c>
      <c r="C22" s="1044"/>
      <c r="D22" s="42"/>
      <c r="E22" s="93">
        <v>1250.8900000000001</v>
      </c>
      <c r="F22" s="42"/>
      <c r="G22" s="93">
        <v>0</v>
      </c>
      <c r="H22" s="94">
        <v>1250.8900000000001</v>
      </c>
    </row>
    <row r="23" spans="1:8" ht="12.75" customHeight="1">
      <c r="A23" s="92" t="s">
        <v>28</v>
      </c>
      <c r="B23" s="1043" t="s">
        <v>241</v>
      </c>
      <c r="C23" s="1044"/>
      <c r="D23" s="42"/>
      <c r="E23" s="93">
        <v>8081.93</v>
      </c>
      <c r="F23" s="42"/>
      <c r="G23" s="93">
        <v>1426.27</v>
      </c>
      <c r="H23" s="94">
        <v>9508.2000000000007</v>
      </c>
    </row>
    <row r="24" spans="1:8" ht="12.75" customHeight="1">
      <c r="A24" s="92" t="s">
        <v>204</v>
      </c>
      <c r="B24" s="1043" t="s">
        <v>242</v>
      </c>
      <c r="C24" s="1044"/>
      <c r="D24" s="42"/>
      <c r="E24" s="93">
        <v>71404.06</v>
      </c>
      <c r="F24" s="42"/>
      <c r="G24" s="93">
        <v>0</v>
      </c>
      <c r="H24" s="94">
        <v>71404.06</v>
      </c>
    </row>
    <row r="25" spans="1:8" ht="12.75" customHeight="1">
      <c r="A25" s="92" t="s">
        <v>243</v>
      </c>
      <c r="B25" s="1043" t="s">
        <v>244</v>
      </c>
      <c r="C25" s="1044"/>
      <c r="D25" s="42"/>
      <c r="E25" s="93">
        <v>76434.320000000007</v>
      </c>
      <c r="F25" s="42"/>
      <c r="G25" s="93">
        <v>0</v>
      </c>
      <c r="H25" s="94">
        <v>76434.320000000007</v>
      </c>
    </row>
    <row r="26" spans="1:8" ht="12.75" customHeight="1">
      <c r="A26" s="92" t="s">
        <v>171</v>
      </c>
      <c r="B26" s="1043" t="s">
        <v>245</v>
      </c>
      <c r="C26" s="1044"/>
      <c r="D26" s="42"/>
      <c r="E26" s="93">
        <v>21050.73</v>
      </c>
      <c r="F26" s="42"/>
      <c r="G26" s="93">
        <v>2049.83</v>
      </c>
      <c r="H26" s="94">
        <v>23100.560000000001</v>
      </c>
    </row>
    <row r="27" spans="1:8" ht="12.75" customHeight="1">
      <c r="A27" s="92" t="s">
        <v>246</v>
      </c>
      <c r="B27" s="1043" t="s">
        <v>247</v>
      </c>
      <c r="C27" s="1044"/>
      <c r="D27" s="42"/>
      <c r="E27" s="93">
        <v>274012.34000000003</v>
      </c>
      <c r="F27" s="42"/>
      <c r="G27" s="93">
        <v>0</v>
      </c>
      <c r="H27" s="94">
        <v>274012.34000000003</v>
      </c>
    </row>
    <row r="28" spans="1:8" ht="12.75" customHeight="1">
      <c r="A28" s="92" t="s">
        <v>248</v>
      </c>
      <c r="B28" s="1043" t="s">
        <v>249</v>
      </c>
      <c r="C28" s="1044"/>
      <c r="D28" s="42"/>
      <c r="E28" s="93">
        <v>2698.12</v>
      </c>
      <c r="F28" s="42"/>
      <c r="G28" s="93">
        <v>823.33</v>
      </c>
      <c r="H28" s="94">
        <v>3521.45</v>
      </c>
    </row>
    <row r="29" spans="1:8" ht="12.75" customHeight="1">
      <c r="A29" s="92" t="s">
        <v>31</v>
      </c>
      <c r="B29" s="1043" t="s">
        <v>250</v>
      </c>
      <c r="C29" s="1044"/>
      <c r="D29" s="42"/>
      <c r="E29" s="93">
        <v>3180591.87</v>
      </c>
      <c r="F29" s="42"/>
      <c r="G29" s="93">
        <v>561283.5</v>
      </c>
      <c r="H29" s="94">
        <v>3741875.37</v>
      </c>
    </row>
    <row r="30" spans="1:8" ht="12.75" customHeight="1">
      <c r="A30" s="92" t="s">
        <v>251</v>
      </c>
      <c r="B30" s="1043" t="s">
        <v>252</v>
      </c>
      <c r="C30" s="1044"/>
      <c r="D30" s="42"/>
      <c r="E30" s="93">
        <v>62406.18</v>
      </c>
      <c r="F30" s="42"/>
      <c r="G30" s="93">
        <v>11012.86</v>
      </c>
      <c r="H30" s="94">
        <v>73419.039999999994</v>
      </c>
    </row>
    <row r="31" spans="1:8" ht="12.75" customHeight="1">
      <c r="A31" s="92" t="s">
        <v>253</v>
      </c>
      <c r="B31" s="1043" t="s">
        <v>254</v>
      </c>
      <c r="C31" s="1044"/>
      <c r="D31" s="42"/>
      <c r="E31" s="93">
        <v>13132.49</v>
      </c>
      <c r="F31" s="42"/>
      <c r="G31" s="93">
        <v>2317.4899999999998</v>
      </c>
      <c r="H31" s="94">
        <v>15449.98</v>
      </c>
    </row>
    <row r="32" spans="1:8" ht="12.75" customHeight="1">
      <c r="A32" s="92" t="s">
        <v>185</v>
      </c>
      <c r="B32" s="1043" t="s">
        <v>255</v>
      </c>
      <c r="C32" s="1044"/>
      <c r="D32" s="42"/>
      <c r="E32" s="93">
        <v>437.63</v>
      </c>
      <c r="F32" s="42"/>
      <c r="G32" s="93">
        <v>77.23</v>
      </c>
      <c r="H32" s="94">
        <v>514.86</v>
      </c>
    </row>
    <row r="33" spans="1:8" ht="12.75" customHeight="1">
      <c r="A33" s="92" t="s">
        <v>256</v>
      </c>
      <c r="B33" s="1043" t="s">
        <v>257</v>
      </c>
      <c r="C33" s="1044"/>
      <c r="D33" s="42"/>
      <c r="E33" s="93">
        <v>47277.96</v>
      </c>
      <c r="F33" s="42"/>
      <c r="G33" s="93">
        <v>4504.76</v>
      </c>
      <c r="H33" s="94">
        <v>51782.720000000001</v>
      </c>
    </row>
    <row r="34" spans="1:8" ht="12.75" customHeight="1">
      <c r="A34" s="92" t="s">
        <v>39</v>
      </c>
      <c r="B34" s="1043" t="s">
        <v>260</v>
      </c>
      <c r="C34" s="1044"/>
      <c r="D34" s="42"/>
      <c r="E34" s="93">
        <v>241637.2</v>
      </c>
      <c r="F34" s="42"/>
      <c r="G34" s="93">
        <v>38197.410000000003</v>
      </c>
      <c r="H34" s="94">
        <v>279834.61</v>
      </c>
    </row>
    <row r="35" spans="1:8" ht="12.75" customHeight="1">
      <c r="A35" s="92" t="s">
        <v>177</v>
      </c>
      <c r="B35" s="1043" t="s">
        <v>261</v>
      </c>
      <c r="C35" s="1044"/>
      <c r="D35" s="42"/>
      <c r="E35" s="93">
        <v>669.39</v>
      </c>
      <c r="F35" s="42"/>
      <c r="G35" s="93">
        <v>53.61</v>
      </c>
      <c r="H35" s="94">
        <v>723</v>
      </c>
    </row>
    <row r="36" spans="1:8" ht="12.75" customHeight="1">
      <c r="A36" s="92" t="s">
        <v>203</v>
      </c>
      <c r="B36" s="1043" t="s">
        <v>262</v>
      </c>
      <c r="C36" s="1044"/>
      <c r="D36" s="42"/>
      <c r="E36" s="93">
        <v>11786.73</v>
      </c>
      <c r="F36" s="42"/>
      <c r="G36" s="93">
        <v>762.29</v>
      </c>
      <c r="H36" s="94">
        <v>12549.02</v>
      </c>
    </row>
    <row r="37" spans="1:8" ht="12.75" customHeight="1">
      <c r="A37" s="92" t="s">
        <v>263</v>
      </c>
      <c r="B37" s="1043" t="s">
        <v>264</v>
      </c>
      <c r="C37" s="1044"/>
      <c r="D37" s="42"/>
      <c r="E37" s="93">
        <v>15128.48</v>
      </c>
      <c r="F37" s="42"/>
      <c r="G37" s="93">
        <v>2669.73</v>
      </c>
      <c r="H37" s="94">
        <v>17798.21</v>
      </c>
    </row>
    <row r="38" spans="1:8" ht="12.75" customHeight="1">
      <c r="A38" s="92" t="s">
        <v>44</v>
      </c>
      <c r="B38" s="1043" t="s">
        <v>265</v>
      </c>
      <c r="C38" s="1044"/>
      <c r="D38" s="42"/>
      <c r="E38" s="93">
        <v>737.54</v>
      </c>
      <c r="F38" s="42"/>
      <c r="G38" s="93">
        <v>130.15</v>
      </c>
      <c r="H38" s="94">
        <v>867.69</v>
      </c>
    </row>
    <row r="39" spans="1:8" ht="12.75" customHeight="1">
      <c r="A39" s="92" t="s">
        <v>266</v>
      </c>
      <c r="B39" s="1043" t="s">
        <v>267</v>
      </c>
      <c r="C39" s="1044"/>
      <c r="D39" s="42"/>
      <c r="E39" s="93">
        <v>5271.16</v>
      </c>
      <c r="F39" s="42"/>
      <c r="G39" s="93">
        <v>95.02</v>
      </c>
      <c r="H39" s="94">
        <v>5366.18</v>
      </c>
    </row>
    <row r="40" spans="1:8" ht="12.75" customHeight="1">
      <c r="A40" s="92" t="s">
        <v>270</v>
      </c>
      <c r="B40" s="1043" t="s">
        <v>271</v>
      </c>
      <c r="C40" s="1044"/>
      <c r="D40" s="42"/>
      <c r="E40" s="93">
        <v>190.98</v>
      </c>
      <c r="F40" s="42"/>
      <c r="G40" s="93">
        <v>33.700000000000003</v>
      </c>
      <c r="H40" s="94">
        <v>224.68</v>
      </c>
    </row>
    <row r="41" spans="1:8" ht="12.75" customHeight="1">
      <c r="A41" s="92" t="s">
        <v>272</v>
      </c>
      <c r="B41" s="1043" t="s">
        <v>273</v>
      </c>
      <c r="C41" s="1044"/>
      <c r="D41" s="42"/>
      <c r="E41" s="93">
        <v>2139.34</v>
      </c>
      <c r="F41" s="42"/>
      <c r="G41" s="93">
        <v>172.31</v>
      </c>
      <c r="H41" s="94">
        <v>2311.65</v>
      </c>
    </row>
    <row r="42" spans="1:8" ht="12.75" customHeight="1">
      <c r="A42" s="92" t="s">
        <v>145</v>
      </c>
      <c r="B42" s="1043" t="s">
        <v>276</v>
      </c>
      <c r="C42" s="1044"/>
      <c r="D42" s="42"/>
      <c r="E42" s="93">
        <v>11537.02</v>
      </c>
      <c r="F42" s="42"/>
      <c r="G42" s="93">
        <v>2035.93</v>
      </c>
      <c r="H42" s="94">
        <v>13572.95</v>
      </c>
    </row>
    <row r="43" spans="1:8" ht="12.75" customHeight="1">
      <c r="A43" s="92" t="s">
        <v>277</v>
      </c>
      <c r="B43" s="1043" t="s">
        <v>278</v>
      </c>
      <c r="C43" s="1044"/>
      <c r="D43" s="42"/>
      <c r="E43" s="93">
        <v>12648.42</v>
      </c>
      <c r="F43" s="42"/>
      <c r="G43" s="93">
        <v>0</v>
      </c>
      <c r="H43" s="94">
        <v>12648.42</v>
      </c>
    </row>
    <row r="44" spans="1:8" ht="12.75" customHeight="1">
      <c r="A44" s="92" t="s">
        <v>279</v>
      </c>
      <c r="B44" s="1043" t="s">
        <v>280</v>
      </c>
      <c r="C44" s="1044"/>
      <c r="D44" s="42"/>
      <c r="E44" s="93">
        <v>21066.89</v>
      </c>
      <c r="F44" s="42"/>
      <c r="G44" s="93">
        <v>0</v>
      </c>
      <c r="H44" s="94">
        <v>21066.89</v>
      </c>
    </row>
    <row r="45" spans="1:8" ht="12.75" customHeight="1">
      <c r="A45" s="92" t="s">
        <v>281</v>
      </c>
      <c r="B45" s="1043" t="s">
        <v>282</v>
      </c>
      <c r="C45" s="1044"/>
      <c r="D45" s="42"/>
      <c r="E45" s="93">
        <v>4355.9799999999996</v>
      </c>
      <c r="F45" s="42"/>
      <c r="G45" s="93">
        <v>0</v>
      </c>
      <c r="H45" s="94">
        <v>4355.9799999999996</v>
      </c>
    </row>
    <row r="46" spans="1:8" ht="12.75" customHeight="1">
      <c r="A46" s="92" t="s">
        <v>283</v>
      </c>
      <c r="B46" s="1043" t="s">
        <v>284</v>
      </c>
      <c r="C46" s="1044"/>
      <c r="D46" s="42"/>
      <c r="E46" s="93">
        <v>73787.179999999993</v>
      </c>
      <c r="F46" s="42"/>
      <c r="G46" s="93">
        <v>0</v>
      </c>
      <c r="H46" s="94">
        <v>73787.179999999993</v>
      </c>
    </row>
    <row r="47" spans="1:8" ht="12.75" customHeight="1">
      <c r="A47" s="92" t="s">
        <v>285</v>
      </c>
      <c r="B47" s="1043" t="s">
        <v>286</v>
      </c>
      <c r="C47" s="1044"/>
      <c r="D47" s="42"/>
      <c r="E47" s="93">
        <v>35448.879999999997</v>
      </c>
      <c r="F47" s="42"/>
      <c r="G47" s="93">
        <v>0</v>
      </c>
      <c r="H47" s="94">
        <v>35448.879999999997</v>
      </c>
    </row>
    <row r="48" spans="1:8" ht="12.75" customHeight="1">
      <c r="A48" s="92" t="s">
        <v>287</v>
      </c>
      <c r="B48" s="1043" t="s">
        <v>288</v>
      </c>
      <c r="C48" s="1044"/>
      <c r="D48" s="93">
        <v>468595.33</v>
      </c>
      <c r="E48" s="42"/>
      <c r="F48" s="42"/>
      <c r="G48" s="93">
        <v>0</v>
      </c>
      <c r="H48" s="94">
        <v>468595.33</v>
      </c>
    </row>
    <row r="49" spans="1:8" ht="12.75" customHeight="1">
      <c r="A49" s="92" t="s">
        <v>289</v>
      </c>
      <c r="B49" s="1043" t="s">
        <v>290</v>
      </c>
      <c r="C49" s="1044"/>
      <c r="D49" s="93">
        <v>124605.96</v>
      </c>
      <c r="E49" s="42"/>
      <c r="F49" s="42"/>
      <c r="G49" s="93">
        <v>0</v>
      </c>
      <c r="H49" s="94">
        <v>124605.96</v>
      </c>
    </row>
    <row r="50" spans="1:8" ht="12.75" customHeight="1">
      <c r="A50" s="92" t="s">
        <v>58</v>
      </c>
      <c r="B50" s="1043" t="s">
        <v>291</v>
      </c>
      <c r="C50" s="1044"/>
      <c r="D50" s="93">
        <v>82266.570000000007</v>
      </c>
      <c r="E50" s="42"/>
      <c r="F50" s="42"/>
      <c r="G50" s="93">
        <v>0</v>
      </c>
      <c r="H50" s="94">
        <v>82266.570000000007</v>
      </c>
    </row>
    <row r="51" spans="1:8">
      <c r="A51" s="92" t="s">
        <v>162</v>
      </c>
      <c r="B51" s="1043" t="s">
        <v>293</v>
      </c>
      <c r="C51" s="1044"/>
      <c r="D51" s="93">
        <v>139.13</v>
      </c>
      <c r="E51" s="42"/>
      <c r="F51" s="42"/>
      <c r="G51" s="93">
        <v>0</v>
      </c>
      <c r="H51" s="94">
        <v>139.13</v>
      </c>
    </row>
    <row r="52" spans="1:8" ht="12.75" customHeight="1">
      <c r="A52" s="92" t="s">
        <v>206</v>
      </c>
      <c r="B52" s="1043" t="s">
        <v>294</v>
      </c>
      <c r="C52" s="1044"/>
      <c r="D52" s="93">
        <v>17387.22</v>
      </c>
      <c r="E52" s="42"/>
      <c r="F52" s="42"/>
      <c r="G52" s="93">
        <v>1927.14</v>
      </c>
      <c r="H52" s="94">
        <v>19314.36</v>
      </c>
    </row>
    <row r="53" spans="1:8" ht="12.75" customHeight="1">
      <c r="A53" s="92" t="s">
        <v>295</v>
      </c>
      <c r="B53" s="1043" t="s">
        <v>296</v>
      </c>
      <c r="C53" s="1044"/>
      <c r="D53" s="93">
        <v>259001.81</v>
      </c>
      <c r="E53" s="42"/>
      <c r="F53" s="42"/>
      <c r="G53" s="93">
        <v>1665.09</v>
      </c>
      <c r="H53" s="94">
        <v>260666.9</v>
      </c>
    </row>
    <row r="54" spans="1:8" ht="12.75" customHeight="1">
      <c r="A54" s="92" t="s">
        <v>297</v>
      </c>
      <c r="B54" s="1043" t="s">
        <v>298</v>
      </c>
      <c r="C54" s="1044"/>
      <c r="D54" s="93">
        <v>974391.81</v>
      </c>
      <c r="E54" s="42"/>
      <c r="F54" s="42"/>
      <c r="G54" s="93">
        <v>52256.75</v>
      </c>
      <c r="H54" s="94">
        <v>1026648.56</v>
      </c>
    </row>
    <row r="55" spans="1:8" ht="12.75" customHeight="1">
      <c r="A55" s="92" t="s">
        <v>207</v>
      </c>
      <c r="B55" s="1043" t="s">
        <v>299</v>
      </c>
      <c r="C55" s="1044"/>
      <c r="D55" s="93">
        <v>10521.89</v>
      </c>
      <c r="E55" s="42"/>
      <c r="F55" s="42"/>
      <c r="G55" s="93">
        <v>0</v>
      </c>
      <c r="H55" s="94">
        <v>10521.89</v>
      </c>
    </row>
    <row r="56" spans="1:8" ht="12.75" customHeight="1">
      <c r="A56" s="92" t="s">
        <v>300</v>
      </c>
      <c r="B56" s="1043" t="s">
        <v>301</v>
      </c>
      <c r="C56" s="1044"/>
      <c r="D56" s="93">
        <v>2084002.65</v>
      </c>
      <c r="E56" s="42"/>
      <c r="F56" s="42"/>
      <c r="G56" s="93">
        <v>0</v>
      </c>
      <c r="H56" s="94">
        <v>2084002.65</v>
      </c>
    </row>
    <row r="57" spans="1:8" ht="12.75" customHeight="1">
      <c r="A57" s="92" t="s">
        <v>150</v>
      </c>
      <c r="B57" s="1043" t="s">
        <v>305</v>
      </c>
      <c r="C57" s="1044"/>
      <c r="D57" s="93">
        <v>1229578.53</v>
      </c>
      <c r="E57" s="42"/>
      <c r="F57" s="42"/>
      <c r="G57" s="93">
        <v>156518.72</v>
      </c>
      <c r="H57" s="94">
        <v>1386097.25</v>
      </c>
    </row>
    <row r="58" spans="1:8" ht="12.75" customHeight="1">
      <c r="A58" s="92" t="s">
        <v>307</v>
      </c>
      <c r="B58" s="1043" t="s">
        <v>308</v>
      </c>
      <c r="C58" s="1044"/>
      <c r="D58" s="93">
        <v>171946.72</v>
      </c>
      <c r="E58" s="42"/>
      <c r="F58" s="42"/>
      <c r="G58" s="93">
        <v>0</v>
      </c>
      <c r="H58" s="94">
        <v>171946.72</v>
      </c>
    </row>
    <row r="59" spans="1:8" ht="12.75" customHeight="1">
      <c r="A59" s="92" t="s">
        <v>309</v>
      </c>
      <c r="B59" s="1043" t="s">
        <v>310</v>
      </c>
      <c r="C59" s="1044"/>
      <c r="D59" s="93">
        <v>21088.32</v>
      </c>
      <c r="E59" s="42"/>
      <c r="F59" s="42"/>
      <c r="G59" s="93">
        <v>14058.89</v>
      </c>
      <c r="H59" s="94">
        <v>35147.21</v>
      </c>
    </row>
    <row r="60" spans="1:8" ht="12.75" customHeight="1">
      <c r="A60" s="92" t="s">
        <v>75</v>
      </c>
      <c r="B60" s="1043" t="s">
        <v>312</v>
      </c>
      <c r="C60" s="1044"/>
      <c r="D60" s="93">
        <v>13214.03</v>
      </c>
      <c r="E60" s="42"/>
      <c r="F60" s="42"/>
      <c r="G60" s="93">
        <v>2331.89</v>
      </c>
      <c r="H60" s="94">
        <v>15545.92</v>
      </c>
    </row>
    <row r="61" spans="1:8" ht="12.75" customHeight="1">
      <c r="A61" s="92" t="s">
        <v>732</v>
      </c>
      <c r="B61" s="1043" t="s">
        <v>314</v>
      </c>
      <c r="C61" s="1044"/>
      <c r="D61" s="93">
        <v>781788.63</v>
      </c>
      <c r="E61" s="42"/>
      <c r="F61" s="42"/>
      <c r="G61" s="93">
        <v>0</v>
      </c>
      <c r="H61" s="94">
        <v>781788.63</v>
      </c>
    </row>
    <row r="62" spans="1:8" ht="12.75" customHeight="1">
      <c r="A62" s="92" t="s">
        <v>76</v>
      </c>
      <c r="B62" s="1043" t="s">
        <v>672</v>
      </c>
      <c r="C62" s="1044"/>
      <c r="D62" s="93">
        <v>1899.14</v>
      </c>
      <c r="E62" s="42"/>
      <c r="F62" s="42"/>
      <c r="G62" s="93">
        <v>0</v>
      </c>
      <c r="H62" s="94">
        <v>1899.14</v>
      </c>
    </row>
    <row r="63" spans="1:8" ht="12.75" customHeight="1">
      <c r="A63" s="92" t="s">
        <v>191</v>
      </c>
      <c r="B63" s="1043" t="s">
        <v>286</v>
      </c>
      <c r="C63" s="1044"/>
      <c r="D63" s="93">
        <v>89482.58</v>
      </c>
      <c r="E63" s="42"/>
      <c r="F63" s="42"/>
      <c r="G63" s="93">
        <v>0</v>
      </c>
      <c r="H63" s="94">
        <v>89482.58</v>
      </c>
    </row>
    <row r="64" spans="1:8" ht="12.75" customHeight="1">
      <c r="A64" s="92" t="s">
        <v>315</v>
      </c>
      <c r="B64" s="1043" t="s">
        <v>316</v>
      </c>
      <c r="C64" s="1044"/>
      <c r="D64" s="93">
        <v>1054461.53</v>
      </c>
      <c r="E64" s="42"/>
      <c r="F64" s="42"/>
      <c r="G64" s="93">
        <v>153041.31</v>
      </c>
      <c r="H64" s="94">
        <v>1207502.8400000001</v>
      </c>
    </row>
    <row r="65" spans="1:8" ht="12.75" customHeight="1">
      <c r="A65" s="92" t="s">
        <v>79</v>
      </c>
      <c r="B65" s="1043" t="s">
        <v>317</v>
      </c>
      <c r="C65" s="1044"/>
      <c r="D65" s="93">
        <v>160295.32999999999</v>
      </c>
      <c r="E65" s="42"/>
      <c r="F65" s="42"/>
      <c r="G65" s="93">
        <v>28287.43</v>
      </c>
      <c r="H65" s="94">
        <v>188582.76</v>
      </c>
    </row>
    <row r="66" spans="1:8" ht="12.75" customHeight="1">
      <c r="A66" s="92" t="s">
        <v>81</v>
      </c>
      <c r="B66" s="1043" t="s">
        <v>318</v>
      </c>
      <c r="C66" s="1044"/>
      <c r="D66" s="93">
        <v>372182.56</v>
      </c>
      <c r="E66" s="42"/>
      <c r="F66" s="42"/>
      <c r="G66" s="93">
        <v>36411.760000000002</v>
      </c>
      <c r="H66" s="94">
        <v>408594.32</v>
      </c>
    </row>
    <row r="67" spans="1:8" ht="12.75" customHeight="1">
      <c r="A67" s="92" t="s">
        <v>181</v>
      </c>
      <c r="B67" s="1043" t="s">
        <v>319</v>
      </c>
      <c r="C67" s="1044"/>
      <c r="D67" s="93">
        <v>233291.01</v>
      </c>
      <c r="E67" s="42"/>
      <c r="F67" s="42"/>
      <c r="G67" s="93">
        <v>0</v>
      </c>
      <c r="H67" s="94">
        <v>233291.01</v>
      </c>
    </row>
    <row r="68" spans="1:8" ht="12.75" customHeight="1">
      <c r="A68" s="92" t="s">
        <v>84</v>
      </c>
      <c r="B68" s="1043" t="s">
        <v>320</v>
      </c>
      <c r="C68" s="1044"/>
      <c r="D68" s="93">
        <v>5497.84</v>
      </c>
      <c r="E68" s="42"/>
      <c r="F68" s="42"/>
      <c r="G68" s="93">
        <v>0</v>
      </c>
      <c r="H68" s="94">
        <v>5497.84</v>
      </c>
    </row>
    <row r="69" spans="1:8" ht="12.75" customHeight="1">
      <c r="A69" s="92" t="s">
        <v>180</v>
      </c>
      <c r="B69" s="1043" t="s">
        <v>321</v>
      </c>
      <c r="C69" s="1044"/>
      <c r="D69" s="93">
        <v>140174.74</v>
      </c>
      <c r="E69" s="42"/>
      <c r="F69" s="42"/>
      <c r="G69" s="93">
        <v>0</v>
      </c>
      <c r="H69" s="94">
        <v>140174.74</v>
      </c>
    </row>
    <row r="70" spans="1:8" ht="12.75" customHeight="1">
      <c r="A70" s="92" t="s">
        <v>173</v>
      </c>
      <c r="B70" s="1043" t="s">
        <v>322</v>
      </c>
      <c r="C70" s="1044"/>
      <c r="D70" s="93">
        <v>107756.28</v>
      </c>
      <c r="E70" s="42"/>
      <c r="F70" s="42"/>
      <c r="G70" s="93">
        <v>0</v>
      </c>
      <c r="H70" s="94">
        <v>107756.28</v>
      </c>
    </row>
    <row r="71" spans="1:8" ht="12.75" customHeight="1">
      <c r="A71" s="92" t="s">
        <v>88</v>
      </c>
      <c r="B71" s="1043" t="s">
        <v>323</v>
      </c>
      <c r="C71" s="1044"/>
      <c r="D71" s="93">
        <v>11558.09</v>
      </c>
      <c r="E71" s="42"/>
      <c r="F71" s="42"/>
      <c r="G71" s="93">
        <v>2039.66</v>
      </c>
      <c r="H71" s="94">
        <v>13597.75</v>
      </c>
    </row>
    <row r="72" spans="1:8" ht="12.75" customHeight="1">
      <c r="A72" s="92" t="s">
        <v>89</v>
      </c>
      <c r="B72" s="1043" t="s">
        <v>324</v>
      </c>
      <c r="C72" s="1044"/>
      <c r="D72" s="93">
        <v>12604.44</v>
      </c>
      <c r="E72" s="42"/>
      <c r="F72" s="42"/>
      <c r="G72" s="93">
        <v>2224.3200000000002</v>
      </c>
      <c r="H72" s="94">
        <v>14828.76</v>
      </c>
    </row>
    <row r="73" spans="1:8" ht="12.75" customHeight="1">
      <c r="A73" s="92" t="s">
        <v>168</v>
      </c>
      <c r="B73" s="1043" t="s">
        <v>326</v>
      </c>
      <c r="C73" s="1044"/>
      <c r="D73" s="93">
        <v>422595.28</v>
      </c>
      <c r="E73" s="42"/>
      <c r="F73" s="42"/>
      <c r="G73" s="93">
        <v>74575.64</v>
      </c>
      <c r="H73" s="94">
        <v>497170.92</v>
      </c>
    </row>
    <row r="74" spans="1:8" ht="12.75" customHeight="1">
      <c r="A74" s="92" t="s">
        <v>174</v>
      </c>
      <c r="B74" s="1043" t="s">
        <v>327</v>
      </c>
      <c r="C74" s="1044"/>
      <c r="D74" s="93">
        <v>34084.370000000003</v>
      </c>
      <c r="E74" s="42"/>
      <c r="F74" s="42"/>
      <c r="G74" s="93">
        <v>6014.88</v>
      </c>
      <c r="H74" s="94">
        <v>40099.25</v>
      </c>
    </row>
    <row r="75" spans="1:8" ht="12.75" customHeight="1">
      <c r="A75" s="92" t="s">
        <v>328</v>
      </c>
      <c r="B75" s="1043" t="s">
        <v>329</v>
      </c>
      <c r="C75" s="1044"/>
      <c r="D75" s="93">
        <v>217133.15</v>
      </c>
      <c r="E75" s="42"/>
      <c r="F75" s="42"/>
      <c r="G75" s="93">
        <v>0</v>
      </c>
      <c r="H75" s="94">
        <v>217133.15</v>
      </c>
    </row>
    <row r="76" spans="1:8" ht="12.75" customHeight="1">
      <c r="A76" s="92" t="s">
        <v>208</v>
      </c>
      <c r="B76" s="1043" t="s">
        <v>330</v>
      </c>
      <c r="C76" s="1044"/>
      <c r="D76" s="93">
        <v>67940.350000000006</v>
      </c>
      <c r="E76" s="42"/>
      <c r="F76" s="42"/>
      <c r="G76" s="93">
        <v>0</v>
      </c>
      <c r="H76" s="94">
        <v>67940.350000000006</v>
      </c>
    </row>
    <row r="77" spans="1:8">
      <c r="A77" s="92" t="s">
        <v>189</v>
      </c>
      <c r="B77" s="1043" t="s">
        <v>331</v>
      </c>
      <c r="C77" s="1044"/>
      <c r="D77" s="93">
        <v>126.52</v>
      </c>
      <c r="E77" s="42"/>
      <c r="F77" s="42"/>
      <c r="G77" s="42"/>
      <c r="H77" s="94">
        <v>126.52</v>
      </c>
    </row>
    <row r="78" spans="1:8" ht="12.75" customHeight="1">
      <c r="A78" s="92" t="s">
        <v>197</v>
      </c>
      <c r="B78" s="1043" t="s">
        <v>332</v>
      </c>
      <c r="C78" s="1044"/>
      <c r="D78" s="93">
        <v>20708.09</v>
      </c>
      <c r="E78" s="42"/>
      <c r="F78" s="42"/>
      <c r="G78" s="42"/>
      <c r="H78" s="94">
        <v>20708.09</v>
      </c>
    </row>
    <row r="79" spans="1:8" ht="12.75" customHeight="1">
      <c r="A79" s="92" t="s">
        <v>157</v>
      </c>
      <c r="B79" s="1043" t="s">
        <v>333</v>
      </c>
      <c r="C79" s="1044"/>
      <c r="D79" s="93">
        <v>312006.99</v>
      </c>
      <c r="E79" s="42"/>
      <c r="F79" s="42"/>
      <c r="G79" s="93">
        <v>37737.42</v>
      </c>
      <c r="H79" s="94">
        <v>349744.41</v>
      </c>
    </row>
    <row r="80" spans="1:8" ht="12.75" customHeight="1">
      <c r="A80" s="92" t="s">
        <v>159</v>
      </c>
      <c r="B80" s="1043" t="s">
        <v>334</v>
      </c>
      <c r="C80" s="1044"/>
      <c r="D80" s="93">
        <v>1009026.28</v>
      </c>
      <c r="E80" s="42"/>
      <c r="F80" s="42"/>
      <c r="G80" s="93">
        <v>84671.11</v>
      </c>
      <c r="H80" s="94">
        <v>1093697.3899999999</v>
      </c>
    </row>
    <row r="81" spans="1:9" ht="12.75" customHeight="1">
      <c r="A81" s="92" t="s">
        <v>160</v>
      </c>
      <c r="B81" s="1043" t="s">
        <v>335</v>
      </c>
      <c r="C81" s="1044"/>
      <c r="D81" s="93">
        <v>6428.12</v>
      </c>
      <c r="E81" s="42"/>
      <c r="F81" s="42"/>
      <c r="G81" s="93">
        <v>1134.3800000000001</v>
      </c>
      <c r="H81" s="94">
        <v>7562.5</v>
      </c>
    </row>
    <row r="82" spans="1:9" ht="12.75" customHeight="1">
      <c r="A82" s="92" t="s">
        <v>336</v>
      </c>
      <c r="B82" s="1043" t="s">
        <v>337</v>
      </c>
      <c r="C82" s="1044"/>
      <c r="D82" s="93">
        <v>20991.06</v>
      </c>
      <c r="E82" s="42"/>
      <c r="F82" s="42"/>
      <c r="G82" s="93">
        <v>3704.3</v>
      </c>
      <c r="H82" s="94">
        <v>24695.360000000001</v>
      </c>
    </row>
    <row r="83" spans="1:9" ht="12.75" customHeight="1">
      <c r="A83" s="92" t="s">
        <v>198</v>
      </c>
      <c r="B83" s="1043" t="s">
        <v>338</v>
      </c>
      <c r="C83" s="1044"/>
      <c r="D83" s="93">
        <v>347043.02</v>
      </c>
      <c r="E83" s="42"/>
      <c r="F83" s="42"/>
      <c r="G83" s="93">
        <v>0</v>
      </c>
      <c r="H83" s="94">
        <v>347043.02</v>
      </c>
    </row>
    <row r="84" spans="1:9" ht="12.75" customHeight="1">
      <c r="A84" s="92" t="s">
        <v>339</v>
      </c>
      <c r="B84" s="1043" t="s">
        <v>340</v>
      </c>
      <c r="C84" s="1044"/>
      <c r="D84" s="93">
        <v>113873.76</v>
      </c>
      <c r="E84" s="42"/>
      <c r="F84" s="42"/>
      <c r="G84" s="42"/>
      <c r="H84" s="94">
        <v>113873.76</v>
      </c>
    </row>
    <row r="85" spans="1:9" ht="12.75" customHeight="1">
      <c r="A85" s="92" t="s">
        <v>98</v>
      </c>
      <c r="B85" s="1043" t="s">
        <v>344</v>
      </c>
      <c r="C85" s="1044"/>
      <c r="D85" s="93">
        <v>3326.72</v>
      </c>
      <c r="E85" s="42"/>
      <c r="F85" s="42"/>
      <c r="G85" s="93">
        <v>0</v>
      </c>
      <c r="H85" s="94">
        <v>3326.72</v>
      </c>
    </row>
    <row r="86" spans="1:9" ht="12.75" customHeight="1">
      <c r="A86" s="92" t="s">
        <v>156</v>
      </c>
      <c r="B86" s="1043" t="s">
        <v>345</v>
      </c>
      <c r="C86" s="1044"/>
      <c r="D86" s="93">
        <v>1532160.55</v>
      </c>
      <c r="E86" s="42"/>
      <c r="F86" s="42"/>
      <c r="G86" s="42"/>
      <c r="H86" s="94">
        <v>1532160.55</v>
      </c>
    </row>
    <row r="87" spans="1:9" ht="12.75" customHeight="1">
      <c r="A87" s="92" t="s">
        <v>176</v>
      </c>
      <c r="B87" s="1043" t="s">
        <v>346</v>
      </c>
      <c r="C87" s="1044"/>
      <c r="D87" s="93">
        <v>50735.6</v>
      </c>
      <c r="E87" s="42"/>
      <c r="F87" s="42"/>
      <c r="G87" s="93">
        <v>0</v>
      </c>
      <c r="H87" s="94">
        <v>50735.6</v>
      </c>
    </row>
    <row r="88" spans="1:9" ht="12.75" customHeight="1">
      <c r="A88" s="92" t="s">
        <v>200</v>
      </c>
      <c r="B88" s="1043" t="s">
        <v>347</v>
      </c>
      <c r="C88" s="1044"/>
      <c r="D88" s="42"/>
      <c r="E88" s="42"/>
      <c r="F88" s="93">
        <v>232355.91</v>
      </c>
      <c r="G88" s="93">
        <v>41003.99</v>
      </c>
      <c r="H88" s="94">
        <v>273359.90000000002</v>
      </c>
    </row>
    <row r="89" spans="1:9" ht="12.75" customHeight="1">
      <c r="A89" s="92" t="s">
        <v>106</v>
      </c>
      <c r="B89" s="1043" t="s">
        <v>348</v>
      </c>
      <c r="C89" s="1044"/>
      <c r="D89" s="42"/>
      <c r="E89" s="42"/>
      <c r="F89" s="93">
        <v>2273192.94</v>
      </c>
      <c r="G89" s="93">
        <v>0</v>
      </c>
      <c r="H89" s="94">
        <v>2273192.94</v>
      </c>
    </row>
    <row r="90" spans="1:9" ht="12.75" customHeight="1">
      <c r="A90" s="92" t="s">
        <v>144</v>
      </c>
      <c r="B90" s="1043" t="s">
        <v>349</v>
      </c>
      <c r="C90" s="1044"/>
      <c r="D90" s="42"/>
      <c r="E90" s="42"/>
      <c r="F90" s="93">
        <v>288531.15999999997</v>
      </c>
      <c r="G90" s="93">
        <v>0</v>
      </c>
      <c r="H90" s="94">
        <v>288531.15999999997</v>
      </c>
      <c r="I90" s="17"/>
    </row>
    <row r="91" spans="1:9" ht="12.75" customHeight="1">
      <c r="A91" s="92" t="s">
        <v>166</v>
      </c>
      <c r="B91" s="1043" t="s">
        <v>351</v>
      </c>
      <c r="C91" s="1044"/>
      <c r="D91" s="42"/>
      <c r="E91" s="42"/>
      <c r="F91" s="93">
        <v>94767.62</v>
      </c>
      <c r="G91" s="93">
        <v>0</v>
      </c>
      <c r="H91" s="94">
        <v>94767.62</v>
      </c>
    </row>
    <row r="92" spans="1:9" ht="12.75" customHeight="1">
      <c r="A92" s="92" t="s">
        <v>353</v>
      </c>
      <c r="B92" s="1043" t="s">
        <v>354</v>
      </c>
      <c r="C92" s="1044"/>
      <c r="D92" s="93">
        <v>1564066.27</v>
      </c>
      <c r="E92" s="42"/>
      <c r="F92" s="42"/>
      <c r="G92" s="93">
        <v>48241.57</v>
      </c>
      <c r="H92" s="94">
        <v>1612307.84</v>
      </c>
    </row>
    <row r="93" spans="1:9" ht="12.75" customHeight="1">
      <c r="A93" s="92" t="s">
        <v>114</v>
      </c>
      <c r="B93" s="1043" t="s">
        <v>358</v>
      </c>
      <c r="C93" s="1044"/>
      <c r="D93" s="93">
        <v>34580.06</v>
      </c>
      <c r="E93" s="42"/>
      <c r="F93" s="42"/>
      <c r="G93" s="42"/>
      <c r="H93" s="94">
        <v>34580.06</v>
      </c>
    </row>
    <row r="94" spans="1:9" ht="12.75" customHeight="1">
      <c r="A94" s="92" t="s">
        <v>182</v>
      </c>
      <c r="B94" s="1043" t="s">
        <v>359</v>
      </c>
      <c r="C94" s="1044"/>
      <c r="D94" s="93">
        <v>310348.08</v>
      </c>
      <c r="E94" s="42"/>
      <c r="F94" s="42"/>
      <c r="G94" s="93">
        <v>0</v>
      </c>
      <c r="H94" s="94">
        <v>310348.08</v>
      </c>
    </row>
    <row r="95" spans="1:9" ht="12.75" customHeight="1">
      <c r="A95" s="92" t="s">
        <v>164</v>
      </c>
      <c r="B95" s="1043" t="s">
        <v>360</v>
      </c>
      <c r="C95" s="1044"/>
      <c r="D95" s="93">
        <v>113004.67</v>
      </c>
      <c r="E95" s="42"/>
      <c r="F95" s="42"/>
      <c r="G95" s="93">
        <v>0</v>
      </c>
      <c r="H95" s="94">
        <v>113004.67</v>
      </c>
    </row>
    <row r="96" spans="1:9" ht="12.75" customHeight="1">
      <c r="A96" s="92" t="s">
        <v>120</v>
      </c>
      <c r="B96" s="1043" t="s">
        <v>361</v>
      </c>
      <c r="C96" s="1044"/>
      <c r="D96" s="93">
        <v>3731.95</v>
      </c>
      <c r="E96" s="42"/>
      <c r="F96" s="42"/>
      <c r="G96" s="42"/>
      <c r="H96" s="94">
        <v>3731.95</v>
      </c>
    </row>
    <row r="97" spans="1:8" ht="12.75" customHeight="1">
      <c r="A97" s="92" t="s">
        <v>172</v>
      </c>
      <c r="B97" s="1043" t="s">
        <v>362</v>
      </c>
      <c r="C97" s="1044"/>
      <c r="D97" s="93">
        <v>35673.379999999997</v>
      </c>
      <c r="E97" s="42"/>
      <c r="F97" s="42"/>
      <c r="G97" s="42"/>
      <c r="H97" s="94">
        <v>35673.379999999997</v>
      </c>
    </row>
    <row r="98" spans="1:8" ht="12.75" customHeight="1">
      <c r="A98" s="92" t="s">
        <v>161</v>
      </c>
      <c r="B98" s="1043" t="s">
        <v>363</v>
      </c>
      <c r="C98" s="1044"/>
      <c r="D98" s="93">
        <v>94.15</v>
      </c>
      <c r="E98" s="42"/>
      <c r="F98" s="42"/>
      <c r="G98" s="42"/>
      <c r="H98" s="94">
        <v>94.15</v>
      </c>
    </row>
    <row r="99" spans="1:8" ht="12.75" customHeight="1">
      <c r="A99" s="92" t="s">
        <v>196</v>
      </c>
      <c r="B99" s="1043" t="s">
        <v>364</v>
      </c>
      <c r="C99" s="1044"/>
      <c r="D99" s="93">
        <v>209372.93</v>
      </c>
      <c r="E99" s="42"/>
      <c r="F99" s="42"/>
      <c r="G99" s="93">
        <v>0</v>
      </c>
      <c r="H99" s="94">
        <v>209372.93</v>
      </c>
    </row>
    <row r="100" spans="1:8" ht="12.75" customHeight="1">
      <c r="A100" s="92" t="s">
        <v>365</v>
      </c>
      <c r="B100" s="1043" t="s">
        <v>366</v>
      </c>
      <c r="C100" s="1044"/>
      <c r="D100" s="93">
        <v>433336.91</v>
      </c>
      <c r="E100" s="42"/>
      <c r="F100" s="42"/>
      <c r="G100" s="93">
        <v>0</v>
      </c>
      <c r="H100" s="94">
        <v>433336.91</v>
      </c>
    </row>
    <row r="101" spans="1:8" ht="12.75" customHeight="1">
      <c r="A101" s="92" t="s">
        <v>167</v>
      </c>
      <c r="B101" s="1043" t="s">
        <v>367</v>
      </c>
      <c r="C101" s="1044"/>
      <c r="D101" s="42"/>
      <c r="E101" s="42"/>
      <c r="F101" s="93">
        <v>624754.23</v>
      </c>
      <c r="G101" s="93">
        <v>47238.05</v>
      </c>
      <c r="H101" s="94">
        <v>671992.28</v>
      </c>
    </row>
    <row r="102" spans="1:8" ht="12.75" customHeight="1">
      <c r="A102" s="92" t="s">
        <v>368</v>
      </c>
      <c r="B102" s="1043" t="s">
        <v>369</v>
      </c>
      <c r="C102" s="1044"/>
      <c r="D102" s="42"/>
      <c r="E102" s="42"/>
      <c r="F102" s="93">
        <v>6831.03</v>
      </c>
      <c r="G102" s="93">
        <v>0</v>
      </c>
      <c r="H102" s="94">
        <v>6831.03</v>
      </c>
    </row>
    <row r="103" spans="1:8" ht="12.75" customHeight="1">
      <c r="A103" s="92" t="s">
        <v>148</v>
      </c>
      <c r="B103" s="1043" t="s">
        <v>370</v>
      </c>
      <c r="C103" s="1044"/>
      <c r="D103" s="42"/>
      <c r="E103" s="42"/>
      <c r="F103" s="93">
        <v>52920.82</v>
      </c>
      <c r="G103" s="93">
        <v>0</v>
      </c>
      <c r="H103" s="94">
        <v>52920.82</v>
      </c>
    </row>
    <row r="104" spans="1:8" ht="12.75" customHeight="1">
      <c r="A104" s="92" t="s">
        <v>183</v>
      </c>
      <c r="B104" s="1043" t="s">
        <v>371</v>
      </c>
      <c r="C104" s="1044"/>
      <c r="D104" s="42"/>
      <c r="E104" s="42"/>
      <c r="F104" s="93">
        <v>1171.76</v>
      </c>
      <c r="G104" s="42"/>
      <c r="H104" s="94">
        <v>1171.76</v>
      </c>
    </row>
    <row r="105" spans="1:8" ht="12.75" customHeight="1">
      <c r="A105" s="92" t="s">
        <v>184</v>
      </c>
      <c r="B105" s="1043" t="s">
        <v>373</v>
      </c>
      <c r="C105" s="1044"/>
      <c r="D105" s="42"/>
      <c r="E105" s="42"/>
      <c r="F105" s="93">
        <v>26356.25</v>
      </c>
      <c r="G105" s="93">
        <v>4651.1000000000004</v>
      </c>
      <c r="H105" s="94">
        <v>31007.35</v>
      </c>
    </row>
    <row r="106" spans="1:8" ht="12.75" customHeight="1">
      <c r="A106" s="92" t="s">
        <v>374</v>
      </c>
      <c r="B106" s="1043" t="s">
        <v>375</v>
      </c>
      <c r="C106" s="1044"/>
      <c r="D106" s="42"/>
      <c r="E106" s="42"/>
      <c r="F106" s="93">
        <v>270505.34000000003</v>
      </c>
      <c r="G106" s="93">
        <v>0</v>
      </c>
      <c r="H106" s="94">
        <v>270505.34000000003</v>
      </c>
    </row>
    <row r="107" spans="1:8" ht="12.75" customHeight="1">
      <c r="A107" s="92" t="s">
        <v>143</v>
      </c>
      <c r="B107" s="1043" t="s">
        <v>376</v>
      </c>
      <c r="C107" s="1044"/>
      <c r="D107" s="42"/>
      <c r="E107" s="42"/>
      <c r="F107" s="93">
        <v>7491.63</v>
      </c>
      <c r="G107" s="93">
        <v>0</v>
      </c>
      <c r="H107" s="94">
        <v>7491.63</v>
      </c>
    </row>
    <row r="108" spans="1:8" ht="12.75" customHeight="1">
      <c r="A108" s="92" t="s">
        <v>377</v>
      </c>
      <c r="B108" s="1043" t="s">
        <v>378</v>
      </c>
      <c r="C108" s="1044"/>
      <c r="D108" s="93">
        <v>2085209.56</v>
      </c>
      <c r="E108" s="42"/>
      <c r="F108" s="42"/>
      <c r="G108" s="93">
        <v>0</v>
      </c>
      <c r="H108" s="94">
        <v>2085209.56</v>
      </c>
    </row>
    <row r="109" spans="1:8">
      <c r="A109" s="92" t="s">
        <v>130</v>
      </c>
      <c r="B109" s="1043" t="s">
        <v>379</v>
      </c>
      <c r="C109" s="1044"/>
      <c r="D109" s="93">
        <v>7191.8</v>
      </c>
      <c r="E109" s="42"/>
      <c r="F109" s="42"/>
      <c r="G109" s="93">
        <v>0</v>
      </c>
      <c r="H109" s="94">
        <v>7191.8</v>
      </c>
    </row>
    <row r="110" spans="1:8">
      <c r="A110" s="92" t="s">
        <v>133</v>
      </c>
      <c r="B110" s="1043" t="s">
        <v>380</v>
      </c>
      <c r="C110" s="1044"/>
      <c r="D110" s="93">
        <v>19163.740000000002</v>
      </c>
      <c r="E110" s="42"/>
      <c r="F110" s="42"/>
      <c r="G110" s="93">
        <v>0</v>
      </c>
      <c r="H110" s="94">
        <v>19163.740000000002</v>
      </c>
    </row>
    <row r="111" spans="1:8">
      <c r="A111" s="92" t="s">
        <v>193</v>
      </c>
      <c r="B111" s="1043" t="s">
        <v>286</v>
      </c>
      <c r="C111" s="1044"/>
      <c r="D111" s="93">
        <v>91126.480000000098</v>
      </c>
      <c r="E111" s="42"/>
      <c r="F111" s="42"/>
      <c r="G111" s="93">
        <v>0</v>
      </c>
      <c r="H111" s="94">
        <v>91126.480000000098</v>
      </c>
    </row>
    <row r="112" spans="1:8">
      <c r="A112" s="92" t="s">
        <v>195</v>
      </c>
      <c r="B112" s="1043" t="s">
        <v>286</v>
      </c>
      <c r="C112" s="1044"/>
      <c r="D112" s="42"/>
      <c r="E112" s="42"/>
      <c r="F112" s="93">
        <v>6251.37</v>
      </c>
      <c r="G112" s="93">
        <v>0</v>
      </c>
      <c r="H112" s="94">
        <v>6251.37</v>
      </c>
    </row>
  </sheetData>
  <mergeCells count="111">
    <mergeCell ref="B94:C94"/>
    <mergeCell ref="B95:C95"/>
    <mergeCell ref="B96:C96"/>
    <mergeCell ref="B97:C97"/>
    <mergeCell ref="B98:C98"/>
    <mergeCell ref="B99:C99"/>
    <mergeCell ref="B88:C88"/>
    <mergeCell ref="B52:C52"/>
    <mergeCell ref="B53:C53"/>
    <mergeCell ref="B54:C54"/>
    <mergeCell ref="B55:C55"/>
    <mergeCell ref="B56:C56"/>
    <mergeCell ref="B89:C89"/>
    <mergeCell ref="B90:C90"/>
    <mergeCell ref="B91:C91"/>
    <mergeCell ref="B92:C92"/>
    <mergeCell ref="B93:C93"/>
    <mergeCell ref="B82:C82"/>
    <mergeCell ref="B83:C83"/>
    <mergeCell ref="B84:C84"/>
    <mergeCell ref="B85:C85"/>
    <mergeCell ref="B86:C86"/>
    <mergeCell ref="B87:C87"/>
    <mergeCell ref="B76:C76"/>
    <mergeCell ref="B112:C112"/>
    <mergeCell ref="B77:C77"/>
    <mergeCell ref="B78:C78"/>
    <mergeCell ref="B79:C79"/>
    <mergeCell ref="B80:C80"/>
    <mergeCell ref="B81:C81"/>
    <mergeCell ref="B70:C70"/>
    <mergeCell ref="B71:C71"/>
    <mergeCell ref="B72:C72"/>
    <mergeCell ref="B73:C73"/>
    <mergeCell ref="B74:C74"/>
    <mergeCell ref="B75:C75"/>
    <mergeCell ref="B106:C106"/>
    <mergeCell ref="B107:C107"/>
    <mergeCell ref="B108:C108"/>
    <mergeCell ref="B109:C109"/>
    <mergeCell ref="B110:C110"/>
    <mergeCell ref="B111:C111"/>
    <mergeCell ref="B100:C100"/>
    <mergeCell ref="B101:C101"/>
    <mergeCell ref="B102:C102"/>
    <mergeCell ref="B103:C103"/>
    <mergeCell ref="B104:C104"/>
    <mergeCell ref="B105:C105"/>
    <mergeCell ref="B64:C64"/>
    <mergeCell ref="B65:C65"/>
    <mergeCell ref="B66:C66"/>
    <mergeCell ref="B67:C67"/>
    <mergeCell ref="B68:C68"/>
    <mergeCell ref="B69:C69"/>
    <mergeCell ref="B58:C58"/>
    <mergeCell ref="B59:C59"/>
    <mergeCell ref="B60:C60"/>
    <mergeCell ref="B61:C61"/>
    <mergeCell ref="B62:C62"/>
    <mergeCell ref="B63:C63"/>
    <mergeCell ref="B57:C57"/>
    <mergeCell ref="B46:C46"/>
    <mergeCell ref="B47:C47"/>
    <mergeCell ref="B48:C48"/>
    <mergeCell ref="B49:C49"/>
    <mergeCell ref="B50:C50"/>
    <mergeCell ref="B51:C51"/>
    <mergeCell ref="B40:C40"/>
    <mergeCell ref="B41:C41"/>
    <mergeCell ref="B42:C42"/>
    <mergeCell ref="B43:C43"/>
    <mergeCell ref="B44:C44"/>
    <mergeCell ref="B45:C45"/>
    <mergeCell ref="B39:C39"/>
    <mergeCell ref="B28:C28"/>
    <mergeCell ref="B29:C29"/>
    <mergeCell ref="B30:C30"/>
    <mergeCell ref="B31:C31"/>
    <mergeCell ref="B32:C32"/>
    <mergeCell ref="B33:C33"/>
    <mergeCell ref="B22:C22"/>
    <mergeCell ref="B23:C23"/>
    <mergeCell ref="B24:C24"/>
    <mergeCell ref="B25:C25"/>
    <mergeCell ref="B26:C26"/>
    <mergeCell ref="B27:C27"/>
    <mergeCell ref="B34:C34"/>
    <mergeCell ref="B35:C35"/>
    <mergeCell ref="B36:C36"/>
    <mergeCell ref="B37:C37"/>
    <mergeCell ref="A1:I1"/>
    <mergeCell ref="A3:I3"/>
    <mergeCell ref="A4:I4"/>
    <mergeCell ref="A5:I5"/>
    <mergeCell ref="A6:I6"/>
    <mergeCell ref="A8:A9"/>
    <mergeCell ref="B8:B9"/>
    <mergeCell ref="D8:H8"/>
    <mergeCell ref="B38:C38"/>
    <mergeCell ref="B21:C21"/>
    <mergeCell ref="B16:C16"/>
    <mergeCell ref="B17:C17"/>
    <mergeCell ref="B18:C18"/>
    <mergeCell ref="B19:C19"/>
    <mergeCell ref="B20:C20"/>
    <mergeCell ref="B10:C10"/>
    <mergeCell ref="B11:C11"/>
    <mergeCell ref="B12:C12"/>
    <mergeCell ref="B13:C13"/>
    <mergeCell ref="B14:C14"/>
    <mergeCell ref="B15:C15"/>
  </mergeCells>
  <pageMargins left="0.75" right="0.75" top="1" bottom="1" header="0.5" footer="0.5"/>
  <pageSetup paperSize="9" scale="58"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54"/>
  <sheetViews>
    <sheetView showGridLines="0" workbookViewId="0">
      <selection activeCell="F58" sqref="F58"/>
    </sheetView>
  </sheetViews>
  <sheetFormatPr defaultRowHeight="12.75"/>
  <cols>
    <col min="1" max="1" width="13" style="32" customWidth="1"/>
    <col min="2" max="2" width="73.7109375" style="32" customWidth="1"/>
    <col min="3" max="3" width="17.140625" style="32" customWidth="1"/>
    <col min="4" max="4" width="19.28515625" style="32" customWidth="1"/>
    <col min="5" max="5" width="19" style="32" customWidth="1"/>
    <col min="6" max="6" width="19.28515625" style="32" customWidth="1"/>
    <col min="7" max="7" width="19" style="32" customWidth="1"/>
    <col min="8" max="8" width="19.28515625" style="32" customWidth="1"/>
    <col min="9" max="16384" width="9.140625" style="32"/>
  </cols>
  <sheetData>
    <row r="1" spans="1:9" ht="22.5" customHeight="1">
      <c r="A1" s="1049" t="s">
        <v>706</v>
      </c>
      <c r="B1" s="1049"/>
      <c r="C1" s="1049"/>
      <c r="D1" s="1049"/>
      <c r="E1" s="1049"/>
      <c r="F1" s="1049"/>
      <c r="G1" s="1049"/>
      <c r="H1" s="1049"/>
      <c r="I1" s="1049"/>
    </row>
    <row r="2" spans="1:9" ht="10.5" customHeight="1"/>
    <row r="3" spans="1:9">
      <c r="A3" s="1050" t="s">
        <v>645</v>
      </c>
      <c r="B3" s="1050"/>
      <c r="C3" s="1050"/>
      <c r="D3" s="1050"/>
      <c r="E3" s="1050"/>
      <c r="F3" s="1050"/>
      <c r="G3" s="1050"/>
      <c r="H3" s="1050"/>
      <c r="I3" s="1050"/>
    </row>
    <row r="4" spans="1:9">
      <c r="A4" s="1050" t="s">
        <v>648</v>
      </c>
      <c r="B4" s="1050"/>
      <c r="C4" s="1050"/>
      <c r="D4" s="1050"/>
      <c r="E4" s="1050"/>
      <c r="F4" s="1050"/>
      <c r="G4" s="1050"/>
      <c r="H4" s="1050"/>
      <c r="I4" s="1050"/>
    </row>
    <row r="5" spans="1:9">
      <c r="A5" s="1050" t="s">
        <v>646</v>
      </c>
      <c r="B5" s="1050"/>
      <c r="C5" s="1050"/>
      <c r="D5" s="1050"/>
      <c r="E5" s="1050"/>
      <c r="F5" s="1050"/>
      <c r="G5" s="1050"/>
      <c r="H5" s="1050"/>
      <c r="I5" s="1050"/>
    </row>
    <row r="6" spans="1:9">
      <c r="A6" s="1050" t="s">
        <v>734</v>
      </c>
      <c r="B6" s="1050"/>
      <c r="C6" s="1050"/>
      <c r="D6" s="1050"/>
      <c r="E6" s="1050"/>
      <c r="F6" s="1050"/>
      <c r="G6" s="1050"/>
      <c r="H6" s="1050"/>
      <c r="I6" s="1050"/>
    </row>
    <row r="8" spans="1:9">
      <c r="A8" s="1047" t="s">
        <v>221</v>
      </c>
      <c r="B8" s="1047" t="s">
        <v>222</v>
      </c>
      <c r="C8" s="56" t="s">
        <v>667</v>
      </c>
      <c r="D8" s="1051" t="s">
        <v>388</v>
      </c>
      <c r="E8" s="1052"/>
      <c r="F8" s="1052"/>
      <c r="G8" s="1052"/>
      <c r="H8" s="1053"/>
    </row>
    <row r="9" spans="1:9" ht="24">
      <c r="A9" s="1048"/>
      <c r="B9" s="1048"/>
      <c r="C9" s="57" t="s">
        <v>668</v>
      </c>
      <c r="D9" s="44" t="s">
        <v>649</v>
      </c>
      <c r="E9" s="44" t="s">
        <v>650</v>
      </c>
      <c r="F9" s="44" t="s">
        <v>651</v>
      </c>
      <c r="G9" s="44" t="s">
        <v>652</v>
      </c>
      <c r="H9" s="43" t="s">
        <v>647</v>
      </c>
    </row>
    <row r="10" spans="1:9">
      <c r="A10" s="92" t="s">
        <v>227</v>
      </c>
      <c r="B10" s="1045" t="s">
        <v>228</v>
      </c>
      <c r="C10" s="1046"/>
      <c r="D10" s="42"/>
      <c r="E10" s="45">
        <v>309012</v>
      </c>
      <c r="F10" s="45">
        <v>54535</v>
      </c>
      <c r="G10" s="42"/>
      <c r="H10" s="33">
        <v>363547</v>
      </c>
    </row>
    <row r="11" spans="1:9" ht="12.75" customHeight="1">
      <c r="A11" s="92" t="s">
        <v>220</v>
      </c>
      <c r="B11" s="1043" t="s">
        <v>232</v>
      </c>
      <c r="C11" s="1044"/>
      <c r="D11" s="42"/>
      <c r="E11" s="45">
        <v>260594</v>
      </c>
      <c r="F11" s="45">
        <v>45988</v>
      </c>
      <c r="G11" s="42"/>
      <c r="H11" s="33">
        <v>306582</v>
      </c>
    </row>
    <row r="12" spans="1:9" ht="24" customHeight="1">
      <c r="A12" s="92" t="s">
        <v>204</v>
      </c>
      <c r="B12" s="1043" t="s">
        <v>242</v>
      </c>
      <c r="C12" s="1044"/>
      <c r="D12" s="42"/>
      <c r="E12" s="45">
        <v>182450</v>
      </c>
      <c r="F12" s="45">
        <v>0</v>
      </c>
      <c r="G12" s="42"/>
      <c r="H12" s="33">
        <v>182450</v>
      </c>
    </row>
    <row r="13" spans="1:9" ht="24" customHeight="1">
      <c r="A13" s="92" t="s">
        <v>243</v>
      </c>
      <c r="B13" s="1043" t="s">
        <v>244</v>
      </c>
      <c r="C13" s="1044"/>
      <c r="D13" s="42"/>
      <c r="E13" s="45">
        <v>44369.66</v>
      </c>
      <c r="F13" s="45">
        <v>0</v>
      </c>
      <c r="G13" s="42"/>
      <c r="H13" s="33">
        <v>44369.66</v>
      </c>
    </row>
    <row r="14" spans="1:9" ht="24" customHeight="1">
      <c r="A14" s="92" t="s">
        <v>246</v>
      </c>
      <c r="B14" s="1043" t="s">
        <v>247</v>
      </c>
      <c r="C14" s="1044"/>
      <c r="D14" s="42"/>
      <c r="E14" s="45">
        <v>720900.21</v>
      </c>
      <c r="F14" s="45">
        <v>0</v>
      </c>
      <c r="G14" s="42"/>
      <c r="H14" s="33">
        <v>720900.21</v>
      </c>
    </row>
    <row r="15" spans="1:9">
      <c r="A15" s="92" t="s">
        <v>178</v>
      </c>
      <c r="B15" s="1043" t="s">
        <v>259</v>
      </c>
      <c r="C15" s="1044"/>
      <c r="D15" s="42"/>
      <c r="E15" s="45">
        <v>59115.47</v>
      </c>
      <c r="F15" s="45">
        <v>0</v>
      </c>
      <c r="G15" s="42"/>
      <c r="H15" s="33">
        <v>59115.47</v>
      </c>
    </row>
    <row r="16" spans="1:9" ht="12.75" customHeight="1">
      <c r="A16" s="92" t="s">
        <v>266</v>
      </c>
      <c r="B16" s="1043" t="s">
        <v>267</v>
      </c>
      <c r="C16" s="1044"/>
      <c r="D16" s="42"/>
      <c r="E16" s="45">
        <v>199954.65</v>
      </c>
      <c r="F16" s="45">
        <v>0</v>
      </c>
      <c r="G16" s="42"/>
      <c r="H16" s="33">
        <v>199954.65</v>
      </c>
    </row>
    <row r="17" spans="1:8">
      <c r="A17" s="92" t="s">
        <v>270</v>
      </c>
      <c r="B17" s="1043" t="s">
        <v>271</v>
      </c>
      <c r="C17" s="1044"/>
      <c r="D17" s="42"/>
      <c r="E17" s="45">
        <v>175768.07</v>
      </c>
      <c r="F17" s="45">
        <v>31017.9</v>
      </c>
      <c r="G17" s="42"/>
      <c r="H17" s="33">
        <v>206785.97</v>
      </c>
    </row>
    <row r="18" spans="1:8" ht="12.75" customHeight="1">
      <c r="A18" s="92" t="s">
        <v>274</v>
      </c>
      <c r="B18" s="1043" t="s">
        <v>275</v>
      </c>
      <c r="C18" s="1044"/>
      <c r="D18" s="42"/>
      <c r="E18" s="45">
        <v>1868649.92</v>
      </c>
      <c r="F18" s="45">
        <v>329761.7</v>
      </c>
      <c r="G18" s="42"/>
      <c r="H18" s="33">
        <v>2198411.62</v>
      </c>
    </row>
    <row r="19" spans="1:8">
      <c r="A19" s="92" t="s">
        <v>277</v>
      </c>
      <c r="B19" s="1043" t="s">
        <v>278</v>
      </c>
      <c r="C19" s="1044"/>
      <c r="D19" s="42"/>
      <c r="E19" s="45">
        <v>96246.57</v>
      </c>
      <c r="F19" s="45">
        <v>0</v>
      </c>
      <c r="G19" s="42"/>
      <c r="H19" s="33">
        <v>96246.57</v>
      </c>
    </row>
    <row r="20" spans="1:8" ht="12.75" customHeight="1">
      <c r="A20" s="92" t="s">
        <v>279</v>
      </c>
      <c r="B20" s="1043" t="s">
        <v>280</v>
      </c>
      <c r="C20" s="1044"/>
      <c r="D20" s="42"/>
      <c r="E20" s="45">
        <v>142593.51</v>
      </c>
      <c r="F20" s="45">
        <v>0</v>
      </c>
      <c r="G20" s="42"/>
      <c r="H20" s="33">
        <v>142593.51</v>
      </c>
    </row>
    <row r="21" spans="1:8">
      <c r="A21" s="92" t="s">
        <v>281</v>
      </c>
      <c r="B21" s="1043" t="s">
        <v>282</v>
      </c>
      <c r="C21" s="1044"/>
      <c r="D21" s="42"/>
      <c r="E21" s="45">
        <v>31507</v>
      </c>
      <c r="F21" s="45">
        <v>0</v>
      </c>
      <c r="G21" s="42"/>
      <c r="H21" s="33">
        <v>31507</v>
      </c>
    </row>
    <row r="22" spans="1:8">
      <c r="A22" s="92" t="s">
        <v>287</v>
      </c>
      <c r="B22" s="1043" t="s">
        <v>288</v>
      </c>
      <c r="C22" s="1044"/>
      <c r="D22" s="45">
        <v>338200</v>
      </c>
      <c r="E22" s="42"/>
      <c r="F22" s="45">
        <v>0</v>
      </c>
      <c r="G22" s="42"/>
      <c r="H22" s="33">
        <v>338200</v>
      </c>
    </row>
    <row r="23" spans="1:8">
      <c r="A23" s="92" t="s">
        <v>58</v>
      </c>
      <c r="B23" s="1043" t="s">
        <v>291</v>
      </c>
      <c r="C23" s="1044"/>
      <c r="D23" s="45">
        <v>5257103</v>
      </c>
      <c r="E23" s="42"/>
      <c r="F23" s="45">
        <v>0</v>
      </c>
      <c r="G23" s="42"/>
      <c r="H23" s="33">
        <v>5257103</v>
      </c>
    </row>
    <row r="24" spans="1:8" ht="12.75" customHeight="1">
      <c r="A24" s="92" t="s">
        <v>295</v>
      </c>
      <c r="B24" s="1043" t="s">
        <v>296</v>
      </c>
      <c r="C24" s="1044"/>
      <c r="D24" s="45">
        <v>1825932.67</v>
      </c>
      <c r="E24" s="42"/>
      <c r="F24" s="45">
        <v>148970.54999999999</v>
      </c>
      <c r="G24" s="42"/>
      <c r="H24" s="33">
        <v>1974903.22</v>
      </c>
    </row>
    <row r="25" spans="1:8" ht="12.75" customHeight="1">
      <c r="A25" s="92" t="s">
        <v>297</v>
      </c>
      <c r="B25" s="1043" t="s">
        <v>298</v>
      </c>
      <c r="C25" s="1044"/>
      <c r="D25" s="45">
        <v>15688402.52</v>
      </c>
      <c r="E25" s="42"/>
      <c r="F25" s="45">
        <v>571924.38</v>
      </c>
      <c r="G25" s="42"/>
      <c r="H25" s="33">
        <v>16260326.9</v>
      </c>
    </row>
    <row r="26" spans="1:8" ht="12.75" customHeight="1">
      <c r="A26" s="92" t="s">
        <v>207</v>
      </c>
      <c r="B26" s="1043" t="s">
        <v>299</v>
      </c>
      <c r="C26" s="1044"/>
      <c r="D26" s="45">
        <v>140838.16</v>
      </c>
      <c r="E26" s="42"/>
      <c r="F26" s="45">
        <v>17100.900000000001</v>
      </c>
      <c r="G26" s="42"/>
      <c r="H26" s="33">
        <v>157939.06</v>
      </c>
    </row>
    <row r="27" spans="1:8">
      <c r="A27" s="92" t="s">
        <v>300</v>
      </c>
      <c r="B27" s="1043" t="s">
        <v>301</v>
      </c>
      <c r="C27" s="1044"/>
      <c r="D27" s="45">
        <v>28669129.850000001</v>
      </c>
      <c r="E27" s="42"/>
      <c r="F27" s="45">
        <v>0</v>
      </c>
      <c r="G27" s="42"/>
      <c r="H27" s="33">
        <v>28669129.850000001</v>
      </c>
    </row>
    <row r="28" spans="1:8" ht="12.75" customHeight="1">
      <c r="A28" s="92" t="s">
        <v>307</v>
      </c>
      <c r="B28" s="1043" t="s">
        <v>308</v>
      </c>
      <c r="C28" s="1044"/>
      <c r="D28" s="45">
        <v>1008156.82</v>
      </c>
      <c r="E28" s="42"/>
      <c r="F28" s="45">
        <v>178.68</v>
      </c>
      <c r="G28" s="42"/>
      <c r="H28" s="33">
        <v>1008335.5</v>
      </c>
    </row>
    <row r="29" spans="1:8" ht="12.75" customHeight="1">
      <c r="A29" s="92" t="s">
        <v>732</v>
      </c>
      <c r="B29" s="1043" t="s">
        <v>314</v>
      </c>
      <c r="C29" s="1044"/>
      <c r="D29" s="45">
        <v>14195964.640000001</v>
      </c>
      <c r="E29" s="42"/>
      <c r="F29" s="45">
        <v>0</v>
      </c>
      <c r="G29" s="42"/>
      <c r="H29" s="33">
        <v>14195964.640000001</v>
      </c>
    </row>
    <row r="30" spans="1:8" ht="12.75" customHeight="1">
      <c r="A30" s="92" t="s">
        <v>315</v>
      </c>
      <c r="B30" s="1043" t="s">
        <v>316</v>
      </c>
      <c r="C30" s="1044"/>
      <c r="D30" s="45">
        <v>36004386</v>
      </c>
      <c r="E30" s="42"/>
      <c r="F30" s="45">
        <v>5726247</v>
      </c>
      <c r="G30" s="42"/>
      <c r="H30" s="33">
        <v>41730633</v>
      </c>
    </row>
    <row r="31" spans="1:8" ht="12.75" customHeight="1">
      <c r="A31" s="92" t="s">
        <v>173</v>
      </c>
      <c r="B31" s="1043" t="s">
        <v>322</v>
      </c>
      <c r="C31" s="1044"/>
      <c r="D31" s="45">
        <v>83633</v>
      </c>
      <c r="E31" s="42"/>
      <c r="F31" s="45">
        <v>0</v>
      </c>
      <c r="G31" s="42"/>
      <c r="H31" s="33">
        <v>83633</v>
      </c>
    </row>
    <row r="32" spans="1:8" ht="12.75" customHeight="1">
      <c r="A32" s="92" t="s">
        <v>328</v>
      </c>
      <c r="B32" s="1043" t="s">
        <v>329</v>
      </c>
      <c r="C32" s="1044"/>
      <c r="D32" s="45">
        <v>970589</v>
      </c>
      <c r="E32" s="42"/>
      <c r="F32" s="45">
        <v>0</v>
      </c>
      <c r="G32" s="42"/>
      <c r="H32" s="33">
        <v>970589</v>
      </c>
    </row>
    <row r="33" spans="1:8">
      <c r="A33" s="92" t="s">
        <v>208</v>
      </c>
      <c r="B33" s="1043" t="s">
        <v>330</v>
      </c>
      <c r="C33" s="1044"/>
      <c r="D33" s="45">
        <v>181061</v>
      </c>
      <c r="E33" s="42"/>
      <c r="F33" s="45">
        <v>0</v>
      </c>
      <c r="G33" s="42"/>
      <c r="H33" s="33">
        <v>181061</v>
      </c>
    </row>
    <row r="34" spans="1:8">
      <c r="A34" s="92" t="s">
        <v>189</v>
      </c>
      <c r="B34" s="1043" t="s">
        <v>331</v>
      </c>
      <c r="C34" s="1044"/>
      <c r="D34" s="45">
        <v>148975.53</v>
      </c>
      <c r="E34" s="42"/>
      <c r="F34" s="45">
        <v>0</v>
      </c>
      <c r="G34" s="42"/>
      <c r="H34" s="33">
        <v>148975.53</v>
      </c>
    </row>
    <row r="35" spans="1:8">
      <c r="A35" s="92" t="s">
        <v>197</v>
      </c>
      <c r="B35" s="1043" t="s">
        <v>332</v>
      </c>
      <c r="C35" s="1044"/>
      <c r="D35" s="45">
        <v>199366.6</v>
      </c>
      <c r="E35" s="42"/>
      <c r="F35" s="45">
        <v>0</v>
      </c>
      <c r="G35" s="42"/>
      <c r="H35" s="33">
        <v>199366.6</v>
      </c>
    </row>
    <row r="36" spans="1:8">
      <c r="A36" s="92" t="s">
        <v>157</v>
      </c>
      <c r="B36" s="1043" t="s">
        <v>333</v>
      </c>
      <c r="C36" s="1044"/>
      <c r="D36" s="45">
        <v>6526645.0999999996</v>
      </c>
      <c r="E36" s="42"/>
      <c r="F36" s="45">
        <v>1151760.8999999999</v>
      </c>
      <c r="G36" s="42"/>
      <c r="H36" s="33">
        <v>7678406</v>
      </c>
    </row>
    <row r="37" spans="1:8">
      <c r="A37" s="92" t="s">
        <v>336</v>
      </c>
      <c r="B37" s="1043" t="s">
        <v>337</v>
      </c>
      <c r="C37" s="1044"/>
      <c r="D37" s="45">
        <v>16163600</v>
      </c>
      <c r="E37" s="42"/>
      <c r="F37" s="45">
        <v>2852400</v>
      </c>
      <c r="G37" s="42"/>
      <c r="H37" s="33">
        <v>19016000</v>
      </c>
    </row>
    <row r="38" spans="1:8">
      <c r="A38" s="92" t="s">
        <v>198</v>
      </c>
      <c r="B38" s="1043" t="s">
        <v>338</v>
      </c>
      <c r="C38" s="1044"/>
      <c r="D38" s="45">
        <v>1552349.04</v>
      </c>
      <c r="E38" s="42"/>
      <c r="F38" s="45">
        <v>0</v>
      </c>
      <c r="G38" s="42"/>
      <c r="H38" s="33">
        <v>1552349.04</v>
      </c>
    </row>
    <row r="39" spans="1:8" ht="12.75" customHeight="1">
      <c r="A39" s="92" t="s">
        <v>339</v>
      </c>
      <c r="B39" s="1043" t="s">
        <v>340</v>
      </c>
      <c r="C39" s="1044"/>
      <c r="D39" s="45">
        <v>145211.37</v>
      </c>
      <c r="E39" s="42"/>
      <c r="F39" s="45">
        <v>0</v>
      </c>
      <c r="G39" s="42"/>
      <c r="H39" s="33">
        <v>145211.37</v>
      </c>
    </row>
    <row r="40" spans="1:8" ht="12.75" customHeight="1">
      <c r="A40" s="92" t="s">
        <v>176</v>
      </c>
      <c r="B40" s="1043" t="s">
        <v>346</v>
      </c>
      <c r="C40" s="1044"/>
      <c r="D40" s="45">
        <v>4389.6099999999997</v>
      </c>
      <c r="E40" s="42"/>
      <c r="F40" s="45">
        <v>0</v>
      </c>
      <c r="G40" s="42"/>
      <c r="H40" s="33">
        <v>4389.6099999999997</v>
      </c>
    </row>
    <row r="41" spans="1:8" ht="12.75" customHeight="1">
      <c r="A41" s="92" t="s">
        <v>200</v>
      </c>
      <c r="B41" s="1043" t="s">
        <v>347</v>
      </c>
      <c r="C41" s="1044"/>
      <c r="D41" s="42"/>
      <c r="E41" s="42"/>
      <c r="F41" s="45">
        <v>18948150</v>
      </c>
      <c r="G41" s="45">
        <v>107372850</v>
      </c>
      <c r="H41" s="33">
        <v>126321000</v>
      </c>
    </row>
    <row r="42" spans="1:8" ht="12.75" customHeight="1">
      <c r="A42" s="92" t="s">
        <v>109</v>
      </c>
      <c r="B42" s="1043" t="s">
        <v>352</v>
      </c>
      <c r="C42" s="1044"/>
      <c r="D42" s="42"/>
      <c r="E42" s="42"/>
      <c r="F42" s="45">
        <v>0</v>
      </c>
      <c r="G42" s="45">
        <v>100079289</v>
      </c>
      <c r="H42" s="33">
        <v>100079289</v>
      </c>
    </row>
    <row r="43" spans="1:8" ht="12.75" customHeight="1">
      <c r="A43" s="92" t="s">
        <v>353</v>
      </c>
      <c r="B43" s="1043" t="s">
        <v>354</v>
      </c>
      <c r="C43" s="1044"/>
      <c r="D43" s="45">
        <v>5916787.6699999999</v>
      </c>
      <c r="E43" s="42"/>
      <c r="F43" s="45">
        <v>55474.3</v>
      </c>
      <c r="G43" s="42"/>
      <c r="H43" s="33">
        <v>5972261.9699999997</v>
      </c>
    </row>
    <row r="44" spans="1:8" ht="12.75" customHeight="1">
      <c r="A44" s="92" t="s">
        <v>182</v>
      </c>
      <c r="B44" s="1043" t="s">
        <v>359</v>
      </c>
      <c r="C44" s="1044"/>
      <c r="D44" s="45">
        <v>699991.52</v>
      </c>
      <c r="E44" s="42"/>
      <c r="F44" s="45">
        <v>0</v>
      </c>
      <c r="G44" s="42"/>
      <c r="H44" s="33">
        <v>699991.52</v>
      </c>
    </row>
    <row r="45" spans="1:8" ht="12.75" customHeight="1">
      <c r="A45" s="92" t="s">
        <v>164</v>
      </c>
      <c r="B45" s="1043" t="s">
        <v>360</v>
      </c>
      <c r="C45" s="1044"/>
      <c r="D45" s="45">
        <v>682554.41</v>
      </c>
      <c r="E45" s="42"/>
      <c r="F45" s="45">
        <v>0</v>
      </c>
      <c r="G45" s="42"/>
      <c r="H45" s="33">
        <v>682554.41</v>
      </c>
    </row>
    <row r="46" spans="1:8" ht="12.75" customHeight="1">
      <c r="A46" s="92" t="s">
        <v>161</v>
      </c>
      <c r="B46" s="1043" t="s">
        <v>363</v>
      </c>
      <c r="C46" s="1044"/>
      <c r="D46" s="45">
        <v>678809.01</v>
      </c>
      <c r="E46" s="42"/>
      <c r="F46" s="45">
        <v>0</v>
      </c>
      <c r="G46" s="42"/>
      <c r="H46" s="33">
        <v>678809.01</v>
      </c>
    </row>
    <row r="47" spans="1:8">
      <c r="A47" s="92" t="s">
        <v>196</v>
      </c>
      <c r="B47" s="1043" t="s">
        <v>364</v>
      </c>
      <c r="C47" s="1044"/>
      <c r="D47" s="45">
        <v>3372518.34</v>
      </c>
      <c r="E47" s="42"/>
      <c r="F47" s="45">
        <v>20097.64</v>
      </c>
      <c r="G47" s="42"/>
      <c r="H47" s="33">
        <v>3392615.98</v>
      </c>
    </row>
    <row r="48" spans="1:8">
      <c r="A48" s="92" t="s">
        <v>365</v>
      </c>
      <c r="B48" s="1043" t="s">
        <v>366</v>
      </c>
      <c r="C48" s="1044"/>
      <c r="D48" s="45">
        <v>501331.27</v>
      </c>
      <c r="E48" s="42"/>
      <c r="F48" s="45">
        <v>0</v>
      </c>
      <c r="G48" s="42"/>
      <c r="H48" s="33">
        <v>501331.27</v>
      </c>
    </row>
    <row r="49" spans="1:8">
      <c r="A49" s="92" t="s">
        <v>183</v>
      </c>
      <c r="B49" s="1043" t="s">
        <v>371</v>
      </c>
      <c r="C49" s="1044"/>
      <c r="D49" s="42"/>
      <c r="E49" s="42"/>
      <c r="F49" s="45">
        <v>0</v>
      </c>
      <c r="G49" s="45">
        <v>4796637.3</v>
      </c>
      <c r="H49" s="33">
        <v>4796637.3</v>
      </c>
    </row>
    <row r="50" spans="1:8" ht="12.75" customHeight="1">
      <c r="A50" s="92" t="s">
        <v>184</v>
      </c>
      <c r="B50" s="1043" t="s">
        <v>373</v>
      </c>
      <c r="C50" s="1044"/>
      <c r="D50" s="42"/>
      <c r="E50" s="42"/>
      <c r="F50" s="45">
        <v>456750</v>
      </c>
      <c r="G50" s="45">
        <v>2588250</v>
      </c>
      <c r="H50" s="33">
        <v>3045000</v>
      </c>
    </row>
    <row r="51" spans="1:8" ht="12.75" customHeight="1">
      <c r="A51" s="92" t="s">
        <v>374</v>
      </c>
      <c r="B51" s="1043" t="s">
        <v>375</v>
      </c>
      <c r="C51" s="1044"/>
      <c r="D51" s="42"/>
      <c r="E51" s="42"/>
      <c r="F51" s="45">
        <v>0</v>
      </c>
      <c r="G51" s="45">
        <v>759579.84</v>
      </c>
      <c r="H51" s="33">
        <v>759579.84</v>
      </c>
    </row>
    <row r="52" spans="1:8" ht="12.75" customHeight="1">
      <c r="A52" s="92" t="s">
        <v>377</v>
      </c>
      <c r="B52" s="1043" t="s">
        <v>378</v>
      </c>
      <c r="C52" s="1044"/>
      <c r="D52" s="45">
        <v>4791603</v>
      </c>
      <c r="E52" s="42"/>
      <c r="F52" s="45">
        <v>0</v>
      </c>
      <c r="G52" s="42"/>
      <c r="H52" s="33">
        <v>4791603</v>
      </c>
    </row>
    <row r="54" spans="1:8">
      <c r="H54" s="257">
        <f>SUM(H10:H53)</f>
        <v>395845653.28000003</v>
      </c>
    </row>
  </sheetData>
  <mergeCells count="51">
    <mergeCell ref="B16:C16"/>
    <mergeCell ref="B52:C52"/>
    <mergeCell ref="B51:C51"/>
    <mergeCell ref="B22:C22"/>
    <mergeCell ref="B17:C17"/>
    <mergeCell ref="B18:C18"/>
    <mergeCell ref="B19:C19"/>
    <mergeCell ref="B20:C20"/>
    <mergeCell ref="B21:C21"/>
    <mergeCell ref="B23:C23"/>
    <mergeCell ref="B28:C28"/>
    <mergeCell ref="B29:C29"/>
    <mergeCell ref="B30:C30"/>
    <mergeCell ref="B31:C31"/>
    <mergeCell ref="B32:C32"/>
    <mergeCell ref="B33:C33"/>
    <mergeCell ref="B15:C15"/>
    <mergeCell ref="B10:C10"/>
    <mergeCell ref="B11:C11"/>
    <mergeCell ref="B12:C12"/>
    <mergeCell ref="B13:C13"/>
    <mergeCell ref="B14:C14"/>
    <mergeCell ref="A8:A9"/>
    <mergeCell ref="B8:B9"/>
    <mergeCell ref="A1:I1"/>
    <mergeCell ref="A3:I3"/>
    <mergeCell ref="A4:I4"/>
    <mergeCell ref="A5:I5"/>
    <mergeCell ref="A6:I6"/>
    <mergeCell ref="D8:H8"/>
    <mergeCell ref="B24:C24"/>
    <mergeCell ref="B25:C25"/>
    <mergeCell ref="B26:C26"/>
    <mergeCell ref="B27:C27"/>
    <mergeCell ref="B36:C36"/>
    <mergeCell ref="B35:C35"/>
    <mergeCell ref="B34:C34"/>
    <mergeCell ref="B37:C37"/>
    <mergeCell ref="B38:C38"/>
    <mergeCell ref="B50:C50"/>
    <mergeCell ref="B47:C47"/>
    <mergeCell ref="B39:C39"/>
    <mergeCell ref="B40:C40"/>
    <mergeCell ref="B46:C46"/>
    <mergeCell ref="B41:C41"/>
    <mergeCell ref="B42:C42"/>
    <mergeCell ref="B43:C43"/>
    <mergeCell ref="B44:C44"/>
    <mergeCell ref="B45:C45"/>
    <mergeCell ref="B49:C49"/>
    <mergeCell ref="B48:C4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135"/>
  <sheetViews>
    <sheetView showGridLines="0" topLeftCell="A92" workbookViewId="0">
      <selection activeCell="B136" sqref="B136"/>
    </sheetView>
  </sheetViews>
  <sheetFormatPr defaultRowHeight="12.75"/>
  <cols>
    <col min="1" max="1" width="12.7109375" style="32" customWidth="1"/>
    <col min="2" max="2" width="67.5703125" style="32" customWidth="1"/>
    <col min="3" max="3" width="16.42578125" style="32" customWidth="1"/>
    <col min="4" max="4" width="19" style="32" customWidth="1"/>
    <col min="5" max="5" width="19.28515625" style="32" customWidth="1"/>
    <col min="6" max="6" width="19" style="32" customWidth="1"/>
    <col min="7" max="7" width="19.28515625" style="32" customWidth="1"/>
    <col min="8" max="8" width="19" style="32" customWidth="1"/>
    <col min="9" max="9" width="26.28515625" style="32" customWidth="1"/>
    <col min="10" max="16384" width="9.140625" style="32"/>
  </cols>
  <sheetData>
    <row r="1" spans="1:9" ht="22.5" hidden="1" customHeight="1">
      <c r="A1" s="906" t="s">
        <v>707</v>
      </c>
      <c r="B1" s="906"/>
      <c r="C1" s="906"/>
      <c r="D1" s="906"/>
      <c r="E1" s="906"/>
      <c r="F1" s="906"/>
      <c r="G1" s="906"/>
      <c r="H1" s="906"/>
      <c r="I1" s="906"/>
    </row>
    <row r="2" spans="1:9" ht="10.5" hidden="1" customHeight="1"/>
    <row r="3" spans="1:9" ht="12.75" hidden="1" customHeight="1">
      <c r="A3" s="907" t="s">
        <v>645</v>
      </c>
      <c r="B3" s="907"/>
      <c r="C3" s="907"/>
      <c r="D3" s="907"/>
      <c r="E3" s="907"/>
      <c r="F3" s="907"/>
      <c r="G3" s="907"/>
      <c r="H3" s="907"/>
      <c r="I3" s="907"/>
    </row>
    <row r="4" spans="1:9" ht="12.75" hidden="1" customHeight="1">
      <c r="A4" s="907" t="s">
        <v>653</v>
      </c>
      <c r="B4" s="907"/>
      <c r="C4" s="907"/>
      <c r="D4" s="907"/>
      <c r="E4" s="907"/>
      <c r="F4" s="907"/>
      <c r="G4" s="907"/>
      <c r="H4" s="907"/>
      <c r="I4" s="907"/>
    </row>
    <row r="5" spans="1:9" ht="12.75" hidden="1" customHeight="1">
      <c r="A5" s="907" t="s">
        <v>646</v>
      </c>
      <c r="B5" s="907"/>
      <c r="C5" s="907"/>
      <c r="D5" s="907"/>
      <c r="E5" s="907"/>
      <c r="F5" s="907"/>
      <c r="G5" s="907"/>
      <c r="H5" s="907"/>
      <c r="I5" s="907"/>
    </row>
    <row r="6" spans="1:9" ht="21" hidden="1" customHeight="1">
      <c r="A6" s="907" t="s">
        <v>1359</v>
      </c>
      <c r="B6" s="907"/>
      <c r="C6" s="907"/>
      <c r="D6" s="907"/>
      <c r="E6" s="907"/>
      <c r="F6" s="907"/>
      <c r="G6" s="907"/>
      <c r="H6" s="907"/>
      <c r="I6" s="907"/>
    </row>
    <row r="7" spans="1:9" ht="12.75" hidden="1" customHeight="1"/>
    <row r="8" spans="1:9" ht="12.75" customHeight="1">
      <c r="A8" s="904" t="s">
        <v>221</v>
      </c>
      <c r="B8" s="904" t="s">
        <v>222</v>
      </c>
      <c r="C8" s="56" t="s">
        <v>667</v>
      </c>
      <c r="D8" s="897" t="s">
        <v>223</v>
      </c>
      <c r="E8" s="898"/>
      <c r="F8" s="898"/>
      <c r="G8" s="898"/>
      <c r="H8" s="899"/>
    </row>
    <row r="9" spans="1:9" ht="24">
      <c r="A9" s="905"/>
      <c r="B9" s="905"/>
      <c r="C9" s="57" t="s">
        <v>668</v>
      </c>
      <c r="D9" s="44" t="s">
        <v>649</v>
      </c>
      <c r="E9" s="44" t="s">
        <v>650</v>
      </c>
      <c r="F9" s="44" t="s">
        <v>651</v>
      </c>
      <c r="G9" s="44" t="s">
        <v>652</v>
      </c>
      <c r="H9" s="43" t="s">
        <v>647</v>
      </c>
    </row>
    <row r="10" spans="1:9">
      <c r="A10" s="902" t="s">
        <v>170</v>
      </c>
      <c r="B10" s="902" t="s">
        <v>224</v>
      </c>
      <c r="C10" s="903"/>
      <c r="D10" s="42"/>
      <c r="E10" s="45">
        <v>46455448.5</v>
      </c>
      <c r="F10" s="45">
        <v>7265950.5</v>
      </c>
      <c r="G10" s="42"/>
      <c r="H10" s="33">
        <v>53721399</v>
      </c>
    </row>
    <row r="11" spans="1:9">
      <c r="A11" s="902" t="s">
        <v>225</v>
      </c>
      <c r="B11" s="900" t="s">
        <v>226</v>
      </c>
      <c r="C11" s="901"/>
      <c r="D11" s="42"/>
      <c r="E11" s="45">
        <v>7325803.5899999999</v>
      </c>
      <c r="F11" s="45">
        <v>856718.93</v>
      </c>
      <c r="G11" s="42"/>
      <c r="H11" s="33">
        <v>8182522.5199999996</v>
      </c>
    </row>
    <row r="12" spans="1:9">
      <c r="A12" s="902" t="s">
        <v>227</v>
      </c>
      <c r="B12" s="900" t="s">
        <v>228</v>
      </c>
      <c r="C12" s="901"/>
      <c r="D12" s="42"/>
      <c r="E12" s="45">
        <v>34597814.359999999</v>
      </c>
      <c r="F12" s="45">
        <v>2464670.88</v>
      </c>
      <c r="G12" s="42"/>
      <c r="H12" s="33">
        <v>37062485.240000002</v>
      </c>
    </row>
    <row r="13" spans="1:9" ht="24" customHeight="1">
      <c r="A13" s="902" t="s">
        <v>10</v>
      </c>
      <c r="B13" s="900" t="s">
        <v>229</v>
      </c>
      <c r="C13" s="901"/>
      <c r="D13" s="42"/>
      <c r="E13" s="45">
        <v>1001495</v>
      </c>
      <c r="F13" s="42"/>
      <c r="G13" s="42"/>
      <c r="H13" s="33">
        <v>1001495</v>
      </c>
    </row>
    <row r="14" spans="1:9">
      <c r="A14" s="902" t="s">
        <v>175</v>
      </c>
      <c r="B14" s="900" t="s">
        <v>230</v>
      </c>
      <c r="C14" s="901"/>
      <c r="D14" s="42"/>
      <c r="E14" s="45">
        <v>2393420</v>
      </c>
      <c r="F14" s="42"/>
      <c r="G14" s="42"/>
      <c r="H14" s="33">
        <v>2393420</v>
      </c>
    </row>
    <row r="15" spans="1:9">
      <c r="A15" s="902" t="s">
        <v>188</v>
      </c>
      <c r="B15" s="900" t="s">
        <v>231</v>
      </c>
      <c r="C15" s="901"/>
      <c r="D15" s="42"/>
      <c r="E15" s="45">
        <v>5089291.2699999996</v>
      </c>
      <c r="F15" s="45">
        <v>898112.03</v>
      </c>
      <c r="G15" s="42"/>
      <c r="H15" s="33">
        <v>5987403.2999999998</v>
      </c>
    </row>
    <row r="16" spans="1:9" ht="24" customHeight="1">
      <c r="A16" s="902" t="s">
        <v>220</v>
      </c>
      <c r="B16" s="900" t="s">
        <v>232</v>
      </c>
      <c r="C16" s="901"/>
      <c r="D16" s="42"/>
      <c r="E16" s="45">
        <v>8793777.3499999996</v>
      </c>
      <c r="F16" s="45">
        <v>1135736.07</v>
      </c>
      <c r="G16" s="42"/>
      <c r="H16" s="33">
        <v>9929513.4199999999</v>
      </c>
    </row>
    <row r="17" spans="1:8">
      <c r="A17" s="902" t="s">
        <v>187</v>
      </c>
      <c r="B17" s="900" t="s">
        <v>233</v>
      </c>
      <c r="C17" s="901"/>
      <c r="D17" s="42"/>
      <c r="E17" s="45">
        <v>29355743</v>
      </c>
      <c r="F17" s="45">
        <v>5072806</v>
      </c>
      <c r="G17" s="42"/>
      <c r="H17" s="33">
        <v>34428549</v>
      </c>
    </row>
    <row r="18" spans="1:8" ht="12.75" customHeight="1">
      <c r="A18" s="902" t="s">
        <v>186</v>
      </c>
      <c r="B18" s="900" t="s">
        <v>234</v>
      </c>
      <c r="C18" s="901"/>
      <c r="D18" s="42"/>
      <c r="E18" s="45">
        <v>4146997.76</v>
      </c>
      <c r="F18" s="45">
        <v>731823.78</v>
      </c>
      <c r="G18" s="42"/>
      <c r="H18" s="33">
        <v>4878821.54</v>
      </c>
    </row>
    <row r="19" spans="1:8" ht="12.75" customHeight="1">
      <c r="A19" s="902" t="s">
        <v>165</v>
      </c>
      <c r="B19" s="900" t="s">
        <v>235</v>
      </c>
      <c r="C19" s="901"/>
      <c r="D19" s="42"/>
      <c r="E19" s="45">
        <v>9112797.5500000007</v>
      </c>
      <c r="F19" s="45">
        <v>1608140.79</v>
      </c>
      <c r="G19" s="42"/>
      <c r="H19" s="33">
        <v>10720938.34</v>
      </c>
    </row>
    <row r="20" spans="1:8" ht="12.75" customHeight="1">
      <c r="A20" s="902" t="s">
        <v>179</v>
      </c>
      <c r="B20" s="900" t="s">
        <v>236</v>
      </c>
      <c r="C20" s="901"/>
      <c r="D20" s="42"/>
      <c r="E20" s="45">
        <v>3294742.51</v>
      </c>
      <c r="F20" s="45">
        <v>581427.34</v>
      </c>
      <c r="G20" s="42"/>
      <c r="H20" s="33">
        <v>3876169.85</v>
      </c>
    </row>
    <row r="21" spans="1:8">
      <c r="A21" s="902" t="s">
        <v>19</v>
      </c>
      <c r="B21" s="900" t="s">
        <v>237</v>
      </c>
      <c r="C21" s="901"/>
      <c r="D21" s="42"/>
      <c r="E21" s="45">
        <v>7056429.3499999996</v>
      </c>
      <c r="F21" s="45">
        <v>0</v>
      </c>
      <c r="G21" s="42"/>
      <c r="H21" s="33">
        <v>7056429.3499999996</v>
      </c>
    </row>
    <row r="22" spans="1:8">
      <c r="A22" s="902" t="s">
        <v>238</v>
      </c>
      <c r="B22" s="900" t="s">
        <v>239</v>
      </c>
      <c r="C22" s="901"/>
      <c r="D22" s="42"/>
      <c r="E22" s="45">
        <v>16956067</v>
      </c>
      <c r="F22" s="45">
        <v>2992247</v>
      </c>
      <c r="G22" s="42"/>
      <c r="H22" s="33">
        <v>19948314</v>
      </c>
    </row>
    <row r="23" spans="1:8">
      <c r="A23" s="902" t="s">
        <v>26</v>
      </c>
      <c r="B23" s="900" t="s">
        <v>240</v>
      </c>
      <c r="C23" s="901"/>
      <c r="D23" s="42"/>
      <c r="E23" s="45">
        <v>972125</v>
      </c>
      <c r="F23" s="42"/>
      <c r="G23" s="42"/>
      <c r="H23" s="33">
        <v>972125</v>
      </c>
    </row>
    <row r="24" spans="1:8" ht="12.75" customHeight="1">
      <c r="A24" s="902" t="s">
        <v>28</v>
      </c>
      <c r="B24" s="900" t="s">
        <v>241</v>
      </c>
      <c r="C24" s="901"/>
      <c r="D24" s="42"/>
      <c r="E24" s="45">
        <v>3576216</v>
      </c>
      <c r="F24" s="45">
        <v>631098</v>
      </c>
      <c r="G24" s="42"/>
      <c r="H24" s="33">
        <v>4207314</v>
      </c>
    </row>
    <row r="25" spans="1:8" ht="12.75" customHeight="1">
      <c r="A25" s="902" t="s">
        <v>204</v>
      </c>
      <c r="B25" s="900" t="s">
        <v>242</v>
      </c>
      <c r="C25" s="901"/>
      <c r="D25" s="42"/>
      <c r="E25" s="45">
        <v>5641300.0899999999</v>
      </c>
      <c r="F25" s="45">
        <v>0</v>
      </c>
      <c r="G25" s="42"/>
      <c r="H25" s="33">
        <v>5641300.0899999999</v>
      </c>
    </row>
    <row r="26" spans="1:8" ht="12.75" customHeight="1">
      <c r="A26" s="902" t="s">
        <v>243</v>
      </c>
      <c r="B26" s="900" t="s">
        <v>244</v>
      </c>
      <c r="C26" s="901"/>
      <c r="D26" s="42"/>
      <c r="E26" s="45">
        <v>20678857.66</v>
      </c>
      <c r="F26" s="45">
        <v>0</v>
      </c>
      <c r="G26" s="42"/>
      <c r="H26" s="33">
        <v>20678857.66</v>
      </c>
    </row>
    <row r="27" spans="1:8">
      <c r="A27" s="902" t="s">
        <v>171</v>
      </c>
      <c r="B27" s="900" t="s">
        <v>245</v>
      </c>
      <c r="C27" s="901"/>
      <c r="D27" s="42"/>
      <c r="E27" s="45">
        <v>76857800.280000001</v>
      </c>
      <c r="F27" s="45">
        <v>6520591.4100000001</v>
      </c>
      <c r="G27" s="42"/>
      <c r="H27" s="33">
        <v>83378391.689999998</v>
      </c>
    </row>
    <row r="28" spans="1:8" ht="12.75" customHeight="1">
      <c r="A28" s="902" t="s">
        <v>246</v>
      </c>
      <c r="B28" s="900" t="s">
        <v>247</v>
      </c>
      <c r="C28" s="901"/>
      <c r="D28" s="42"/>
      <c r="E28" s="45">
        <v>1965252.94</v>
      </c>
      <c r="F28" s="45">
        <v>0</v>
      </c>
      <c r="G28" s="42"/>
      <c r="H28" s="33">
        <v>1965252.94</v>
      </c>
    </row>
    <row r="29" spans="1:8">
      <c r="A29" s="902" t="s">
        <v>248</v>
      </c>
      <c r="B29" s="900" t="s">
        <v>249</v>
      </c>
      <c r="C29" s="901"/>
      <c r="D29" s="42"/>
      <c r="E29" s="45">
        <v>3070499.88</v>
      </c>
      <c r="F29" s="45">
        <v>936939.29</v>
      </c>
      <c r="G29" s="42"/>
      <c r="H29" s="33">
        <v>4007439.17</v>
      </c>
    </row>
    <row r="30" spans="1:8">
      <c r="A30" s="902" t="s">
        <v>384</v>
      </c>
      <c r="B30" s="900" t="s">
        <v>684</v>
      </c>
      <c r="C30" s="901"/>
      <c r="D30" s="42"/>
      <c r="E30" s="45">
        <v>4544125.8600000003</v>
      </c>
      <c r="F30" s="45">
        <v>0</v>
      </c>
      <c r="G30" s="42"/>
      <c r="H30" s="33">
        <v>4544125.8600000003</v>
      </c>
    </row>
    <row r="31" spans="1:8">
      <c r="A31" s="902" t="s">
        <v>31</v>
      </c>
      <c r="B31" s="900" t="s">
        <v>250</v>
      </c>
      <c r="C31" s="901"/>
      <c r="D31" s="42"/>
      <c r="E31" s="45">
        <v>8461940</v>
      </c>
      <c r="F31" s="45">
        <v>1493283</v>
      </c>
      <c r="G31" s="42"/>
      <c r="H31" s="33">
        <v>9955223</v>
      </c>
    </row>
    <row r="32" spans="1:8" ht="12.75" customHeight="1">
      <c r="A32" s="902" t="s">
        <v>251</v>
      </c>
      <c r="B32" s="900" t="s">
        <v>252</v>
      </c>
      <c r="C32" s="901"/>
      <c r="D32" s="42"/>
      <c r="E32" s="45">
        <v>519737.8</v>
      </c>
      <c r="F32" s="45">
        <v>91718.43</v>
      </c>
      <c r="G32" s="42"/>
      <c r="H32" s="33">
        <v>611456.23</v>
      </c>
    </row>
    <row r="33" spans="1:8" ht="12.75" customHeight="1">
      <c r="A33" s="902" t="s">
        <v>253</v>
      </c>
      <c r="B33" s="900" t="s">
        <v>254</v>
      </c>
      <c r="C33" s="901"/>
      <c r="D33" s="42"/>
      <c r="E33" s="45">
        <v>5509884.71</v>
      </c>
      <c r="F33" s="45">
        <v>972332.59</v>
      </c>
      <c r="G33" s="42"/>
      <c r="H33" s="33">
        <v>6482217.2999999998</v>
      </c>
    </row>
    <row r="34" spans="1:8">
      <c r="A34" s="902" t="s">
        <v>185</v>
      </c>
      <c r="B34" s="900" t="s">
        <v>255</v>
      </c>
      <c r="C34" s="901"/>
      <c r="D34" s="42"/>
      <c r="E34" s="45">
        <v>1966107.66</v>
      </c>
      <c r="F34" s="45">
        <v>346960.18</v>
      </c>
      <c r="G34" s="42"/>
      <c r="H34" s="33">
        <v>2313067.84</v>
      </c>
    </row>
    <row r="35" spans="1:8" ht="12.75" customHeight="1">
      <c r="A35" s="902" t="s">
        <v>256</v>
      </c>
      <c r="B35" s="900" t="s">
        <v>257</v>
      </c>
      <c r="C35" s="901"/>
      <c r="D35" s="42"/>
      <c r="E35" s="45">
        <v>62446406.82</v>
      </c>
      <c r="F35" s="45">
        <v>13593971.65</v>
      </c>
      <c r="G35" s="42"/>
      <c r="H35" s="33">
        <v>76040378.469999999</v>
      </c>
    </row>
    <row r="36" spans="1:8" ht="12.75" customHeight="1">
      <c r="A36" s="902" t="s">
        <v>34</v>
      </c>
      <c r="B36" s="900" t="s">
        <v>258</v>
      </c>
      <c r="C36" s="901"/>
      <c r="D36" s="42"/>
      <c r="E36" s="45">
        <v>756111.25</v>
      </c>
      <c r="F36" s="45">
        <v>133431.4</v>
      </c>
      <c r="G36" s="42"/>
      <c r="H36" s="33">
        <v>889542.65</v>
      </c>
    </row>
    <row r="37" spans="1:8" ht="12.75" customHeight="1">
      <c r="A37" s="902" t="s">
        <v>178</v>
      </c>
      <c r="B37" s="900" t="s">
        <v>259</v>
      </c>
      <c r="C37" s="901"/>
      <c r="D37" s="42"/>
      <c r="E37" s="45">
        <v>100952.21</v>
      </c>
      <c r="F37" s="45">
        <v>0</v>
      </c>
      <c r="G37" s="42"/>
      <c r="H37" s="33">
        <v>100952.21</v>
      </c>
    </row>
    <row r="38" spans="1:8" ht="12.75" customHeight="1">
      <c r="A38" s="902" t="s">
        <v>39</v>
      </c>
      <c r="B38" s="900" t="s">
        <v>260</v>
      </c>
      <c r="C38" s="901"/>
      <c r="D38" s="42"/>
      <c r="E38" s="45">
        <v>9708599.5500000007</v>
      </c>
      <c r="F38" s="45">
        <v>1534712.06</v>
      </c>
      <c r="G38" s="42"/>
      <c r="H38" s="33">
        <v>11243311.609999999</v>
      </c>
    </row>
    <row r="39" spans="1:8">
      <c r="A39" s="902" t="s">
        <v>177</v>
      </c>
      <c r="B39" s="900" t="s">
        <v>261</v>
      </c>
      <c r="C39" s="901"/>
      <c r="D39" s="42"/>
      <c r="E39" s="45">
        <v>12331126.66</v>
      </c>
      <c r="F39" s="45">
        <v>1132271.81</v>
      </c>
      <c r="G39" s="42"/>
      <c r="H39" s="33">
        <v>13463398.470000001</v>
      </c>
    </row>
    <row r="40" spans="1:8">
      <c r="A40" s="902" t="s">
        <v>203</v>
      </c>
      <c r="B40" s="900" t="s">
        <v>262</v>
      </c>
      <c r="C40" s="901"/>
      <c r="D40" s="42"/>
      <c r="E40" s="45">
        <v>9562109.1099999994</v>
      </c>
      <c r="F40" s="45">
        <v>686668.54</v>
      </c>
      <c r="G40" s="42"/>
      <c r="H40" s="33">
        <v>10248777.65</v>
      </c>
    </row>
    <row r="41" spans="1:8" ht="12.75" customHeight="1">
      <c r="A41" s="902" t="s">
        <v>263</v>
      </c>
      <c r="B41" s="900" t="s">
        <v>264</v>
      </c>
      <c r="C41" s="901"/>
      <c r="D41" s="42"/>
      <c r="E41" s="45">
        <v>1261889.69</v>
      </c>
      <c r="F41" s="45">
        <v>222686.42</v>
      </c>
      <c r="G41" s="42"/>
      <c r="H41" s="33">
        <v>1484576.11</v>
      </c>
    </row>
    <row r="42" spans="1:8" ht="12.75" customHeight="1">
      <c r="A42" s="902" t="s">
        <v>44</v>
      </c>
      <c r="B42" s="900" t="s">
        <v>265</v>
      </c>
      <c r="C42" s="901"/>
      <c r="D42" s="42"/>
      <c r="E42" s="45">
        <v>3214400.83</v>
      </c>
      <c r="F42" s="45">
        <v>567247.21</v>
      </c>
      <c r="G42" s="42"/>
      <c r="H42" s="33">
        <v>3781648.04</v>
      </c>
    </row>
    <row r="43" spans="1:8" ht="12.75" customHeight="1">
      <c r="A43" s="902" t="s">
        <v>266</v>
      </c>
      <c r="B43" s="900" t="s">
        <v>267</v>
      </c>
      <c r="C43" s="901"/>
      <c r="D43" s="42"/>
      <c r="E43" s="45">
        <v>8638399.5099999998</v>
      </c>
      <c r="F43" s="45">
        <v>94146.71</v>
      </c>
      <c r="G43" s="42"/>
      <c r="H43" s="33">
        <v>8732546.2200000007</v>
      </c>
    </row>
    <row r="44" spans="1:8" ht="12.75" customHeight="1">
      <c r="A44" s="902" t="s">
        <v>48</v>
      </c>
      <c r="B44" s="900" t="s">
        <v>268</v>
      </c>
      <c r="C44" s="901"/>
      <c r="D44" s="42"/>
      <c r="E44" s="45">
        <v>2781474</v>
      </c>
      <c r="F44" s="42"/>
      <c r="G44" s="42"/>
      <c r="H44" s="33">
        <v>2781474</v>
      </c>
    </row>
    <row r="45" spans="1:8" ht="12.75" customHeight="1">
      <c r="A45" s="902" t="s">
        <v>50</v>
      </c>
      <c r="B45" s="900" t="s">
        <v>269</v>
      </c>
      <c r="C45" s="901"/>
      <c r="D45" s="42"/>
      <c r="E45" s="45">
        <v>1723386.35</v>
      </c>
      <c r="F45" s="45">
        <v>304127</v>
      </c>
      <c r="G45" s="42"/>
      <c r="H45" s="33">
        <v>2027513.35</v>
      </c>
    </row>
    <row r="46" spans="1:8" ht="12.75" customHeight="1">
      <c r="A46" s="902" t="s">
        <v>270</v>
      </c>
      <c r="B46" s="900" t="s">
        <v>271</v>
      </c>
      <c r="C46" s="901"/>
      <c r="D46" s="42"/>
      <c r="E46" s="45">
        <v>341103.3</v>
      </c>
      <c r="F46" s="45">
        <v>51486.07</v>
      </c>
      <c r="G46" s="42"/>
      <c r="H46" s="33">
        <v>392589.37</v>
      </c>
    </row>
    <row r="47" spans="1:8" ht="12.75" customHeight="1">
      <c r="A47" s="902" t="s">
        <v>272</v>
      </c>
      <c r="B47" s="900" t="s">
        <v>273</v>
      </c>
      <c r="C47" s="901"/>
      <c r="D47" s="42"/>
      <c r="E47" s="45">
        <v>450126.14</v>
      </c>
      <c r="F47" s="45">
        <v>55699.34</v>
      </c>
      <c r="G47" s="42"/>
      <c r="H47" s="33">
        <v>505825.48</v>
      </c>
    </row>
    <row r="48" spans="1:8">
      <c r="A48" s="902" t="s">
        <v>145</v>
      </c>
      <c r="B48" s="900" t="s">
        <v>276</v>
      </c>
      <c r="C48" s="901"/>
      <c r="D48" s="42"/>
      <c r="E48" s="45">
        <v>1896092.8</v>
      </c>
      <c r="F48" s="45">
        <v>334604.61</v>
      </c>
      <c r="G48" s="42"/>
      <c r="H48" s="33">
        <v>2230697.41</v>
      </c>
    </row>
    <row r="49" spans="1:8" ht="12.75" customHeight="1">
      <c r="A49" s="902" t="s">
        <v>277</v>
      </c>
      <c r="B49" s="900" t="s">
        <v>278</v>
      </c>
      <c r="C49" s="901"/>
      <c r="D49" s="42"/>
      <c r="E49" s="45">
        <v>2297144.9700000002</v>
      </c>
      <c r="F49" s="45">
        <v>0</v>
      </c>
      <c r="G49" s="42"/>
      <c r="H49" s="33">
        <v>2297144.9700000002</v>
      </c>
    </row>
    <row r="50" spans="1:8" ht="12.75" customHeight="1">
      <c r="A50" s="902" t="s">
        <v>279</v>
      </c>
      <c r="B50" s="900" t="s">
        <v>280</v>
      </c>
      <c r="C50" s="901"/>
      <c r="D50" s="42"/>
      <c r="E50" s="45">
        <v>1346507.36</v>
      </c>
      <c r="F50" s="45">
        <v>0</v>
      </c>
      <c r="G50" s="42"/>
      <c r="H50" s="33">
        <v>1346507.36</v>
      </c>
    </row>
    <row r="51" spans="1:8" ht="12.75" customHeight="1">
      <c r="A51" s="902" t="s">
        <v>281</v>
      </c>
      <c r="B51" s="900" t="s">
        <v>282</v>
      </c>
      <c r="C51" s="901"/>
      <c r="D51" s="42"/>
      <c r="E51" s="45">
        <v>2444039.7000000002</v>
      </c>
      <c r="F51" s="45">
        <v>0</v>
      </c>
      <c r="G51" s="42"/>
      <c r="H51" s="33">
        <v>2444039.7000000002</v>
      </c>
    </row>
    <row r="52" spans="1:8" ht="12.75" customHeight="1">
      <c r="A52" s="902" t="s">
        <v>283</v>
      </c>
      <c r="B52" s="900" t="s">
        <v>284</v>
      </c>
      <c r="C52" s="901"/>
      <c r="D52" s="42"/>
      <c r="E52" s="45">
        <v>2175960.0499999998</v>
      </c>
      <c r="F52" s="45">
        <v>0</v>
      </c>
      <c r="G52" s="42"/>
      <c r="H52" s="33">
        <v>2175960.0499999998</v>
      </c>
    </row>
    <row r="53" spans="1:8">
      <c r="A53" s="902" t="s">
        <v>285</v>
      </c>
      <c r="B53" s="900" t="s">
        <v>286</v>
      </c>
      <c r="C53" s="901"/>
      <c r="D53" s="42"/>
      <c r="E53" s="45">
        <v>12607981.789999999</v>
      </c>
      <c r="F53" s="45">
        <v>0</v>
      </c>
      <c r="G53" s="42"/>
      <c r="H53" s="33">
        <v>12607981.789999999</v>
      </c>
    </row>
    <row r="54" spans="1:8" ht="12.75" customHeight="1">
      <c r="A54" s="902" t="s">
        <v>287</v>
      </c>
      <c r="B54" s="900" t="s">
        <v>288</v>
      </c>
      <c r="C54" s="901"/>
      <c r="D54" s="45">
        <v>36450323.890000001</v>
      </c>
      <c r="E54" s="42"/>
      <c r="F54" s="45">
        <v>0</v>
      </c>
      <c r="G54" s="42"/>
      <c r="H54" s="33">
        <v>36450323.890000001</v>
      </c>
    </row>
    <row r="55" spans="1:8" ht="12.75" customHeight="1">
      <c r="A55" s="902" t="s">
        <v>289</v>
      </c>
      <c r="B55" s="900" t="s">
        <v>290</v>
      </c>
      <c r="C55" s="901"/>
      <c r="D55" s="45">
        <v>3914260.09</v>
      </c>
      <c r="E55" s="42"/>
      <c r="F55" s="45">
        <v>0</v>
      </c>
      <c r="G55" s="42"/>
      <c r="H55" s="33">
        <v>3914260.09</v>
      </c>
    </row>
    <row r="56" spans="1:8" ht="12.75" customHeight="1">
      <c r="A56" s="902" t="s">
        <v>58</v>
      </c>
      <c r="B56" s="900" t="s">
        <v>291</v>
      </c>
      <c r="C56" s="901"/>
      <c r="D56" s="45">
        <v>81525493.719999999</v>
      </c>
      <c r="E56" s="42"/>
      <c r="F56" s="45">
        <v>772686</v>
      </c>
      <c r="G56" s="42"/>
      <c r="H56" s="33">
        <v>82298179.719999999</v>
      </c>
    </row>
    <row r="57" spans="1:8" ht="12.75" customHeight="1">
      <c r="A57" s="902" t="s">
        <v>59</v>
      </c>
      <c r="B57" s="900" t="s">
        <v>292</v>
      </c>
      <c r="C57" s="901"/>
      <c r="D57" s="45">
        <v>10514363</v>
      </c>
      <c r="E57" s="42"/>
      <c r="F57" s="42"/>
      <c r="G57" s="42"/>
      <c r="H57" s="33">
        <v>10514363</v>
      </c>
    </row>
    <row r="58" spans="1:8">
      <c r="A58" s="902" t="s">
        <v>162</v>
      </c>
      <c r="B58" s="900" t="s">
        <v>293</v>
      </c>
      <c r="C58" s="901"/>
      <c r="D58" s="45">
        <v>37373530.799999997</v>
      </c>
      <c r="E58" s="42"/>
      <c r="F58" s="42"/>
      <c r="G58" s="42"/>
      <c r="H58" s="33">
        <v>37373530.799999997</v>
      </c>
    </row>
    <row r="59" spans="1:8">
      <c r="A59" s="902" t="s">
        <v>206</v>
      </c>
      <c r="B59" s="900" t="s">
        <v>294</v>
      </c>
      <c r="C59" s="901"/>
      <c r="D59" s="45">
        <v>1886023.75</v>
      </c>
      <c r="E59" s="42"/>
      <c r="F59" s="45">
        <v>0</v>
      </c>
      <c r="G59" s="42"/>
      <c r="H59" s="33">
        <v>1886023.75</v>
      </c>
    </row>
    <row r="60" spans="1:8" ht="12.75" customHeight="1">
      <c r="A60" s="902" t="s">
        <v>295</v>
      </c>
      <c r="B60" s="900" t="s">
        <v>296</v>
      </c>
      <c r="C60" s="901"/>
      <c r="D60" s="45">
        <v>5133640.7300000004</v>
      </c>
      <c r="E60" s="42"/>
      <c r="F60" s="45">
        <v>0</v>
      </c>
      <c r="G60" s="42"/>
      <c r="H60" s="33">
        <v>5133640.7300000004</v>
      </c>
    </row>
    <row r="61" spans="1:8" ht="12.75" customHeight="1">
      <c r="A61" s="902" t="s">
        <v>297</v>
      </c>
      <c r="B61" s="900" t="s">
        <v>298</v>
      </c>
      <c r="C61" s="901"/>
      <c r="D61" s="45">
        <v>27220021.309999999</v>
      </c>
      <c r="E61" s="42"/>
      <c r="F61" s="45">
        <v>0</v>
      </c>
      <c r="G61" s="42"/>
      <c r="H61" s="33">
        <v>27220021.309999999</v>
      </c>
    </row>
    <row r="62" spans="1:8" ht="12.75" customHeight="1">
      <c r="A62" s="902" t="s">
        <v>207</v>
      </c>
      <c r="B62" s="900" t="s">
        <v>299</v>
      </c>
      <c r="C62" s="901"/>
      <c r="D62" s="45">
        <v>71837.5</v>
      </c>
      <c r="E62" s="42"/>
      <c r="F62" s="45">
        <v>0</v>
      </c>
      <c r="G62" s="42"/>
      <c r="H62" s="33">
        <v>71837.5</v>
      </c>
    </row>
    <row r="63" spans="1:8" ht="12.75" customHeight="1">
      <c r="A63" s="902" t="s">
        <v>163</v>
      </c>
      <c r="B63" s="900" t="s">
        <v>691</v>
      </c>
      <c r="C63" s="901"/>
      <c r="D63" s="45">
        <v>89531.46</v>
      </c>
      <c r="E63" s="42"/>
      <c r="F63" s="45">
        <v>0</v>
      </c>
      <c r="G63" s="42"/>
      <c r="H63" s="33">
        <v>89531.46</v>
      </c>
    </row>
    <row r="64" spans="1:8">
      <c r="A64" s="902" t="s">
        <v>300</v>
      </c>
      <c r="B64" s="900" t="s">
        <v>301</v>
      </c>
      <c r="C64" s="901"/>
      <c r="D64" s="45">
        <v>69840004.969999999</v>
      </c>
      <c r="E64" s="42"/>
      <c r="F64" s="45">
        <v>0</v>
      </c>
      <c r="G64" s="42"/>
      <c r="H64" s="33">
        <v>69840004.969999999</v>
      </c>
    </row>
    <row r="65" spans="1:8" ht="12.75" customHeight="1">
      <c r="A65" s="902" t="s">
        <v>67</v>
      </c>
      <c r="B65" s="900" t="s">
        <v>302</v>
      </c>
      <c r="C65" s="901"/>
      <c r="D65" s="45">
        <v>47204017.600000001</v>
      </c>
      <c r="E65" s="42"/>
      <c r="F65" s="45">
        <v>3985224.08</v>
      </c>
      <c r="G65" s="42"/>
      <c r="H65" s="33">
        <v>51189241.68</v>
      </c>
    </row>
    <row r="66" spans="1:8">
      <c r="A66" s="902" t="s">
        <v>303</v>
      </c>
      <c r="B66" s="900" t="s">
        <v>304</v>
      </c>
      <c r="C66" s="901"/>
      <c r="D66" s="45">
        <v>11207966</v>
      </c>
      <c r="E66" s="42"/>
      <c r="F66" s="45">
        <v>0</v>
      </c>
      <c r="G66" s="42"/>
      <c r="H66" s="33">
        <v>11207966</v>
      </c>
    </row>
    <row r="67" spans="1:8">
      <c r="A67" s="902" t="s">
        <v>150</v>
      </c>
      <c r="B67" s="900" t="s">
        <v>305</v>
      </c>
      <c r="C67" s="901"/>
      <c r="D67" s="45">
        <v>35068769.82</v>
      </c>
      <c r="E67" s="42"/>
      <c r="F67" s="45">
        <v>4466472.1500000004</v>
      </c>
      <c r="G67" s="42"/>
      <c r="H67" s="33">
        <v>39535241.969999999</v>
      </c>
    </row>
    <row r="68" spans="1:8">
      <c r="A68" s="902" t="s">
        <v>151</v>
      </c>
      <c r="B68" s="900" t="s">
        <v>306</v>
      </c>
      <c r="C68" s="901"/>
      <c r="D68" s="45">
        <v>10671891</v>
      </c>
      <c r="E68" s="42"/>
      <c r="F68" s="45">
        <v>2445433</v>
      </c>
      <c r="G68" s="42"/>
      <c r="H68" s="33">
        <v>13117324</v>
      </c>
    </row>
    <row r="69" spans="1:8">
      <c r="A69" s="902" t="s">
        <v>307</v>
      </c>
      <c r="B69" s="900" t="s">
        <v>308</v>
      </c>
      <c r="C69" s="901"/>
      <c r="D69" s="45">
        <v>6812733.1600000104</v>
      </c>
      <c r="E69" s="42"/>
      <c r="F69" s="45">
        <v>0</v>
      </c>
      <c r="G69" s="42"/>
      <c r="H69" s="33">
        <v>6812733.1600000104</v>
      </c>
    </row>
    <row r="70" spans="1:8">
      <c r="A70" s="902" t="s">
        <v>309</v>
      </c>
      <c r="B70" s="900" t="s">
        <v>310</v>
      </c>
      <c r="C70" s="901"/>
      <c r="D70" s="45">
        <v>5500000</v>
      </c>
      <c r="E70" s="42"/>
      <c r="F70" s="45">
        <v>3666666</v>
      </c>
      <c r="G70" s="42"/>
      <c r="H70" s="33">
        <v>9166666</v>
      </c>
    </row>
    <row r="71" spans="1:8" ht="12.75" customHeight="1">
      <c r="A71" s="902" t="s">
        <v>73</v>
      </c>
      <c r="B71" s="900" t="s">
        <v>311</v>
      </c>
      <c r="C71" s="901"/>
      <c r="D71" s="45">
        <v>1714401.51</v>
      </c>
      <c r="E71" s="42"/>
      <c r="F71" s="45">
        <v>302541.44</v>
      </c>
      <c r="G71" s="42"/>
      <c r="H71" s="33">
        <v>2016942.95</v>
      </c>
    </row>
    <row r="72" spans="1:8">
      <c r="A72" s="902" t="s">
        <v>75</v>
      </c>
      <c r="B72" s="900" t="s">
        <v>312</v>
      </c>
      <c r="C72" s="901"/>
      <c r="D72" s="45">
        <v>17179418</v>
      </c>
      <c r="E72" s="42"/>
      <c r="F72" s="45">
        <v>3029182</v>
      </c>
      <c r="G72" s="42"/>
      <c r="H72" s="33">
        <v>20208600</v>
      </c>
    </row>
    <row r="73" spans="1:8" ht="12.75" customHeight="1">
      <c r="A73" s="902" t="s">
        <v>732</v>
      </c>
      <c r="B73" s="900" t="s">
        <v>314</v>
      </c>
      <c r="C73" s="901"/>
      <c r="D73" s="45">
        <v>5345825.92</v>
      </c>
      <c r="E73" s="42"/>
      <c r="F73" s="45">
        <v>0</v>
      </c>
      <c r="G73" s="42"/>
      <c r="H73" s="33">
        <v>5345825.92</v>
      </c>
    </row>
    <row r="74" spans="1:8" ht="12.75" customHeight="1">
      <c r="A74" s="902" t="s">
        <v>76</v>
      </c>
      <c r="B74" s="900" t="s">
        <v>672</v>
      </c>
      <c r="C74" s="901"/>
      <c r="D74" s="45">
        <v>3237833.31</v>
      </c>
      <c r="E74" s="42"/>
      <c r="F74" s="42"/>
      <c r="G74" s="42"/>
      <c r="H74" s="33">
        <v>3237833.31</v>
      </c>
    </row>
    <row r="75" spans="1:8" ht="12.75" customHeight="1">
      <c r="A75" s="902" t="s">
        <v>191</v>
      </c>
      <c r="B75" s="900" t="s">
        <v>286</v>
      </c>
      <c r="C75" s="901"/>
      <c r="D75" s="45">
        <v>16067534.68</v>
      </c>
      <c r="E75" s="42"/>
      <c r="F75" s="45">
        <v>0</v>
      </c>
      <c r="G75" s="42"/>
      <c r="H75" s="33">
        <v>16067534.68</v>
      </c>
    </row>
    <row r="76" spans="1:8" ht="12.75" customHeight="1">
      <c r="A76" s="902" t="s">
        <v>315</v>
      </c>
      <c r="B76" s="900" t="s">
        <v>316</v>
      </c>
      <c r="C76" s="901"/>
      <c r="D76" s="45">
        <v>57083585.420000002</v>
      </c>
      <c r="E76" s="42"/>
      <c r="F76" s="45">
        <v>9069596.25</v>
      </c>
      <c r="G76" s="42"/>
      <c r="H76" s="33">
        <v>66153181.670000002</v>
      </c>
    </row>
    <row r="77" spans="1:8" ht="12.75" customHeight="1">
      <c r="A77" s="902" t="s">
        <v>79</v>
      </c>
      <c r="B77" s="900" t="s">
        <v>317</v>
      </c>
      <c r="C77" s="901"/>
      <c r="D77" s="45">
        <v>1758276.11</v>
      </c>
      <c r="E77" s="42"/>
      <c r="F77" s="45">
        <v>310284.03000000003</v>
      </c>
      <c r="G77" s="42"/>
      <c r="H77" s="33">
        <v>2068560.14</v>
      </c>
    </row>
    <row r="78" spans="1:8" ht="12.75" customHeight="1">
      <c r="A78" s="902" t="s">
        <v>81</v>
      </c>
      <c r="B78" s="900" t="s">
        <v>318</v>
      </c>
      <c r="C78" s="901"/>
      <c r="D78" s="45">
        <v>84971098.560000002</v>
      </c>
      <c r="E78" s="42"/>
      <c r="F78" s="45">
        <v>7209859.4000000004</v>
      </c>
      <c r="G78" s="42"/>
      <c r="H78" s="33">
        <v>92180957.959999993</v>
      </c>
    </row>
    <row r="79" spans="1:8" ht="12.75" customHeight="1">
      <c r="A79" s="902" t="s">
        <v>181</v>
      </c>
      <c r="B79" s="900" t="s">
        <v>319</v>
      </c>
      <c r="C79" s="901"/>
      <c r="D79" s="45">
        <v>17721766.98</v>
      </c>
      <c r="E79" s="42"/>
      <c r="F79" s="45">
        <v>0</v>
      </c>
      <c r="G79" s="42"/>
      <c r="H79" s="33">
        <v>17721766.98</v>
      </c>
    </row>
    <row r="80" spans="1:8" ht="12.75" customHeight="1">
      <c r="A80" s="902" t="s">
        <v>84</v>
      </c>
      <c r="B80" s="900" t="s">
        <v>320</v>
      </c>
      <c r="C80" s="901"/>
      <c r="D80" s="45">
        <v>2221041.0099999998</v>
      </c>
      <c r="E80" s="42"/>
      <c r="F80" s="42"/>
      <c r="G80" s="42"/>
      <c r="H80" s="33">
        <v>2221041.0099999998</v>
      </c>
    </row>
    <row r="81" spans="1:8" ht="12.75" customHeight="1">
      <c r="A81" s="902" t="s">
        <v>180</v>
      </c>
      <c r="B81" s="900" t="s">
        <v>321</v>
      </c>
      <c r="C81" s="901"/>
      <c r="D81" s="45">
        <v>5479001.4299999997</v>
      </c>
      <c r="E81" s="42"/>
      <c r="F81" s="45">
        <v>0</v>
      </c>
      <c r="G81" s="42"/>
      <c r="H81" s="33">
        <v>5479001.4299999997</v>
      </c>
    </row>
    <row r="82" spans="1:8" ht="12.75" customHeight="1">
      <c r="A82" s="902" t="s">
        <v>173</v>
      </c>
      <c r="B82" s="900" t="s">
        <v>322</v>
      </c>
      <c r="C82" s="901"/>
      <c r="D82" s="45">
        <v>2598331.0499999998</v>
      </c>
      <c r="E82" s="42"/>
      <c r="F82" s="45">
        <v>0</v>
      </c>
      <c r="G82" s="42"/>
      <c r="H82" s="33">
        <v>2598331.0499999998</v>
      </c>
    </row>
    <row r="83" spans="1:8" ht="12.75" customHeight="1">
      <c r="A83" s="902" t="s">
        <v>88</v>
      </c>
      <c r="B83" s="900" t="s">
        <v>323</v>
      </c>
      <c r="C83" s="901"/>
      <c r="D83" s="45">
        <v>434607.47</v>
      </c>
      <c r="E83" s="42"/>
      <c r="F83" s="45">
        <v>76695.429999999993</v>
      </c>
      <c r="G83" s="42"/>
      <c r="H83" s="33">
        <v>511302.9</v>
      </c>
    </row>
    <row r="84" spans="1:8" ht="12.75" customHeight="1">
      <c r="A84" s="902" t="s">
        <v>89</v>
      </c>
      <c r="B84" s="900" t="s">
        <v>324</v>
      </c>
      <c r="C84" s="901"/>
      <c r="D84" s="45">
        <v>2146582.14</v>
      </c>
      <c r="E84" s="42"/>
      <c r="F84" s="45">
        <v>378808.62</v>
      </c>
      <c r="G84" s="42"/>
      <c r="H84" s="33">
        <v>2525390.7599999998</v>
      </c>
    </row>
    <row r="85" spans="1:8" ht="12.75" customHeight="1">
      <c r="A85" s="902" t="s">
        <v>90</v>
      </c>
      <c r="B85" s="900" t="s">
        <v>325</v>
      </c>
      <c r="C85" s="901"/>
      <c r="D85" s="45">
        <v>519210.9</v>
      </c>
      <c r="E85" s="42"/>
      <c r="F85" s="45">
        <v>91625.45</v>
      </c>
      <c r="G85" s="42"/>
      <c r="H85" s="33">
        <v>610836.35</v>
      </c>
    </row>
    <row r="86" spans="1:8" ht="12.75" customHeight="1">
      <c r="A86" s="902" t="s">
        <v>168</v>
      </c>
      <c r="B86" s="900" t="s">
        <v>326</v>
      </c>
      <c r="C86" s="901"/>
      <c r="D86" s="45">
        <v>4906219.07</v>
      </c>
      <c r="E86" s="42"/>
      <c r="F86" s="45">
        <v>865803.38</v>
      </c>
      <c r="G86" s="42"/>
      <c r="H86" s="33">
        <v>5772022.4500000002</v>
      </c>
    </row>
    <row r="87" spans="1:8">
      <c r="A87" s="902" t="s">
        <v>174</v>
      </c>
      <c r="B87" s="900" t="s">
        <v>327</v>
      </c>
      <c r="C87" s="901"/>
      <c r="D87" s="45">
        <v>2049863.25</v>
      </c>
      <c r="E87" s="42"/>
      <c r="F87" s="45">
        <v>361740.57</v>
      </c>
      <c r="G87" s="42"/>
      <c r="H87" s="33">
        <v>2411603.8199999998</v>
      </c>
    </row>
    <row r="88" spans="1:8" ht="12.75" customHeight="1">
      <c r="A88" s="902" t="s">
        <v>328</v>
      </c>
      <c r="B88" s="900" t="s">
        <v>329</v>
      </c>
      <c r="C88" s="901"/>
      <c r="D88" s="45">
        <v>28834052.23</v>
      </c>
      <c r="E88" s="42"/>
      <c r="F88" s="45">
        <v>0</v>
      </c>
      <c r="G88" s="42"/>
      <c r="H88" s="33">
        <v>28834052.23</v>
      </c>
    </row>
    <row r="89" spans="1:8">
      <c r="A89" s="902" t="s">
        <v>208</v>
      </c>
      <c r="B89" s="900" t="s">
        <v>330</v>
      </c>
      <c r="C89" s="901"/>
      <c r="D89" s="45">
        <v>1752025.38</v>
      </c>
      <c r="E89" s="42"/>
      <c r="F89" s="45">
        <v>0</v>
      </c>
      <c r="G89" s="42"/>
      <c r="H89" s="33">
        <v>1752025.38</v>
      </c>
    </row>
    <row r="90" spans="1:8">
      <c r="A90" s="902" t="s">
        <v>189</v>
      </c>
      <c r="B90" s="900" t="s">
        <v>331</v>
      </c>
      <c r="C90" s="901"/>
      <c r="D90" s="45">
        <v>2823036.76</v>
      </c>
      <c r="E90" s="42"/>
      <c r="F90" s="45">
        <v>0</v>
      </c>
      <c r="G90" s="42"/>
      <c r="H90" s="33">
        <v>2823036.76</v>
      </c>
    </row>
    <row r="91" spans="1:8">
      <c r="A91" s="902" t="s">
        <v>197</v>
      </c>
      <c r="B91" s="900" t="s">
        <v>332</v>
      </c>
      <c r="C91" s="901"/>
      <c r="D91" s="45">
        <v>3905939.86</v>
      </c>
      <c r="E91" s="42"/>
      <c r="F91" s="45">
        <v>0</v>
      </c>
      <c r="G91" s="42"/>
      <c r="H91" s="33">
        <v>3905939.86</v>
      </c>
    </row>
    <row r="92" spans="1:8">
      <c r="A92" s="902" t="s">
        <v>157</v>
      </c>
      <c r="B92" s="900" t="s">
        <v>333</v>
      </c>
      <c r="C92" s="901"/>
      <c r="D92" s="45">
        <v>18982904</v>
      </c>
      <c r="E92" s="42"/>
      <c r="F92" s="45">
        <v>2295500</v>
      </c>
      <c r="G92" s="42"/>
      <c r="H92" s="33">
        <v>21278404</v>
      </c>
    </row>
    <row r="93" spans="1:8">
      <c r="A93" s="902" t="s">
        <v>159</v>
      </c>
      <c r="B93" s="900" t="s">
        <v>334</v>
      </c>
      <c r="C93" s="901"/>
      <c r="D93" s="45">
        <v>119634816.29000001</v>
      </c>
      <c r="E93" s="42"/>
      <c r="F93" s="45">
        <v>10672842.58</v>
      </c>
      <c r="G93" s="42"/>
      <c r="H93" s="33">
        <v>130307658.87</v>
      </c>
    </row>
    <row r="94" spans="1:8">
      <c r="A94" s="902" t="s">
        <v>160</v>
      </c>
      <c r="B94" s="900" t="s">
        <v>335</v>
      </c>
      <c r="C94" s="901"/>
      <c r="D94" s="45">
        <v>8257192.4199999999</v>
      </c>
      <c r="E94" s="42"/>
      <c r="F94" s="45">
        <v>1457151.61</v>
      </c>
      <c r="G94" s="42"/>
      <c r="H94" s="33">
        <v>9714344.0299999993</v>
      </c>
    </row>
    <row r="95" spans="1:8">
      <c r="A95" s="902" t="s">
        <v>336</v>
      </c>
      <c r="B95" s="900" t="s">
        <v>337</v>
      </c>
      <c r="C95" s="901"/>
      <c r="D95" s="45">
        <v>115348970.41</v>
      </c>
      <c r="E95" s="42"/>
      <c r="F95" s="45">
        <v>20355700.609999999</v>
      </c>
      <c r="G95" s="42"/>
      <c r="H95" s="33">
        <v>135704671.02000001</v>
      </c>
    </row>
    <row r="96" spans="1:8">
      <c r="A96" s="902" t="s">
        <v>198</v>
      </c>
      <c r="B96" s="900" t="s">
        <v>338</v>
      </c>
      <c r="C96" s="901"/>
      <c r="D96" s="45">
        <v>83061606.409999996</v>
      </c>
      <c r="E96" s="42"/>
      <c r="F96" s="45">
        <v>0</v>
      </c>
      <c r="G96" s="42"/>
      <c r="H96" s="33">
        <v>83061606.409999996</v>
      </c>
    </row>
    <row r="97" spans="1:8">
      <c r="A97" s="902" t="s">
        <v>339</v>
      </c>
      <c r="B97" s="900" t="s">
        <v>340</v>
      </c>
      <c r="C97" s="901"/>
      <c r="D97" s="45">
        <v>9151453.8900000006</v>
      </c>
      <c r="E97" s="42"/>
      <c r="F97" s="45">
        <v>0</v>
      </c>
      <c r="G97" s="42"/>
      <c r="H97" s="33">
        <v>9151453.8900000006</v>
      </c>
    </row>
    <row r="98" spans="1:8">
      <c r="A98" s="902" t="s">
        <v>97</v>
      </c>
      <c r="B98" s="900" t="s">
        <v>341</v>
      </c>
      <c r="C98" s="901"/>
      <c r="D98" s="45">
        <v>9680108</v>
      </c>
      <c r="E98" s="42"/>
      <c r="F98" s="45">
        <v>0</v>
      </c>
      <c r="G98" s="42"/>
      <c r="H98" s="33">
        <v>9680108</v>
      </c>
    </row>
    <row r="99" spans="1:8">
      <c r="A99" s="902" t="s">
        <v>342</v>
      </c>
      <c r="B99" s="900" t="s">
        <v>343</v>
      </c>
      <c r="C99" s="901"/>
      <c r="D99" s="45">
        <v>3473577.68</v>
      </c>
      <c r="E99" s="42"/>
      <c r="F99" s="45">
        <v>0</v>
      </c>
      <c r="G99" s="42"/>
      <c r="H99" s="33">
        <v>3473577.68</v>
      </c>
    </row>
    <row r="100" spans="1:8" ht="12.75" customHeight="1">
      <c r="A100" s="902" t="s">
        <v>98</v>
      </c>
      <c r="B100" s="900" t="s">
        <v>344</v>
      </c>
      <c r="C100" s="901"/>
      <c r="D100" s="45">
        <v>14052753.140000001</v>
      </c>
      <c r="E100" s="42"/>
      <c r="F100" s="45">
        <v>0</v>
      </c>
      <c r="G100" s="42"/>
      <c r="H100" s="33">
        <v>14052753.140000001</v>
      </c>
    </row>
    <row r="101" spans="1:8" ht="12.75" customHeight="1">
      <c r="A101" s="902" t="s">
        <v>156</v>
      </c>
      <c r="B101" s="900" t="s">
        <v>345</v>
      </c>
      <c r="C101" s="901"/>
      <c r="D101" s="45">
        <v>98445085.760000005</v>
      </c>
      <c r="E101" s="42"/>
      <c r="F101" s="45">
        <v>0</v>
      </c>
      <c r="G101" s="42"/>
      <c r="H101" s="33">
        <v>98445085.760000005</v>
      </c>
    </row>
    <row r="102" spans="1:8" ht="12.75" customHeight="1">
      <c r="A102" s="902" t="s">
        <v>176</v>
      </c>
      <c r="B102" s="900" t="s">
        <v>346</v>
      </c>
      <c r="C102" s="901"/>
      <c r="D102" s="45">
        <v>10837449.529999999</v>
      </c>
      <c r="E102" s="42"/>
      <c r="F102" s="45">
        <v>0</v>
      </c>
      <c r="G102" s="42"/>
      <c r="H102" s="33">
        <v>10837449.529999999</v>
      </c>
    </row>
    <row r="103" spans="1:8" ht="12.75" customHeight="1">
      <c r="A103" s="902" t="s">
        <v>102</v>
      </c>
      <c r="B103" s="900" t="s">
        <v>662</v>
      </c>
      <c r="C103" s="901"/>
      <c r="D103" s="45">
        <v>16188733</v>
      </c>
      <c r="E103" s="42"/>
      <c r="F103" s="45">
        <v>0</v>
      </c>
      <c r="G103" s="42"/>
      <c r="H103" s="33">
        <v>16188733</v>
      </c>
    </row>
    <row r="104" spans="1:8">
      <c r="A104" s="902" t="s">
        <v>200</v>
      </c>
      <c r="B104" s="900" t="s">
        <v>347</v>
      </c>
      <c r="C104" s="901"/>
      <c r="D104" s="42"/>
      <c r="E104" s="42"/>
      <c r="F104" s="45">
        <v>42312396.390000001</v>
      </c>
      <c r="G104" s="45">
        <v>239770251.72</v>
      </c>
      <c r="H104" s="33">
        <v>282082648.11000001</v>
      </c>
    </row>
    <row r="105" spans="1:8" ht="12.75" customHeight="1">
      <c r="A105" s="902" t="s">
        <v>106</v>
      </c>
      <c r="B105" s="900" t="s">
        <v>348</v>
      </c>
      <c r="C105" s="901"/>
      <c r="D105" s="42"/>
      <c r="E105" s="42"/>
      <c r="F105" s="45">
        <v>4818270</v>
      </c>
      <c r="G105" s="45">
        <v>91713251</v>
      </c>
      <c r="H105" s="33">
        <v>96531521</v>
      </c>
    </row>
    <row r="106" spans="1:8">
      <c r="A106" s="902" t="s">
        <v>144</v>
      </c>
      <c r="B106" s="900" t="s">
        <v>349</v>
      </c>
      <c r="C106" s="901"/>
      <c r="D106" s="42"/>
      <c r="E106" s="42"/>
      <c r="F106" s="45">
        <v>0</v>
      </c>
      <c r="G106" s="45">
        <v>115839963.59999999</v>
      </c>
      <c r="H106" s="33">
        <v>115839963.59999999</v>
      </c>
    </row>
    <row r="107" spans="1:8">
      <c r="A107" s="902" t="s">
        <v>107</v>
      </c>
      <c r="B107" s="900" t="s">
        <v>350</v>
      </c>
      <c r="C107" s="901"/>
      <c r="D107" s="42"/>
      <c r="E107" s="42"/>
      <c r="F107" s="45">
        <v>8255847</v>
      </c>
      <c r="G107" s="45">
        <v>45423588</v>
      </c>
      <c r="H107" s="33">
        <v>53679435</v>
      </c>
    </row>
    <row r="108" spans="1:8" ht="12.75" customHeight="1">
      <c r="A108" s="902" t="s">
        <v>166</v>
      </c>
      <c r="B108" s="900" t="s">
        <v>351</v>
      </c>
      <c r="C108" s="901"/>
      <c r="D108" s="42"/>
      <c r="E108" s="42"/>
      <c r="F108" s="45">
        <v>0</v>
      </c>
      <c r="G108" s="45">
        <v>20319909.420000002</v>
      </c>
      <c r="H108" s="33">
        <v>20319909.420000002</v>
      </c>
    </row>
    <row r="109" spans="1:8" ht="12.75" customHeight="1">
      <c r="A109" s="902" t="s">
        <v>136</v>
      </c>
      <c r="B109" s="900" t="s">
        <v>670</v>
      </c>
      <c r="C109" s="901"/>
      <c r="D109" s="42"/>
      <c r="E109" s="42"/>
      <c r="F109" s="45">
        <v>0</v>
      </c>
      <c r="G109" s="45">
        <v>11069162.4</v>
      </c>
      <c r="H109" s="33">
        <v>11069162.4</v>
      </c>
    </row>
    <row r="110" spans="1:8" ht="12.75" customHeight="1">
      <c r="A110" s="902" t="s">
        <v>353</v>
      </c>
      <c r="B110" s="900" t="s">
        <v>354</v>
      </c>
      <c r="C110" s="901"/>
      <c r="D110" s="45">
        <v>93468201.8800001</v>
      </c>
      <c r="E110" s="42"/>
      <c r="F110" s="45">
        <v>1708025.06</v>
      </c>
      <c r="G110" s="42"/>
      <c r="H110" s="33">
        <v>95176226.940000102</v>
      </c>
    </row>
    <row r="111" spans="1:8">
      <c r="A111" s="902" t="s">
        <v>112</v>
      </c>
      <c r="B111" s="900" t="s">
        <v>355</v>
      </c>
      <c r="C111" s="901"/>
      <c r="D111" s="45">
        <v>2124999</v>
      </c>
      <c r="E111" s="42"/>
      <c r="F111" s="45">
        <v>0</v>
      </c>
      <c r="G111" s="42"/>
      <c r="H111" s="33">
        <v>2124999</v>
      </c>
    </row>
    <row r="112" spans="1:8" ht="12.75" customHeight="1">
      <c r="A112" s="902" t="s">
        <v>113</v>
      </c>
      <c r="B112" s="900" t="s">
        <v>356</v>
      </c>
      <c r="C112" s="901"/>
      <c r="D112" s="45">
        <v>20184262.66</v>
      </c>
      <c r="E112" s="42"/>
      <c r="F112" s="45">
        <v>8650398.2899999991</v>
      </c>
      <c r="G112" s="42"/>
      <c r="H112" s="33">
        <v>28834660.949999999</v>
      </c>
    </row>
    <row r="113" spans="1:8" ht="12.75" customHeight="1">
      <c r="A113" s="902" t="s">
        <v>209</v>
      </c>
      <c r="B113" s="900" t="s">
        <v>357</v>
      </c>
      <c r="C113" s="901"/>
      <c r="D113" s="45">
        <v>6881321.3099999996</v>
      </c>
      <c r="E113" s="42"/>
      <c r="F113" s="45">
        <v>0</v>
      </c>
      <c r="G113" s="42"/>
      <c r="H113" s="33">
        <v>6881321.3099999996</v>
      </c>
    </row>
    <row r="114" spans="1:8" ht="12.75" customHeight="1">
      <c r="A114" s="902" t="s">
        <v>114</v>
      </c>
      <c r="B114" s="900" t="s">
        <v>358</v>
      </c>
      <c r="C114" s="901"/>
      <c r="D114" s="45">
        <v>4332520.28</v>
      </c>
      <c r="E114" s="42"/>
      <c r="F114" s="45">
        <v>0</v>
      </c>
      <c r="G114" s="42"/>
      <c r="H114" s="33">
        <v>4332520.28</v>
      </c>
    </row>
    <row r="115" spans="1:8" ht="12.75" customHeight="1">
      <c r="A115" s="902" t="s">
        <v>182</v>
      </c>
      <c r="B115" s="900" t="s">
        <v>359</v>
      </c>
      <c r="C115" s="901"/>
      <c r="D115" s="45">
        <v>7007412.2300000004</v>
      </c>
      <c r="E115" s="42"/>
      <c r="F115" s="45">
        <v>0</v>
      </c>
      <c r="G115" s="42"/>
      <c r="H115" s="33">
        <v>7007412.2300000004</v>
      </c>
    </row>
    <row r="116" spans="1:8">
      <c r="A116" s="902" t="s">
        <v>164</v>
      </c>
      <c r="B116" s="900" t="s">
        <v>360</v>
      </c>
      <c r="C116" s="901"/>
      <c r="D116" s="45">
        <v>3735229.1</v>
      </c>
      <c r="E116" s="42"/>
      <c r="F116" s="45">
        <v>0</v>
      </c>
      <c r="G116" s="42"/>
      <c r="H116" s="33">
        <v>3735229.1</v>
      </c>
    </row>
    <row r="117" spans="1:8" ht="12.75" customHeight="1">
      <c r="A117" s="902" t="s">
        <v>120</v>
      </c>
      <c r="B117" s="900" t="s">
        <v>361</v>
      </c>
      <c r="C117" s="901"/>
      <c r="D117" s="45">
        <v>14886192.25</v>
      </c>
      <c r="E117" s="42"/>
      <c r="F117" s="42"/>
      <c r="G117" s="42"/>
      <c r="H117" s="33">
        <v>14886192.25</v>
      </c>
    </row>
    <row r="118" spans="1:8" ht="12.75" customHeight="1">
      <c r="A118" s="902" t="s">
        <v>172</v>
      </c>
      <c r="B118" s="900" t="s">
        <v>362</v>
      </c>
      <c r="C118" s="901"/>
      <c r="D118" s="45">
        <v>14188521.73</v>
      </c>
      <c r="E118" s="42"/>
      <c r="F118" s="45">
        <v>0</v>
      </c>
      <c r="G118" s="42"/>
      <c r="H118" s="33">
        <v>14188521.73</v>
      </c>
    </row>
    <row r="119" spans="1:8" ht="24.75" customHeight="1">
      <c r="A119" s="902" t="s">
        <v>161</v>
      </c>
      <c r="B119" s="900" t="s">
        <v>363</v>
      </c>
      <c r="C119" s="901"/>
      <c r="D119" s="45">
        <v>6621544.2699999996</v>
      </c>
      <c r="E119" s="42"/>
      <c r="F119" s="45">
        <v>0</v>
      </c>
      <c r="G119" s="42"/>
      <c r="H119" s="33">
        <v>6621544.2699999996</v>
      </c>
    </row>
    <row r="120" spans="1:8" ht="12.75" customHeight="1">
      <c r="A120" s="902" t="s">
        <v>196</v>
      </c>
      <c r="B120" s="900" t="s">
        <v>364</v>
      </c>
      <c r="C120" s="901"/>
      <c r="D120" s="45">
        <v>56806413.340000004</v>
      </c>
      <c r="E120" s="42"/>
      <c r="F120" s="45">
        <v>0</v>
      </c>
      <c r="G120" s="42"/>
      <c r="H120" s="33">
        <v>56806413.340000004</v>
      </c>
    </row>
    <row r="121" spans="1:8" ht="12.75" customHeight="1">
      <c r="A121" s="902" t="s">
        <v>365</v>
      </c>
      <c r="B121" s="900" t="s">
        <v>366</v>
      </c>
      <c r="C121" s="901"/>
      <c r="D121" s="45">
        <v>3808192.43</v>
      </c>
      <c r="E121" s="42"/>
      <c r="F121" s="45">
        <v>0</v>
      </c>
      <c r="G121" s="42"/>
      <c r="H121" s="33">
        <v>3808192.43</v>
      </c>
    </row>
    <row r="122" spans="1:8" ht="12.75" customHeight="1">
      <c r="A122" s="902" t="s">
        <v>167</v>
      </c>
      <c r="B122" s="900" t="s">
        <v>367</v>
      </c>
      <c r="C122" s="901"/>
      <c r="D122" s="42"/>
      <c r="E122" s="42"/>
      <c r="F122" s="45">
        <v>13510282.5</v>
      </c>
      <c r="G122" s="45">
        <v>297714723.05000001</v>
      </c>
      <c r="H122" s="33">
        <v>311225005.55000001</v>
      </c>
    </row>
    <row r="123" spans="1:8">
      <c r="A123" s="902" t="s">
        <v>368</v>
      </c>
      <c r="B123" s="900" t="s">
        <v>369</v>
      </c>
      <c r="C123" s="901"/>
      <c r="D123" s="42"/>
      <c r="E123" s="42"/>
      <c r="F123" s="45">
        <v>0</v>
      </c>
      <c r="G123" s="45">
        <v>11615920.970000001</v>
      </c>
      <c r="H123" s="33">
        <v>11615920.970000001</v>
      </c>
    </row>
    <row r="124" spans="1:8">
      <c r="A124" s="902" t="s">
        <v>148</v>
      </c>
      <c r="B124" s="900" t="s">
        <v>370</v>
      </c>
      <c r="C124" s="901"/>
      <c r="D124" s="42"/>
      <c r="E124" s="42"/>
      <c r="F124" s="45">
        <v>0</v>
      </c>
      <c r="G124" s="45">
        <v>27987493.890000001</v>
      </c>
      <c r="H124" s="33">
        <v>27987493.890000001</v>
      </c>
    </row>
    <row r="125" spans="1:8">
      <c r="A125" s="902" t="s">
        <v>183</v>
      </c>
      <c r="B125" s="900" t="s">
        <v>371</v>
      </c>
      <c r="C125" s="901"/>
      <c r="D125" s="42"/>
      <c r="E125" s="42"/>
      <c r="F125" s="45">
        <v>0</v>
      </c>
      <c r="G125" s="45">
        <v>4479428.0199999996</v>
      </c>
      <c r="H125" s="33">
        <v>4479428.0199999996</v>
      </c>
    </row>
    <row r="126" spans="1:8">
      <c r="A126" s="902" t="s">
        <v>169</v>
      </c>
      <c r="B126" s="900" t="s">
        <v>372</v>
      </c>
      <c r="C126" s="901"/>
      <c r="D126" s="42"/>
      <c r="E126" s="42"/>
      <c r="F126" s="45">
        <v>0</v>
      </c>
      <c r="G126" s="45">
        <v>4408072</v>
      </c>
      <c r="H126" s="33">
        <v>4408072</v>
      </c>
    </row>
    <row r="127" spans="1:8">
      <c r="A127" s="902" t="s">
        <v>184</v>
      </c>
      <c r="B127" s="900" t="s">
        <v>373</v>
      </c>
      <c r="C127" s="901"/>
      <c r="D127" s="42"/>
      <c r="E127" s="42"/>
      <c r="F127" s="45">
        <v>783778.69</v>
      </c>
      <c r="G127" s="45">
        <v>7010362.7199999997</v>
      </c>
      <c r="H127" s="33">
        <v>7794141.4100000001</v>
      </c>
    </row>
    <row r="128" spans="1:8" ht="12.75" customHeight="1">
      <c r="A128" s="902" t="s">
        <v>374</v>
      </c>
      <c r="B128" s="900" t="s">
        <v>375</v>
      </c>
      <c r="C128" s="901"/>
      <c r="D128" s="42"/>
      <c r="E128" s="42"/>
      <c r="F128" s="45">
        <v>0</v>
      </c>
      <c r="G128" s="45">
        <v>49993880.490000002</v>
      </c>
      <c r="H128" s="33">
        <v>49993880.490000002</v>
      </c>
    </row>
    <row r="129" spans="1:8" ht="12.75" customHeight="1">
      <c r="A129" s="902" t="s">
        <v>143</v>
      </c>
      <c r="B129" s="900" t="s">
        <v>376</v>
      </c>
      <c r="C129" s="901"/>
      <c r="D129" s="42"/>
      <c r="E129" s="42"/>
      <c r="F129" s="45">
        <v>0</v>
      </c>
      <c r="G129" s="45">
        <v>20795735.91</v>
      </c>
      <c r="H129" s="33">
        <v>20795735.91</v>
      </c>
    </row>
    <row r="130" spans="1:8" ht="12.75" customHeight="1">
      <c r="A130" s="902" t="s">
        <v>377</v>
      </c>
      <c r="B130" s="900" t="s">
        <v>378</v>
      </c>
      <c r="C130" s="901"/>
      <c r="D130" s="45">
        <v>197813693.44</v>
      </c>
      <c r="E130" s="42"/>
      <c r="F130" s="45">
        <v>0</v>
      </c>
      <c r="G130" s="42"/>
      <c r="H130" s="33">
        <v>197813693.44</v>
      </c>
    </row>
    <row r="131" spans="1:8">
      <c r="A131" s="902" t="s">
        <v>130</v>
      </c>
      <c r="B131" s="900" t="s">
        <v>379</v>
      </c>
      <c r="C131" s="901"/>
      <c r="D131" s="45">
        <v>7028040</v>
      </c>
      <c r="E131" s="42"/>
      <c r="F131" s="45">
        <v>0</v>
      </c>
      <c r="G131" s="42"/>
      <c r="H131" s="33">
        <v>7028040</v>
      </c>
    </row>
    <row r="132" spans="1:8">
      <c r="A132" s="902" t="s">
        <v>133</v>
      </c>
      <c r="B132" s="900" t="s">
        <v>380</v>
      </c>
      <c r="C132" s="901"/>
      <c r="D132" s="45">
        <v>24521242.350000001</v>
      </c>
      <c r="E132" s="42"/>
      <c r="F132" s="45">
        <v>0</v>
      </c>
      <c r="G132" s="42"/>
      <c r="H132" s="33">
        <v>24521242.350000001</v>
      </c>
    </row>
    <row r="133" spans="1:8">
      <c r="A133" s="902" t="s">
        <v>193</v>
      </c>
      <c r="B133" s="900" t="s">
        <v>286</v>
      </c>
      <c r="C133" s="901"/>
      <c r="D133" s="45">
        <v>40322109.299999997</v>
      </c>
      <c r="E133" s="42"/>
      <c r="F133" s="45">
        <v>0</v>
      </c>
      <c r="G133" s="42"/>
      <c r="H133" s="33">
        <v>40322109.299999997</v>
      </c>
    </row>
    <row r="134" spans="1:8">
      <c r="A134" s="902" t="s">
        <v>195</v>
      </c>
      <c r="B134" s="900" t="s">
        <v>286</v>
      </c>
      <c r="C134" s="901"/>
      <c r="D134" s="42"/>
      <c r="E134" s="42"/>
      <c r="F134" s="45">
        <v>0</v>
      </c>
      <c r="G134" s="45">
        <v>7696477.6200000001</v>
      </c>
      <c r="H134" s="33">
        <v>7696477.6200000001</v>
      </c>
    </row>
    <row r="135" spans="1:8">
      <c r="A135" s="908" t="s">
        <v>647</v>
      </c>
      <c r="B135" s="909"/>
      <c r="C135" s="910"/>
      <c r="D135" s="99">
        <v>1664078605.9400001</v>
      </c>
      <c r="E135" s="99">
        <v>445427487.20999998</v>
      </c>
      <c r="F135" s="99">
        <v>205164419.56999999</v>
      </c>
      <c r="G135" s="99">
        <v>955838220.80999994</v>
      </c>
      <c r="H135" s="84">
        <v>3270508733.5300002</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160"/>
  <sheetViews>
    <sheetView showGridLines="0" workbookViewId="0">
      <selection activeCell="H5" sqref="H5"/>
    </sheetView>
  </sheetViews>
  <sheetFormatPr defaultRowHeight="12.75"/>
  <cols>
    <col min="1" max="1" width="8.140625" style="32" bestFit="1" customWidth="1"/>
    <col min="2" max="2" width="18.140625" style="32" customWidth="1"/>
    <col min="3" max="3" width="28.42578125" style="32" customWidth="1"/>
    <col min="4" max="4" width="14.85546875" style="32" bestFit="1" customWidth="1"/>
    <col min="5" max="6" width="13.42578125" style="32" bestFit="1" customWidth="1"/>
    <col min="7" max="8" width="14.85546875" style="32" bestFit="1" customWidth="1"/>
    <col min="9" max="16384" width="9.140625" style="32"/>
  </cols>
  <sheetData>
    <row r="1" spans="1:9" ht="22.5" customHeight="1">
      <c r="A1" s="1049" t="s">
        <v>723</v>
      </c>
      <c r="B1" s="1049"/>
      <c r="C1" s="1049"/>
      <c r="D1" s="1049"/>
      <c r="E1" s="1049"/>
      <c r="F1" s="1049"/>
      <c r="G1" s="1049"/>
      <c r="H1" s="1049"/>
      <c r="I1" s="1049"/>
    </row>
    <row r="2" spans="1:9" ht="10.5" customHeight="1"/>
    <row r="3" spans="1:9">
      <c r="A3" s="1057" t="s">
        <v>673</v>
      </c>
      <c r="B3" s="1058"/>
      <c r="C3" s="56" t="s">
        <v>667</v>
      </c>
      <c r="D3" s="1051" t="s">
        <v>674</v>
      </c>
      <c r="E3" s="1052"/>
      <c r="F3" s="1052"/>
      <c r="G3" s="1052"/>
      <c r="H3" s="1053"/>
    </row>
    <row r="4" spans="1:9">
      <c r="A4" s="1059"/>
      <c r="B4" s="1060"/>
      <c r="C4" s="57" t="s">
        <v>668</v>
      </c>
      <c r="D4" s="44" t="s">
        <v>55</v>
      </c>
      <c r="E4" s="44" t="s">
        <v>0</v>
      </c>
      <c r="F4" s="44" t="s">
        <v>675</v>
      </c>
      <c r="G4" s="44" t="s">
        <v>142</v>
      </c>
      <c r="H4" s="43" t="s">
        <v>647</v>
      </c>
    </row>
    <row r="5" spans="1:9" ht="24" customHeight="1">
      <c r="A5" s="95" t="s">
        <v>4</v>
      </c>
      <c r="B5" s="1045" t="s">
        <v>676</v>
      </c>
      <c r="C5" s="1046"/>
      <c r="D5" s="42"/>
      <c r="E5" s="45">
        <v>0</v>
      </c>
      <c r="F5" s="42"/>
      <c r="G5" s="42"/>
      <c r="H5" s="33">
        <v>0</v>
      </c>
    </row>
    <row r="6" spans="1:9">
      <c r="A6" s="95" t="s">
        <v>170</v>
      </c>
      <c r="B6" s="1043" t="s">
        <v>224</v>
      </c>
      <c r="C6" s="1044"/>
      <c r="D6" s="42"/>
      <c r="E6" s="45">
        <v>39087271.659999996</v>
      </c>
      <c r="F6" s="45">
        <v>6060198.0700000003</v>
      </c>
      <c r="G6" s="42"/>
      <c r="H6" s="33">
        <v>45147469.729999997</v>
      </c>
    </row>
    <row r="7" spans="1:9">
      <c r="A7" s="95" t="s">
        <v>6</v>
      </c>
      <c r="B7" s="1043" t="s">
        <v>677</v>
      </c>
      <c r="C7" s="1044"/>
      <c r="D7" s="42"/>
      <c r="E7" s="45">
        <v>0</v>
      </c>
      <c r="F7" s="42"/>
      <c r="G7" s="42"/>
      <c r="H7" s="33">
        <v>0</v>
      </c>
    </row>
    <row r="8" spans="1:9">
      <c r="A8" s="95" t="s">
        <v>225</v>
      </c>
      <c r="B8" s="1043" t="s">
        <v>226</v>
      </c>
      <c r="C8" s="1044"/>
      <c r="D8" s="42"/>
      <c r="E8" s="45">
        <v>7342601.7199999997</v>
      </c>
      <c r="F8" s="45">
        <v>858414.64</v>
      </c>
      <c r="G8" s="42"/>
      <c r="H8" s="33">
        <v>8201016.3600000003</v>
      </c>
    </row>
    <row r="9" spans="1:9">
      <c r="A9" s="95" t="s">
        <v>227</v>
      </c>
      <c r="B9" s="1043" t="s">
        <v>228</v>
      </c>
      <c r="C9" s="1044"/>
      <c r="D9" s="42"/>
      <c r="E9" s="45">
        <v>34695181.700000003</v>
      </c>
      <c r="F9" s="45">
        <v>2473038.66</v>
      </c>
      <c r="G9" s="42"/>
      <c r="H9" s="33">
        <v>37168220.359999999</v>
      </c>
    </row>
    <row r="10" spans="1:9" ht="24" customHeight="1">
      <c r="A10" s="95" t="s">
        <v>10</v>
      </c>
      <c r="B10" s="1043" t="s">
        <v>229</v>
      </c>
      <c r="C10" s="1044"/>
      <c r="D10" s="42"/>
      <c r="E10" s="45">
        <v>1001495</v>
      </c>
      <c r="F10" s="45">
        <v>0</v>
      </c>
      <c r="G10" s="42"/>
      <c r="H10" s="33">
        <v>1001495</v>
      </c>
    </row>
    <row r="11" spans="1:9">
      <c r="A11" s="95" t="s">
        <v>11</v>
      </c>
      <c r="B11" s="1043" t="s">
        <v>678</v>
      </c>
      <c r="C11" s="1044"/>
      <c r="D11" s="42"/>
      <c r="E11" s="45">
        <v>0</v>
      </c>
      <c r="F11" s="42"/>
      <c r="G11" s="42"/>
      <c r="H11" s="33">
        <v>0</v>
      </c>
    </row>
    <row r="12" spans="1:9" ht="24" customHeight="1">
      <c r="A12" s="95" t="s">
        <v>175</v>
      </c>
      <c r="B12" s="1043" t="s">
        <v>230</v>
      </c>
      <c r="C12" s="1044"/>
      <c r="D12" s="42"/>
      <c r="E12" s="45">
        <v>2393420.11</v>
      </c>
      <c r="F12" s="45">
        <v>0</v>
      </c>
      <c r="G12" s="42"/>
      <c r="H12" s="33">
        <v>2393420.11</v>
      </c>
    </row>
    <row r="13" spans="1:9" ht="24" customHeight="1">
      <c r="A13" s="95" t="s">
        <v>188</v>
      </c>
      <c r="B13" s="1043" t="s">
        <v>231</v>
      </c>
      <c r="C13" s="1044"/>
      <c r="D13" s="42"/>
      <c r="E13" s="45">
        <v>5090153.55</v>
      </c>
      <c r="F13" s="45">
        <v>898267.85</v>
      </c>
      <c r="G13" s="42"/>
      <c r="H13" s="33">
        <v>5988421.4000000004</v>
      </c>
    </row>
    <row r="14" spans="1:9" ht="24" customHeight="1">
      <c r="A14" s="95" t="s">
        <v>220</v>
      </c>
      <c r="B14" s="1043" t="s">
        <v>232</v>
      </c>
      <c r="C14" s="1044"/>
      <c r="D14" s="42"/>
      <c r="E14" s="45">
        <v>8849476.75</v>
      </c>
      <c r="F14" s="42"/>
      <c r="G14" s="42"/>
      <c r="H14" s="33">
        <v>8849476.75</v>
      </c>
    </row>
    <row r="15" spans="1:9" ht="24" customHeight="1">
      <c r="A15" s="95" t="s">
        <v>187</v>
      </c>
      <c r="B15" s="1043" t="s">
        <v>233</v>
      </c>
      <c r="C15" s="1044"/>
      <c r="D15" s="42"/>
      <c r="E15" s="45">
        <v>24158401.16</v>
      </c>
      <c r="F15" s="45">
        <v>4174682.47</v>
      </c>
      <c r="G15" s="42"/>
      <c r="H15" s="33">
        <v>28333083.629999999</v>
      </c>
    </row>
    <row r="16" spans="1:9" ht="36" customHeight="1">
      <c r="A16" s="95" t="s">
        <v>186</v>
      </c>
      <c r="B16" s="1043" t="s">
        <v>234</v>
      </c>
      <c r="C16" s="1044"/>
      <c r="D16" s="42"/>
      <c r="E16" s="45">
        <v>4203764.5</v>
      </c>
      <c r="F16" s="45">
        <v>741842.65</v>
      </c>
      <c r="G16" s="42"/>
      <c r="H16" s="33">
        <v>4945607.1500000004</v>
      </c>
    </row>
    <row r="17" spans="1:8" ht="24" customHeight="1">
      <c r="A17" s="95" t="s">
        <v>165</v>
      </c>
      <c r="B17" s="1043" t="s">
        <v>235</v>
      </c>
      <c r="C17" s="1044"/>
      <c r="D17" s="42"/>
      <c r="E17" s="45">
        <v>9112799.1300000008</v>
      </c>
      <c r="F17" s="45">
        <v>1608139.95</v>
      </c>
      <c r="G17" s="42"/>
      <c r="H17" s="33">
        <v>10720939.08</v>
      </c>
    </row>
    <row r="18" spans="1:8" ht="24" customHeight="1">
      <c r="A18" s="95" t="s">
        <v>179</v>
      </c>
      <c r="B18" s="1043" t="s">
        <v>236</v>
      </c>
      <c r="C18" s="1044"/>
      <c r="D18" s="42"/>
      <c r="E18" s="45">
        <v>3334942.73</v>
      </c>
      <c r="F18" s="45">
        <v>588521.04</v>
      </c>
      <c r="G18" s="42"/>
      <c r="H18" s="33">
        <v>3923463.77</v>
      </c>
    </row>
    <row r="19" spans="1:8" ht="24" customHeight="1">
      <c r="A19" s="95" t="s">
        <v>18</v>
      </c>
      <c r="B19" s="1043" t="s">
        <v>679</v>
      </c>
      <c r="C19" s="1044"/>
      <c r="D19" s="42"/>
      <c r="E19" s="45">
        <v>0</v>
      </c>
      <c r="F19" s="42"/>
      <c r="G19" s="42"/>
      <c r="H19" s="33">
        <v>0</v>
      </c>
    </row>
    <row r="20" spans="1:8" ht="24" customHeight="1">
      <c r="A20" s="95" t="s">
        <v>19</v>
      </c>
      <c r="B20" s="1043" t="s">
        <v>237</v>
      </c>
      <c r="C20" s="1044"/>
      <c r="D20" s="42"/>
      <c r="E20" s="45">
        <v>5441400.2300000004</v>
      </c>
      <c r="F20" s="45">
        <v>0</v>
      </c>
      <c r="G20" s="42"/>
      <c r="H20" s="33">
        <v>5441400.2300000004</v>
      </c>
    </row>
    <row r="21" spans="1:8">
      <c r="A21" s="95" t="s">
        <v>20</v>
      </c>
      <c r="B21" s="1043" t="s">
        <v>680</v>
      </c>
      <c r="C21" s="1044"/>
      <c r="D21" s="42"/>
      <c r="E21" s="45">
        <v>0</v>
      </c>
      <c r="F21" s="42"/>
      <c r="G21" s="42"/>
      <c r="H21" s="33">
        <v>0</v>
      </c>
    </row>
    <row r="22" spans="1:8" ht="24" customHeight="1">
      <c r="A22" s="95" t="s">
        <v>238</v>
      </c>
      <c r="B22" s="1043" t="s">
        <v>239</v>
      </c>
      <c r="C22" s="1044"/>
      <c r="D22" s="42"/>
      <c r="E22" s="45">
        <v>16956067.879999999</v>
      </c>
      <c r="F22" s="45">
        <v>2992247.77</v>
      </c>
      <c r="G22" s="42"/>
      <c r="H22" s="33">
        <v>19948315.649999999</v>
      </c>
    </row>
    <row r="23" spans="1:8" ht="24" customHeight="1">
      <c r="A23" s="95" t="s">
        <v>22</v>
      </c>
      <c r="B23" s="1043" t="s">
        <v>681</v>
      </c>
      <c r="C23" s="1044"/>
      <c r="D23" s="42"/>
      <c r="E23" s="45">
        <v>0</v>
      </c>
      <c r="F23" s="42"/>
      <c r="G23" s="42"/>
      <c r="H23" s="33">
        <v>0</v>
      </c>
    </row>
    <row r="24" spans="1:8" ht="36" customHeight="1">
      <c r="A24" s="95" t="s">
        <v>23</v>
      </c>
      <c r="B24" s="1043" t="s">
        <v>682</v>
      </c>
      <c r="C24" s="1044"/>
      <c r="D24" s="42"/>
      <c r="E24" s="45">
        <v>0</v>
      </c>
      <c r="F24" s="42"/>
      <c r="G24" s="42"/>
      <c r="H24" s="33">
        <v>0</v>
      </c>
    </row>
    <row r="25" spans="1:8" ht="24" customHeight="1">
      <c r="A25" s="95" t="s">
        <v>25</v>
      </c>
      <c r="B25" s="1043" t="s">
        <v>683</v>
      </c>
      <c r="C25" s="1044"/>
      <c r="D25" s="42"/>
      <c r="E25" s="45">
        <v>0</v>
      </c>
      <c r="F25" s="42"/>
      <c r="G25" s="42"/>
      <c r="H25" s="33">
        <v>0</v>
      </c>
    </row>
    <row r="26" spans="1:8">
      <c r="A26" s="95" t="s">
        <v>26</v>
      </c>
      <c r="B26" s="1043" t="s">
        <v>240</v>
      </c>
      <c r="C26" s="1044"/>
      <c r="D26" s="42"/>
      <c r="E26" s="45">
        <v>973356.13</v>
      </c>
      <c r="F26" s="45">
        <v>0</v>
      </c>
      <c r="G26" s="42"/>
      <c r="H26" s="33">
        <v>973356.13</v>
      </c>
    </row>
    <row r="27" spans="1:8" ht="48" customHeight="1">
      <c r="A27" s="95" t="s">
        <v>28</v>
      </c>
      <c r="B27" s="1043" t="s">
        <v>241</v>
      </c>
      <c r="C27" s="1044"/>
      <c r="D27" s="42"/>
      <c r="E27" s="45">
        <v>3584300.4</v>
      </c>
      <c r="F27" s="45">
        <v>632523.6</v>
      </c>
      <c r="G27" s="42"/>
      <c r="H27" s="33">
        <v>4216824</v>
      </c>
    </row>
    <row r="28" spans="1:8" ht="36" customHeight="1">
      <c r="A28" s="95" t="s">
        <v>204</v>
      </c>
      <c r="B28" s="1043" t="s">
        <v>242</v>
      </c>
      <c r="C28" s="1044"/>
      <c r="D28" s="42"/>
      <c r="E28" s="45">
        <v>5712240.5099999998</v>
      </c>
      <c r="F28" s="45">
        <v>0</v>
      </c>
      <c r="G28" s="42"/>
      <c r="H28" s="33">
        <v>5712240.5099999998</v>
      </c>
    </row>
    <row r="29" spans="1:8" ht="36" customHeight="1">
      <c r="A29" s="95" t="s">
        <v>243</v>
      </c>
      <c r="B29" s="1043" t="s">
        <v>244</v>
      </c>
      <c r="C29" s="1044"/>
      <c r="D29" s="42"/>
      <c r="E29" s="45">
        <v>21713962.399999999</v>
      </c>
      <c r="F29" s="45">
        <v>557599.77</v>
      </c>
      <c r="G29" s="42"/>
      <c r="H29" s="33">
        <v>22271562.170000002</v>
      </c>
    </row>
    <row r="30" spans="1:8">
      <c r="A30" s="95" t="s">
        <v>171</v>
      </c>
      <c r="B30" s="1043" t="s">
        <v>245</v>
      </c>
      <c r="C30" s="1044"/>
      <c r="D30" s="42"/>
      <c r="E30" s="45">
        <v>69881818.060000002</v>
      </c>
      <c r="F30" s="45">
        <v>5929070.2999999998</v>
      </c>
      <c r="G30" s="42"/>
      <c r="H30" s="33">
        <v>75810888.359999999</v>
      </c>
    </row>
    <row r="31" spans="1:8" ht="36" customHeight="1">
      <c r="A31" s="95" t="s">
        <v>246</v>
      </c>
      <c r="B31" s="1043" t="s">
        <v>247</v>
      </c>
      <c r="C31" s="1044"/>
      <c r="D31" s="42"/>
      <c r="E31" s="45">
        <v>1965253.64</v>
      </c>
      <c r="F31" s="45">
        <v>0</v>
      </c>
      <c r="G31" s="42"/>
      <c r="H31" s="33">
        <v>1965253.64</v>
      </c>
    </row>
    <row r="32" spans="1:8">
      <c r="A32" s="95" t="s">
        <v>248</v>
      </c>
      <c r="B32" s="1043" t="s">
        <v>249</v>
      </c>
      <c r="C32" s="1044"/>
      <c r="D32" s="42"/>
      <c r="E32" s="45">
        <v>3070747.46</v>
      </c>
      <c r="F32" s="45">
        <v>937015.54</v>
      </c>
      <c r="G32" s="42"/>
      <c r="H32" s="33">
        <v>4007763</v>
      </c>
    </row>
    <row r="33" spans="1:8">
      <c r="A33" s="95" t="s">
        <v>384</v>
      </c>
      <c r="B33" s="1043" t="s">
        <v>684</v>
      </c>
      <c r="C33" s="1044"/>
      <c r="D33" s="42"/>
      <c r="E33" s="45">
        <v>3000000.4</v>
      </c>
      <c r="F33" s="42"/>
      <c r="G33" s="42"/>
      <c r="H33" s="33">
        <v>3000000.4</v>
      </c>
    </row>
    <row r="34" spans="1:8" ht="24" customHeight="1">
      <c r="A34" s="95" t="s">
        <v>31</v>
      </c>
      <c r="B34" s="1043" t="s">
        <v>250</v>
      </c>
      <c r="C34" s="1044"/>
      <c r="D34" s="42"/>
      <c r="E34" s="45">
        <v>9008226.1099999994</v>
      </c>
      <c r="F34" s="45">
        <v>1589685.72</v>
      </c>
      <c r="G34" s="42"/>
      <c r="H34" s="33">
        <v>10597911.83</v>
      </c>
    </row>
    <row r="35" spans="1:8" ht="24" customHeight="1">
      <c r="A35" s="95" t="s">
        <v>251</v>
      </c>
      <c r="B35" s="1043" t="s">
        <v>252</v>
      </c>
      <c r="C35" s="1044"/>
      <c r="D35" s="42"/>
      <c r="E35" s="45">
        <v>519738.32</v>
      </c>
      <c r="F35" s="45">
        <v>91719.44</v>
      </c>
      <c r="G35" s="42"/>
      <c r="H35" s="33">
        <v>611457.76</v>
      </c>
    </row>
    <row r="36" spans="1:8" ht="24" customHeight="1">
      <c r="A36" s="95" t="s">
        <v>253</v>
      </c>
      <c r="B36" s="1043" t="s">
        <v>254</v>
      </c>
      <c r="C36" s="1044"/>
      <c r="D36" s="42"/>
      <c r="E36" s="45">
        <v>5685350.5300000003</v>
      </c>
      <c r="F36" s="45">
        <v>1003297.69</v>
      </c>
      <c r="G36" s="42"/>
      <c r="H36" s="33">
        <v>6688648.2199999997</v>
      </c>
    </row>
    <row r="37" spans="1:8">
      <c r="A37" s="95" t="s">
        <v>185</v>
      </c>
      <c r="B37" s="1043" t="s">
        <v>255</v>
      </c>
      <c r="C37" s="1044"/>
      <c r="D37" s="42"/>
      <c r="E37" s="45">
        <v>1970593.54</v>
      </c>
      <c r="F37" s="45">
        <v>347752.34</v>
      </c>
      <c r="G37" s="42"/>
      <c r="H37" s="33">
        <v>2318345.88</v>
      </c>
    </row>
    <row r="38" spans="1:8" ht="24" customHeight="1">
      <c r="A38" s="95" t="s">
        <v>256</v>
      </c>
      <c r="B38" s="1043" t="s">
        <v>257</v>
      </c>
      <c r="C38" s="1044"/>
      <c r="D38" s="42"/>
      <c r="E38" s="45">
        <v>48697755.119999997</v>
      </c>
      <c r="F38" s="45">
        <v>11806031.210000001</v>
      </c>
      <c r="G38" s="42"/>
      <c r="H38" s="33">
        <v>60503786.329999998</v>
      </c>
    </row>
    <row r="39" spans="1:8">
      <c r="A39" s="95" t="s">
        <v>33</v>
      </c>
      <c r="B39" s="1043" t="s">
        <v>685</v>
      </c>
      <c r="C39" s="1044"/>
      <c r="D39" s="42"/>
      <c r="E39" s="45">
        <v>0</v>
      </c>
      <c r="F39" s="42"/>
      <c r="G39" s="42"/>
      <c r="H39" s="33">
        <v>0</v>
      </c>
    </row>
    <row r="40" spans="1:8" ht="24" customHeight="1">
      <c r="A40" s="95" t="s">
        <v>34</v>
      </c>
      <c r="B40" s="1043" t="s">
        <v>258</v>
      </c>
      <c r="C40" s="1044"/>
      <c r="D40" s="42"/>
      <c r="E40" s="45">
        <v>849999.97</v>
      </c>
      <c r="F40" s="45">
        <v>150000.16</v>
      </c>
      <c r="G40" s="42"/>
      <c r="H40" s="33">
        <v>1000000.13</v>
      </c>
    </row>
    <row r="41" spans="1:8" ht="36" customHeight="1">
      <c r="A41" s="95" t="s">
        <v>35</v>
      </c>
      <c r="B41" s="1043" t="s">
        <v>686</v>
      </c>
      <c r="C41" s="1044"/>
      <c r="D41" s="42"/>
      <c r="E41" s="45">
        <v>0</v>
      </c>
      <c r="F41" s="42"/>
      <c r="G41" s="42"/>
      <c r="H41" s="33">
        <v>0</v>
      </c>
    </row>
    <row r="42" spans="1:8">
      <c r="A42" s="95" t="s">
        <v>178</v>
      </c>
      <c r="B42" s="1043" t="s">
        <v>259</v>
      </c>
      <c r="C42" s="1044"/>
      <c r="D42" s="42"/>
      <c r="E42" s="45">
        <v>106292.78</v>
      </c>
      <c r="F42" s="45">
        <v>0</v>
      </c>
      <c r="G42" s="42"/>
      <c r="H42" s="33">
        <v>106292.78</v>
      </c>
    </row>
    <row r="43" spans="1:8" ht="24" customHeight="1">
      <c r="A43" s="95" t="s">
        <v>37</v>
      </c>
      <c r="B43" s="1043" t="s">
        <v>687</v>
      </c>
      <c r="C43" s="1044"/>
      <c r="D43" s="42"/>
      <c r="E43" s="45">
        <v>0</v>
      </c>
      <c r="F43" s="42"/>
      <c r="G43" s="42"/>
      <c r="H43" s="33">
        <v>0</v>
      </c>
    </row>
    <row r="44" spans="1:8">
      <c r="A44" s="95" t="s">
        <v>38</v>
      </c>
      <c r="B44" s="1043" t="s">
        <v>688</v>
      </c>
      <c r="C44" s="1044"/>
      <c r="D44" s="42"/>
      <c r="E44" s="45">
        <v>0</v>
      </c>
      <c r="F44" s="42"/>
      <c r="G44" s="42"/>
      <c r="H44" s="33">
        <v>0</v>
      </c>
    </row>
    <row r="45" spans="1:8" ht="36" customHeight="1">
      <c r="A45" s="95" t="s">
        <v>39</v>
      </c>
      <c r="B45" s="1043" t="s">
        <v>260</v>
      </c>
      <c r="C45" s="1044"/>
      <c r="D45" s="42"/>
      <c r="E45" s="45">
        <v>8720345.6500000004</v>
      </c>
      <c r="F45" s="45">
        <v>1377909.79</v>
      </c>
      <c r="G45" s="42"/>
      <c r="H45" s="33">
        <v>10098255.439999999</v>
      </c>
    </row>
    <row r="46" spans="1:8" ht="24" customHeight="1">
      <c r="A46" s="95" t="s">
        <v>177</v>
      </c>
      <c r="B46" s="1043" t="s">
        <v>261</v>
      </c>
      <c r="C46" s="1044"/>
      <c r="D46" s="42"/>
      <c r="E46" s="45">
        <v>10940071.26</v>
      </c>
      <c r="F46" s="45">
        <v>1004542.36</v>
      </c>
      <c r="G46" s="42"/>
      <c r="H46" s="33">
        <v>11944613.619999999</v>
      </c>
    </row>
    <row r="47" spans="1:8" ht="24" customHeight="1">
      <c r="A47" s="95" t="s">
        <v>203</v>
      </c>
      <c r="B47" s="1043" t="s">
        <v>262</v>
      </c>
      <c r="C47" s="1044"/>
      <c r="D47" s="42"/>
      <c r="E47" s="45">
        <v>8705014.6799999997</v>
      </c>
      <c r="F47" s="45">
        <v>624832.81999999995</v>
      </c>
      <c r="G47" s="42"/>
      <c r="H47" s="33">
        <v>9329847.5</v>
      </c>
    </row>
    <row r="48" spans="1:8">
      <c r="A48" s="95" t="s">
        <v>263</v>
      </c>
      <c r="B48" s="1043" t="s">
        <v>264</v>
      </c>
      <c r="C48" s="1044"/>
      <c r="D48" s="42"/>
      <c r="E48" s="45">
        <v>1262086.29</v>
      </c>
      <c r="F48" s="45">
        <v>222721.4</v>
      </c>
      <c r="G48" s="42"/>
      <c r="H48" s="33">
        <v>1484807.69</v>
      </c>
    </row>
    <row r="49" spans="1:8" ht="24" customHeight="1">
      <c r="A49" s="95" t="s">
        <v>44</v>
      </c>
      <c r="B49" s="1043" t="s">
        <v>265</v>
      </c>
      <c r="C49" s="1044"/>
      <c r="D49" s="42"/>
      <c r="E49" s="45">
        <v>3215140.65</v>
      </c>
      <c r="F49" s="45">
        <v>567377.18000000005</v>
      </c>
      <c r="G49" s="42"/>
      <c r="H49" s="33">
        <v>3782517.83</v>
      </c>
    </row>
    <row r="50" spans="1:8" ht="24" customHeight="1">
      <c r="A50" s="95" t="s">
        <v>266</v>
      </c>
      <c r="B50" s="1043" t="s">
        <v>267</v>
      </c>
      <c r="C50" s="1044"/>
      <c r="D50" s="42"/>
      <c r="E50" s="45">
        <v>9622696.7899999991</v>
      </c>
      <c r="F50" s="45">
        <v>94146.92</v>
      </c>
      <c r="G50" s="42"/>
      <c r="H50" s="33">
        <v>9716843.7100000009</v>
      </c>
    </row>
    <row r="51" spans="1:8" ht="24" customHeight="1">
      <c r="A51" s="95" t="s">
        <v>48</v>
      </c>
      <c r="B51" s="1043" t="s">
        <v>268</v>
      </c>
      <c r="C51" s="1044"/>
      <c r="D51" s="42"/>
      <c r="E51" s="45">
        <v>2781474.04</v>
      </c>
      <c r="F51" s="45">
        <v>0</v>
      </c>
      <c r="G51" s="42"/>
      <c r="H51" s="33">
        <v>2781474.04</v>
      </c>
    </row>
    <row r="52" spans="1:8">
      <c r="A52" s="95" t="s">
        <v>49</v>
      </c>
      <c r="B52" s="1043" t="s">
        <v>689</v>
      </c>
      <c r="C52" s="1044"/>
      <c r="D52" s="42"/>
      <c r="E52" s="45">
        <v>0</v>
      </c>
      <c r="F52" s="42"/>
      <c r="G52" s="42"/>
      <c r="H52" s="33">
        <v>0</v>
      </c>
    </row>
    <row r="53" spans="1:8" ht="24" customHeight="1">
      <c r="A53" s="95" t="s">
        <v>50</v>
      </c>
      <c r="B53" s="1043" t="s">
        <v>269</v>
      </c>
      <c r="C53" s="1044"/>
      <c r="D53" s="42"/>
      <c r="E53" s="45">
        <v>1723394.88</v>
      </c>
      <c r="F53" s="45">
        <v>304127.89</v>
      </c>
      <c r="G53" s="42"/>
      <c r="H53" s="33">
        <v>2027522.77</v>
      </c>
    </row>
    <row r="54" spans="1:8">
      <c r="A54" s="95" t="s">
        <v>270</v>
      </c>
      <c r="B54" s="1043" t="s">
        <v>271</v>
      </c>
      <c r="C54" s="1044"/>
      <c r="D54" s="42"/>
      <c r="E54" s="45">
        <v>341103.11</v>
      </c>
      <c r="F54" s="45">
        <v>60195.16</v>
      </c>
      <c r="G54" s="42"/>
      <c r="H54" s="33">
        <v>401298.27</v>
      </c>
    </row>
    <row r="55" spans="1:8" ht="24" customHeight="1">
      <c r="A55" s="95" t="s">
        <v>272</v>
      </c>
      <c r="B55" s="1043" t="s">
        <v>273</v>
      </c>
      <c r="C55" s="1044"/>
      <c r="D55" s="42"/>
      <c r="E55" s="45">
        <v>453506.07</v>
      </c>
      <c r="F55" s="45">
        <v>80030.399999999994</v>
      </c>
      <c r="G55" s="42"/>
      <c r="H55" s="33">
        <v>533536.47</v>
      </c>
    </row>
    <row r="56" spans="1:8" ht="24" customHeight="1">
      <c r="A56" s="95" t="s">
        <v>274</v>
      </c>
      <c r="B56" s="1043" t="s">
        <v>275</v>
      </c>
      <c r="C56" s="1044"/>
      <c r="D56" s="42"/>
      <c r="E56" s="45">
        <v>55106.16</v>
      </c>
      <c r="F56" s="45">
        <v>9724.7000000000007</v>
      </c>
      <c r="G56" s="42"/>
      <c r="H56" s="33">
        <v>64830.86</v>
      </c>
    </row>
    <row r="57" spans="1:8">
      <c r="A57" s="95" t="s">
        <v>145</v>
      </c>
      <c r="B57" s="1043" t="s">
        <v>276</v>
      </c>
      <c r="C57" s="1044"/>
      <c r="D57" s="42"/>
      <c r="E57" s="45">
        <v>1901912.02</v>
      </c>
      <c r="F57" s="45">
        <v>335632.48</v>
      </c>
      <c r="G57" s="42"/>
      <c r="H57" s="33">
        <v>2237544.5</v>
      </c>
    </row>
    <row r="58" spans="1:8">
      <c r="A58" s="95" t="s">
        <v>277</v>
      </c>
      <c r="B58" s="1043" t="s">
        <v>278</v>
      </c>
      <c r="C58" s="1044"/>
      <c r="D58" s="42"/>
      <c r="E58" s="45">
        <v>2386548.79</v>
      </c>
      <c r="F58" s="45">
        <v>0</v>
      </c>
      <c r="G58" s="42"/>
      <c r="H58" s="33">
        <v>2386548.79</v>
      </c>
    </row>
    <row r="59" spans="1:8" ht="48" customHeight="1">
      <c r="A59" s="95" t="s">
        <v>279</v>
      </c>
      <c r="B59" s="1043" t="s">
        <v>280</v>
      </c>
      <c r="C59" s="1044"/>
      <c r="D59" s="42"/>
      <c r="E59" s="45">
        <v>1418135.48</v>
      </c>
      <c r="F59" s="45">
        <v>0</v>
      </c>
      <c r="G59" s="42"/>
      <c r="H59" s="33">
        <v>1418135.48</v>
      </c>
    </row>
    <row r="60" spans="1:8" ht="24" customHeight="1">
      <c r="A60" s="95" t="s">
        <v>281</v>
      </c>
      <c r="B60" s="1043" t="s">
        <v>282</v>
      </c>
      <c r="C60" s="1044"/>
      <c r="D60" s="42"/>
      <c r="E60" s="45">
        <v>2543141.96</v>
      </c>
      <c r="F60" s="45">
        <v>0</v>
      </c>
      <c r="G60" s="42"/>
      <c r="H60" s="33">
        <v>2543141.96</v>
      </c>
    </row>
    <row r="61" spans="1:8" ht="24" customHeight="1">
      <c r="A61" s="95" t="s">
        <v>283</v>
      </c>
      <c r="B61" s="1043" t="s">
        <v>284</v>
      </c>
      <c r="C61" s="1044"/>
      <c r="D61" s="42"/>
      <c r="E61" s="45">
        <v>2483574.4</v>
      </c>
      <c r="F61" s="45">
        <v>0</v>
      </c>
      <c r="G61" s="42"/>
      <c r="H61" s="33">
        <v>2483574.4</v>
      </c>
    </row>
    <row r="62" spans="1:8">
      <c r="A62" s="95" t="s">
        <v>285</v>
      </c>
      <c r="B62" s="1043" t="s">
        <v>286</v>
      </c>
      <c r="C62" s="1044"/>
      <c r="D62" s="42"/>
      <c r="E62" s="45">
        <v>12847761.029999999</v>
      </c>
      <c r="F62" s="45">
        <v>0</v>
      </c>
      <c r="G62" s="42"/>
      <c r="H62" s="33">
        <v>12847761.029999999</v>
      </c>
    </row>
    <row r="63" spans="1:8">
      <c r="A63" s="95" t="s">
        <v>287</v>
      </c>
      <c r="B63" s="1043" t="s">
        <v>288</v>
      </c>
      <c r="C63" s="1044"/>
      <c r="D63" s="45">
        <v>52275863.109999999</v>
      </c>
      <c r="E63" s="42"/>
      <c r="F63" s="45">
        <v>1000000.13</v>
      </c>
      <c r="G63" s="42"/>
      <c r="H63" s="33">
        <v>53275863.240000002</v>
      </c>
    </row>
    <row r="64" spans="1:8" ht="24" customHeight="1">
      <c r="A64" s="95" t="s">
        <v>289</v>
      </c>
      <c r="B64" s="1043" t="s">
        <v>290</v>
      </c>
      <c r="C64" s="1044"/>
      <c r="D64" s="45">
        <v>4366559.91</v>
      </c>
      <c r="E64" s="42"/>
      <c r="F64" s="45">
        <v>0</v>
      </c>
      <c r="G64" s="42"/>
      <c r="H64" s="33">
        <v>4366559.91</v>
      </c>
    </row>
    <row r="65" spans="1:8">
      <c r="A65" s="95" t="s">
        <v>58</v>
      </c>
      <c r="B65" s="1043" t="s">
        <v>291</v>
      </c>
      <c r="C65" s="1044"/>
      <c r="D65" s="45">
        <v>86816444.090000004</v>
      </c>
      <c r="E65" s="42"/>
      <c r="F65" s="45">
        <v>1039809.06</v>
      </c>
      <c r="G65" s="42"/>
      <c r="H65" s="33">
        <v>87856253.150000006</v>
      </c>
    </row>
    <row r="66" spans="1:8" ht="24" customHeight="1">
      <c r="A66" s="95" t="s">
        <v>59</v>
      </c>
      <c r="B66" s="1043" t="s">
        <v>292</v>
      </c>
      <c r="C66" s="1044"/>
      <c r="D66" s="45">
        <v>10514363.199999999</v>
      </c>
      <c r="E66" s="42"/>
      <c r="F66" s="45">
        <v>0</v>
      </c>
      <c r="G66" s="42"/>
      <c r="H66" s="33">
        <v>10514363.199999999</v>
      </c>
    </row>
    <row r="67" spans="1:8">
      <c r="A67" s="95" t="s">
        <v>162</v>
      </c>
      <c r="B67" s="1043" t="s">
        <v>293</v>
      </c>
      <c r="C67" s="1044"/>
      <c r="D67" s="45">
        <v>37373845.350000001</v>
      </c>
      <c r="E67" s="42"/>
      <c r="F67" s="45">
        <v>0</v>
      </c>
      <c r="G67" s="42"/>
      <c r="H67" s="33">
        <v>37373845.350000001</v>
      </c>
    </row>
    <row r="68" spans="1:8">
      <c r="A68" s="95" t="s">
        <v>206</v>
      </c>
      <c r="B68" s="1043" t="s">
        <v>294</v>
      </c>
      <c r="C68" s="1044"/>
      <c r="D68" s="45">
        <v>1906322.82</v>
      </c>
      <c r="E68" s="42"/>
      <c r="F68" s="45">
        <v>0</v>
      </c>
      <c r="G68" s="42"/>
      <c r="H68" s="33">
        <v>1906322.82</v>
      </c>
    </row>
    <row r="69" spans="1:8">
      <c r="A69" s="95" t="s">
        <v>62</v>
      </c>
      <c r="B69" s="1043" t="s">
        <v>690</v>
      </c>
      <c r="C69" s="1044"/>
      <c r="D69" s="45">
        <v>0</v>
      </c>
      <c r="E69" s="42"/>
      <c r="F69" s="42"/>
      <c r="G69" s="42"/>
      <c r="H69" s="33">
        <v>0</v>
      </c>
    </row>
    <row r="70" spans="1:8">
      <c r="A70" s="95" t="s">
        <v>295</v>
      </c>
      <c r="B70" s="1043" t="s">
        <v>296</v>
      </c>
      <c r="C70" s="1044"/>
      <c r="D70" s="45">
        <v>7295504.0099999998</v>
      </c>
      <c r="E70" s="42"/>
      <c r="F70" s="45">
        <v>0</v>
      </c>
      <c r="G70" s="42"/>
      <c r="H70" s="33">
        <v>7295504.0099999998</v>
      </c>
    </row>
    <row r="71" spans="1:8" ht="24" customHeight="1">
      <c r="A71" s="95" t="s">
        <v>297</v>
      </c>
      <c r="B71" s="1043" t="s">
        <v>298</v>
      </c>
      <c r="C71" s="1044"/>
      <c r="D71" s="45">
        <v>39299304.109999999</v>
      </c>
      <c r="E71" s="42"/>
      <c r="F71" s="45">
        <v>0</v>
      </c>
      <c r="G71" s="42"/>
      <c r="H71" s="33">
        <v>39299304.109999999</v>
      </c>
    </row>
    <row r="72" spans="1:8" ht="24" customHeight="1">
      <c r="A72" s="95" t="s">
        <v>207</v>
      </c>
      <c r="B72" s="1043" t="s">
        <v>299</v>
      </c>
      <c r="C72" s="1044"/>
      <c r="D72" s="45">
        <v>174764.16</v>
      </c>
      <c r="E72" s="42"/>
      <c r="F72" s="42"/>
      <c r="G72" s="42"/>
      <c r="H72" s="33">
        <v>174764.16</v>
      </c>
    </row>
    <row r="73" spans="1:8">
      <c r="A73" s="95" t="s">
        <v>163</v>
      </c>
      <c r="B73" s="1043" t="s">
        <v>691</v>
      </c>
      <c r="C73" s="1044"/>
      <c r="D73" s="45">
        <v>2000000.27</v>
      </c>
      <c r="E73" s="42"/>
      <c r="F73" s="42"/>
      <c r="G73" s="42"/>
      <c r="H73" s="33">
        <v>2000000.27</v>
      </c>
    </row>
    <row r="74" spans="1:8">
      <c r="A74" s="95" t="s">
        <v>135</v>
      </c>
      <c r="B74" s="1043" t="s">
        <v>692</v>
      </c>
      <c r="C74" s="1044"/>
      <c r="D74" s="45">
        <v>0</v>
      </c>
      <c r="E74" s="42"/>
      <c r="F74" s="42"/>
      <c r="G74" s="42"/>
      <c r="H74" s="33">
        <v>0</v>
      </c>
    </row>
    <row r="75" spans="1:8">
      <c r="A75" s="95" t="s">
        <v>300</v>
      </c>
      <c r="B75" s="1043" t="s">
        <v>301</v>
      </c>
      <c r="C75" s="1044"/>
      <c r="D75" s="45">
        <v>100131595.08</v>
      </c>
      <c r="E75" s="42"/>
      <c r="F75" s="45">
        <v>6926234.6200000001</v>
      </c>
      <c r="G75" s="42"/>
      <c r="H75" s="33">
        <v>107057829.7</v>
      </c>
    </row>
    <row r="76" spans="1:8" ht="36" customHeight="1">
      <c r="A76" s="95" t="s">
        <v>67</v>
      </c>
      <c r="B76" s="1043" t="s">
        <v>302</v>
      </c>
      <c r="C76" s="1044"/>
      <c r="D76" s="45">
        <v>47204017.609999999</v>
      </c>
      <c r="E76" s="42"/>
      <c r="F76" s="45">
        <v>3985224.08</v>
      </c>
      <c r="G76" s="42"/>
      <c r="H76" s="33">
        <v>51189241.689999998</v>
      </c>
    </row>
    <row r="77" spans="1:8">
      <c r="A77" s="95" t="s">
        <v>69</v>
      </c>
      <c r="B77" s="1043" t="s">
        <v>693</v>
      </c>
      <c r="C77" s="1044"/>
      <c r="D77" s="45">
        <v>0</v>
      </c>
      <c r="E77" s="42"/>
      <c r="F77" s="42"/>
      <c r="G77" s="42"/>
      <c r="H77" s="33">
        <v>0</v>
      </c>
    </row>
    <row r="78" spans="1:8">
      <c r="A78" s="95" t="s">
        <v>70</v>
      </c>
      <c r="B78" s="1043" t="s">
        <v>694</v>
      </c>
      <c r="C78" s="1044"/>
      <c r="D78" s="45">
        <v>0</v>
      </c>
      <c r="E78" s="42"/>
      <c r="F78" s="42"/>
      <c r="G78" s="42"/>
      <c r="H78" s="33">
        <v>0</v>
      </c>
    </row>
    <row r="79" spans="1:8">
      <c r="A79" s="95" t="s">
        <v>303</v>
      </c>
      <c r="B79" s="1043" t="s">
        <v>304</v>
      </c>
      <c r="C79" s="1044"/>
      <c r="D79" s="45">
        <v>11207966.09</v>
      </c>
      <c r="E79" s="42"/>
      <c r="F79" s="45">
        <v>0</v>
      </c>
      <c r="G79" s="42"/>
      <c r="H79" s="33">
        <v>11207966.09</v>
      </c>
    </row>
    <row r="80" spans="1:8" ht="24" customHeight="1">
      <c r="A80" s="95" t="s">
        <v>150</v>
      </c>
      <c r="B80" s="1043" t="s">
        <v>305</v>
      </c>
      <c r="C80" s="1044"/>
      <c r="D80" s="45">
        <v>36283175.770000003</v>
      </c>
      <c r="E80" s="42"/>
      <c r="F80" s="45">
        <v>4621142.92</v>
      </c>
      <c r="G80" s="42"/>
      <c r="H80" s="33">
        <v>40904318.689999998</v>
      </c>
    </row>
    <row r="81" spans="1:8" ht="24" customHeight="1">
      <c r="A81" s="95" t="s">
        <v>151</v>
      </c>
      <c r="B81" s="1043" t="s">
        <v>306</v>
      </c>
      <c r="C81" s="1044"/>
      <c r="D81" s="45">
        <v>10671891.789999999</v>
      </c>
      <c r="E81" s="42"/>
      <c r="F81" s="45">
        <v>2445432.52</v>
      </c>
      <c r="G81" s="42"/>
      <c r="H81" s="33">
        <v>13117324.310000001</v>
      </c>
    </row>
    <row r="82" spans="1:8">
      <c r="A82" s="95" t="s">
        <v>307</v>
      </c>
      <c r="B82" s="1043" t="s">
        <v>308</v>
      </c>
      <c r="C82" s="1044"/>
      <c r="D82" s="45">
        <v>12196804.289999999</v>
      </c>
      <c r="E82" s="42"/>
      <c r="F82" s="45">
        <v>0</v>
      </c>
      <c r="G82" s="42"/>
      <c r="H82" s="33">
        <v>12196804.289999999</v>
      </c>
    </row>
    <row r="83" spans="1:8" ht="24" customHeight="1">
      <c r="A83" s="95" t="s">
        <v>309</v>
      </c>
      <c r="B83" s="1043" t="s">
        <v>310</v>
      </c>
      <c r="C83" s="1044"/>
      <c r="D83" s="45">
        <v>5500000.0300000003</v>
      </c>
      <c r="E83" s="42"/>
      <c r="F83" s="45">
        <v>3666666.92</v>
      </c>
      <c r="G83" s="42"/>
      <c r="H83" s="33">
        <v>9166666.9499999993</v>
      </c>
    </row>
    <row r="84" spans="1:8" ht="24" customHeight="1">
      <c r="A84" s="95" t="s">
        <v>73</v>
      </c>
      <c r="B84" s="1043" t="s">
        <v>311</v>
      </c>
      <c r="C84" s="1044"/>
      <c r="D84" s="45">
        <v>1714401.8</v>
      </c>
      <c r="E84" s="42"/>
      <c r="F84" s="45">
        <v>302618.96999999997</v>
      </c>
      <c r="G84" s="42"/>
      <c r="H84" s="33">
        <v>2017020.77</v>
      </c>
    </row>
    <row r="85" spans="1:8">
      <c r="A85" s="95" t="s">
        <v>75</v>
      </c>
      <c r="B85" s="1043" t="s">
        <v>312</v>
      </c>
      <c r="C85" s="1044"/>
      <c r="D85" s="45">
        <v>17179418.989999998</v>
      </c>
      <c r="E85" s="42"/>
      <c r="F85" s="45">
        <v>3029182.23</v>
      </c>
      <c r="G85" s="42"/>
      <c r="H85" s="33">
        <v>20208601.219999999</v>
      </c>
    </row>
    <row r="86" spans="1:8" ht="24" customHeight="1">
      <c r="A86" s="95" t="s">
        <v>732</v>
      </c>
      <c r="B86" s="1043" t="s">
        <v>314</v>
      </c>
      <c r="C86" s="1044"/>
      <c r="D86" s="45">
        <v>7488412.46</v>
      </c>
      <c r="E86" s="42"/>
      <c r="F86" s="45">
        <v>0</v>
      </c>
      <c r="G86" s="42"/>
      <c r="H86" s="33">
        <v>7488412.46</v>
      </c>
    </row>
    <row r="87" spans="1:8" ht="24" customHeight="1">
      <c r="A87" s="95" t="s">
        <v>381</v>
      </c>
      <c r="B87" s="1043" t="s">
        <v>735</v>
      </c>
      <c r="C87" s="1044"/>
      <c r="D87" s="45">
        <v>6615525.6799999997</v>
      </c>
      <c r="E87" s="42"/>
      <c r="F87" s="42"/>
      <c r="G87" s="42"/>
      <c r="H87" s="33">
        <v>6615525.6799999997</v>
      </c>
    </row>
    <row r="88" spans="1:8">
      <c r="A88" s="95" t="s">
        <v>76</v>
      </c>
      <c r="B88" s="1043" t="s">
        <v>672</v>
      </c>
      <c r="C88" s="1044"/>
      <c r="D88" s="45">
        <v>3407288.67</v>
      </c>
      <c r="E88" s="42"/>
      <c r="F88" s="42"/>
      <c r="G88" s="42"/>
      <c r="H88" s="33">
        <v>3407288.67</v>
      </c>
    </row>
    <row r="89" spans="1:8">
      <c r="A89" s="95" t="s">
        <v>191</v>
      </c>
      <c r="B89" s="1043" t="s">
        <v>286</v>
      </c>
      <c r="C89" s="1044"/>
      <c r="D89" s="45">
        <v>16153989.300000001</v>
      </c>
      <c r="E89" s="42"/>
      <c r="F89" s="45">
        <v>0</v>
      </c>
      <c r="G89" s="42"/>
      <c r="H89" s="33">
        <v>16153989.300000001</v>
      </c>
    </row>
    <row r="90" spans="1:8" ht="36" customHeight="1">
      <c r="A90" s="95" t="s">
        <v>315</v>
      </c>
      <c r="B90" s="1043" t="s">
        <v>316</v>
      </c>
      <c r="C90" s="1044"/>
      <c r="D90" s="45">
        <v>59988195.259999998</v>
      </c>
      <c r="E90" s="42"/>
      <c r="F90" s="42"/>
      <c r="G90" s="42"/>
      <c r="H90" s="33">
        <v>59988195.259999998</v>
      </c>
    </row>
    <row r="91" spans="1:8" ht="24" customHeight="1">
      <c r="A91" s="95" t="s">
        <v>79</v>
      </c>
      <c r="B91" s="1043" t="s">
        <v>317</v>
      </c>
      <c r="C91" s="1044"/>
      <c r="D91" s="45">
        <v>1968030.42</v>
      </c>
      <c r="E91" s="42"/>
      <c r="F91" s="45">
        <v>347299.73</v>
      </c>
      <c r="G91" s="42"/>
      <c r="H91" s="33">
        <v>2315330.15</v>
      </c>
    </row>
    <row r="92" spans="1:8" ht="48" customHeight="1">
      <c r="A92" s="95" t="s">
        <v>81</v>
      </c>
      <c r="B92" s="1043" t="s">
        <v>318</v>
      </c>
      <c r="C92" s="1044"/>
      <c r="D92" s="45">
        <v>85374366.189999998</v>
      </c>
      <c r="E92" s="42"/>
      <c r="F92" s="45">
        <v>7343837.25</v>
      </c>
      <c r="G92" s="42"/>
      <c r="H92" s="33">
        <v>92718203.439999998</v>
      </c>
    </row>
    <row r="93" spans="1:8" ht="24" customHeight="1">
      <c r="A93" s="95" t="s">
        <v>82</v>
      </c>
      <c r="B93" s="1043" t="s">
        <v>695</v>
      </c>
      <c r="C93" s="1044"/>
      <c r="D93" s="45">
        <v>0</v>
      </c>
      <c r="E93" s="42"/>
      <c r="F93" s="45">
        <v>0</v>
      </c>
      <c r="G93" s="42"/>
      <c r="H93" s="33">
        <v>0</v>
      </c>
    </row>
    <row r="94" spans="1:8" ht="24" customHeight="1">
      <c r="A94" s="95" t="s">
        <v>181</v>
      </c>
      <c r="B94" s="1043" t="s">
        <v>319</v>
      </c>
      <c r="C94" s="1044"/>
      <c r="D94" s="45">
        <v>18045154.739999998</v>
      </c>
      <c r="E94" s="42"/>
      <c r="F94" s="42"/>
      <c r="G94" s="42"/>
      <c r="H94" s="33">
        <v>18045154.739999998</v>
      </c>
    </row>
    <row r="95" spans="1:8">
      <c r="A95" s="95" t="s">
        <v>84</v>
      </c>
      <c r="B95" s="1043" t="s">
        <v>320</v>
      </c>
      <c r="C95" s="1044"/>
      <c r="D95" s="45">
        <v>2226541.4</v>
      </c>
      <c r="E95" s="42"/>
      <c r="F95" s="45">
        <v>0</v>
      </c>
      <c r="G95" s="42"/>
      <c r="H95" s="33">
        <v>2226541.4</v>
      </c>
    </row>
    <row r="96" spans="1:8" ht="24" customHeight="1">
      <c r="A96" s="95" t="s">
        <v>180</v>
      </c>
      <c r="B96" s="1043" t="s">
        <v>321</v>
      </c>
      <c r="C96" s="1044"/>
      <c r="D96" s="45">
        <v>5716032.1399999997</v>
      </c>
      <c r="E96" s="42"/>
      <c r="F96" s="45">
        <v>0</v>
      </c>
      <c r="G96" s="42"/>
      <c r="H96" s="33">
        <v>5716032.1399999997</v>
      </c>
    </row>
    <row r="97" spans="1:8" ht="24" customHeight="1">
      <c r="A97" s="95" t="s">
        <v>173</v>
      </c>
      <c r="B97" s="1043" t="s">
        <v>322</v>
      </c>
      <c r="C97" s="1044"/>
      <c r="D97" s="45">
        <v>2700198.27</v>
      </c>
      <c r="E97" s="42"/>
      <c r="F97" s="42"/>
      <c r="G97" s="42"/>
      <c r="H97" s="33">
        <v>2700198.27</v>
      </c>
    </row>
    <row r="98" spans="1:8" ht="36" customHeight="1">
      <c r="A98" s="95" t="s">
        <v>88</v>
      </c>
      <c r="B98" s="1043" t="s">
        <v>323</v>
      </c>
      <c r="C98" s="1044"/>
      <c r="D98" s="45">
        <v>447270.09</v>
      </c>
      <c r="E98" s="42"/>
      <c r="F98" s="45">
        <v>78930.509999999995</v>
      </c>
      <c r="G98" s="42"/>
      <c r="H98" s="33">
        <v>526200.6</v>
      </c>
    </row>
    <row r="99" spans="1:8" ht="24" customHeight="1">
      <c r="A99" s="95" t="s">
        <v>89</v>
      </c>
      <c r="B99" s="1043" t="s">
        <v>324</v>
      </c>
      <c r="C99" s="1044"/>
      <c r="D99" s="45">
        <v>2146583.39</v>
      </c>
      <c r="E99" s="42"/>
      <c r="F99" s="45">
        <v>378809.25</v>
      </c>
      <c r="G99" s="42"/>
      <c r="H99" s="33">
        <v>2525392.64</v>
      </c>
    </row>
    <row r="100" spans="1:8" ht="36" customHeight="1">
      <c r="A100" s="95" t="s">
        <v>90</v>
      </c>
      <c r="B100" s="1043" t="s">
        <v>325</v>
      </c>
      <c r="C100" s="1044"/>
      <c r="D100" s="45">
        <v>519215.43</v>
      </c>
      <c r="E100" s="42"/>
      <c r="F100" s="45">
        <v>91625.96</v>
      </c>
      <c r="G100" s="42"/>
      <c r="H100" s="33">
        <v>610841.39</v>
      </c>
    </row>
    <row r="101" spans="1:8">
      <c r="A101" s="95" t="s">
        <v>91</v>
      </c>
      <c r="B101" s="1043" t="s">
        <v>696</v>
      </c>
      <c r="C101" s="1044"/>
      <c r="D101" s="45">
        <v>0</v>
      </c>
      <c r="E101" s="42"/>
      <c r="F101" s="42"/>
      <c r="G101" s="42"/>
      <c r="H101" s="33">
        <v>0</v>
      </c>
    </row>
    <row r="102" spans="1:8" ht="36" customHeight="1">
      <c r="A102" s="95" t="s">
        <v>168</v>
      </c>
      <c r="B102" s="1043" t="s">
        <v>326</v>
      </c>
      <c r="C102" s="1044"/>
      <c r="D102" s="45">
        <v>5031406.87</v>
      </c>
      <c r="E102" s="42"/>
      <c r="F102" s="45">
        <v>887893.06</v>
      </c>
      <c r="G102" s="42"/>
      <c r="H102" s="33">
        <v>5919299.9299999997</v>
      </c>
    </row>
    <row r="103" spans="1:8">
      <c r="A103" s="95" t="s">
        <v>174</v>
      </c>
      <c r="B103" s="1043" t="s">
        <v>327</v>
      </c>
      <c r="C103" s="1044"/>
      <c r="D103" s="45">
        <v>2073556.44</v>
      </c>
      <c r="E103" s="42"/>
      <c r="F103" s="45">
        <v>365922.63</v>
      </c>
      <c r="G103" s="42"/>
      <c r="H103" s="33">
        <v>2439479.0699999998</v>
      </c>
    </row>
    <row r="104" spans="1:8" ht="24" customHeight="1">
      <c r="A104" s="95" t="s">
        <v>328</v>
      </c>
      <c r="B104" s="1043" t="s">
        <v>329</v>
      </c>
      <c r="C104" s="1044"/>
      <c r="D104" s="45">
        <v>21093929.739999998</v>
      </c>
      <c r="E104" s="42"/>
      <c r="F104" s="42"/>
      <c r="G104" s="42"/>
      <c r="H104" s="33">
        <v>21093929.739999998</v>
      </c>
    </row>
    <row r="105" spans="1:8" ht="24" customHeight="1">
      <c r="A105" s="95" t="s">
        <v>208</v>
      </c>
      <c r="B105" s="1043" t="s">
        <v>330</v>
      </c>
      <c r="C105" s="1044"/>
      <c r="D105" s="45">
        <v>1804121.06</v>
      </c>
      <c r="E105" s="42"/>
      <c r="F105" s="42"/>
      <c r="G105" s="42"/>
      <c r="H105" s="33">
        <v>1804121.06</v>
      </c>
    </row>
    <row r="106" spans="1:8">
      <c r="A106" s="95" t="s">
        <v>189</v>
      </c>
      <c r="B106" s="1043" t="s">
        <v>331</v>
      </c>
      <c r="C106" s="1044"/>
      <c r="D106" s="45">
        <v>3552899.82</v>
      </c>
      <c r="E106" s="42"/>
      <c r="F106" s="45">
        <v>0</v>
      </c>
      <c r="G106" s="42"/>
      <c r="H106" s="33">
        <v>3552899.82</v>
      </c>
    </row>
    <row r="107" spans="1:8">
      <c r="A107" s="95" t="s">
        <v>197</v>
      </c>
      <c r="B107" s="1043" t="s">
        <v>332</v>
      </c>
      <c r="C107" s="1044"/>
      <c r="D107" s="45">
        <v>3919715.01</v>
      </c>
      <c r="E107" s="42"/>
      <c r="F107" s="45">
        <v>0</v>
      </c>
      <c r="G107" s="42"/>
      <c r="H107" s="33">
        <v>3919715.01</v>
      </c>
    </row>
    <row r="108" spans="1:8">
      <c r="A108" s="95" t="s">
        <v>157</v>
      </c>
      <c r="B108" s="1043" t="s">
        <v>333</v>
      </c>
      <c r="C108" s="1044"/>
      <c r="D108" s="45">
        <v>9526644.5600000005</v>
      </c>
      <c r="E108" s="42"/>
      <c r="F108" s="45">
        <v>1151760.82</v>
      </c>
      <c r="G108" s="42"/>
      <c r="H108" s="33">
        <v>10678405.380000001</v>
      </c>
    </row>
    <row r="109" spans="1:8">
      <c r="A109" s="95" t="s">
        <v>159</v>
      </c>
      <c r="B109" s="1043" t="s">
        <v>334</v>
      </c>
      <c r="C109" s="1044"/>
      <c r="D109" s="45">
        <v>120260175.04000001</v>
      </c>
      <c r="E109" s="42"/>
      <c r="F109" s="45">
        <v>10700320.220000001</v>
      </c>
      <c r="G109" s="42"/>
      <c r="H109" s="33">
        <v>130960495.26000001</v>
      </c>
    </row>
    <row r="110" spans="1:8">
      <c r="A110" s="95" t="s">
        <v>160</v>
      </c>
      <c r="B110" s="1043" t="s">
        <v>335</v>
      </c>
      <c r="C110" s="1044"/>
      <c r="D110" s="45">
        <v>8257192.8899999997</v>
      </c>
      <c r="E110" s="42"/>
      <c r="F110" s="45">
        <v>1457152.35</v>
      </c>
      <c r="G110" s="42"/>
      <c r="H110" s="33">
        <v>9714345.2400000002</v>
      </c>
    </row>
    <row r="111" spans="1:8">
      <c r="A111" s="95" t="s">
        <v>336</v>
      </c>
      <c r="B111" s="1043" t="s">
        <v>337</v>
      </c>
      <c r="C111" s="1044"/>
      <c r="D111" s="45">
        <v>131276355.05</v>
      </c>
      <c r="E111" s="42"/>
      <c r="F111" s="45">
        <v>23166415.800000001</v>
      </c>
      <c r="G111" s="42"/>
      <c r="H111" s="33">
        <v>154442770.84999999</v>
      </c>
    </row>
    <row r="112" spans="1:8">
      <c r="A112" s="95" t="s">
        <v>198</v>
      </c>
      <c r="B112" s="1043" t="s">
        <v>338</v>
      </c>
      <c r="C112" s="1044"/>
      <c r="D112" s="45">
        <v>64233387.939999998</v>
      </c>
      <c r="E112" s="42"/>
      <c r="F112" s="42"/>
      <c r="G112" s="42"/>
      <c r="H112" s="33">
        <v>64233387.939999998</v>
      </c>
    </row>
    <row r="113" spans="1:8" ht="24" customHeight="1">
      <c r="A113" s="95" t="s">
        <v>339</v>
      </c>
      <c r="B113" s="1043" t="s">
        <v>340</v>
      </c>
      <c r="C113" s="1044"/>
      <c r="D113" s="45">
        <v>9343036.3200000003</v>
      </c>
      <c r="E113" s="42"/>
      <c r="F113" s="42"/>
      <c r="G113" s="42"/>
      <c r="H113" s="33">
        <v>9343036.3200000003</v>
      </c>
    </row>
    <row r="114" spans="1:8">
      <c r="A114" s="95" t="s">
        <v>97</v>
      </c>
      <c r="B114" s="1043" t="s">
        <v>341</v>
      </c>
      <c r="C114" s="1044"/>
      <c r="D114" s="45">
        <v>9000871.9700000007</v>
      </c>
      <c r="E114" s="42"/>
      <c r="F114" s="42"/>
      <c r="G114" s="42"/>
      <c r="H114" s="33">
        <v>9000871.9700000007</v>
      </c>
    </row>
    <row r="115" spans="1:8">
      <c r="A115" s="95" t="s">
        <v>342</v>
      </c>
      <c r="B115" s="1043" t="s">
        <v>343</v>
      </c>
      <c r="C115" s="1044"/>
      <c r="D115" s="45">
        <v>3473578.55</v>
      </c>
      <c r="E115" s="42"/>
      <c r="F115" s="42"/>
      <c r="G115" s="42"/>
      <c r="H115" s="33">
        <v>3473578.55</v>
      </c>
    </row>
    <row r="116" spans="1:8">
      <c r="A116" s="95" t="s">
        <v>98</v>
      </c>
      <c r="B116" s="1043" t="s">
        <v>344</v>
      </c>
      <c r="C116" s="1044"/>
      <c r="D116" s="45">
        <v>14056080</v>
      </c>
      <c r="E116" s="42"/>
      <c r="F116" s="45">
        <v>0</v>
      </c>
      <c r="G116" s="42"/>
      <c r="H116" s="33">
        <v>14056080</v>
      </c>
    </row>
    <row r="117" spans="1:8" ht="24" customHeight="1">
      <c r="A117" s="95" t="s">
        <v>156</v>
      </c>
      <c r="B117" s="1043" t="s">
        <v>345</v>
      </c>
      <c r="C117" s="1044"/>
      <c r="D117" s="45">
        <v>96944797.819999993</v>
      </c>
      <c r="E117" s="42"/>
      <c r="F117" s="45">
        <v>0</v>
      </c>
      <c r="G117" s="42"/>
      <c r="H117" s="33">
        <v>96944797.819999993</v>
      </c>
    </row>
    <row r="118" spans="1:8">
      <c r="A118" s="95" t="s">
        <v>176</v>
      </c>
      <c r="B118" s="1043" t="s">
        <v>346</v>
      </c>
      <c r="C118" s="1044"/>
      <c r="D118" s="45">
        <v>12200000.640000001</v>
      </c>
      <c r="E118" s="42"/>
      <c r="F118" s="45">
        <v>0</v>
      </c>
      <c r="G118" s="42"/>
      <c r="H118" s="33">
        <v>12200000.640000001</v>
      </c>
    </row>
    <row r="119" spans="1:8">
      <c r="A119" s="95" t="s">
        <v>101</v>
      </c>
      <c r="B119" s="1043" t="s">
        <v>697</v>
      </c>
      <c r="C119" s="1044"/>
      <c r="D119" s="45">
        <v>2550000.62</v>
      </c>
      <c r="E119" s="42"/>
      <c r="F119" s="42"/>
      <c r="G119" s="42"/>
      <c r="H119" s="33">
        <v>2550000.62</v>
      </c>
    </row>
    <row r="120" spans="1:8" ht="36" customHeight="1">
      <c r="A120" s="95" t="s">
        <v>102</v>
      </c>
      <c r="B120" s="1043" t="s">
        <v>662</v>
      </c>
      <c r="C120" s="1044"/>
      <c r="D120" s="45">
        <v>16188733.119999999</v>
      </c>
      <c r="E120" s="42"/>
      <c r="F120" s="42"/>
      <c r="G120" s="42"/>
      <c r="H120" s="33">
        <v>16188733.119999999</v>
      </c>
    </row>
    <row r="121" spans="1:8" ht="24" customHeight="1">
      <c r="A121" s="95" t="s">
        <v>104</v>
      </c>
      <c r="B121" s="1043" t="s">
        <v>698</v>
      </c>
      <c r="C121" s="1044"/>
      <c r="D121" s="45">
        <v>0</v>
      </c>
      <c r="E121" s="42"/>
      <c r="F121" s="45">
        <v>0</v>
      </c>
      <c r="G121" s="42"/>
      <c r="H121" s="33">
        <v>0</v>
      </c>
    </row>
    <row r="122" spans="1:8">
      <c r="A122" s="95" t="s">
        <v>105</v>
      </c>
      <c r="B122" s="1043" t="s">
        <v>699</v>
      </c>
      <c r="C122" s="1044"/>
      <c r="D122" s="45">
        <v>0</v>
      </c>
      <c r="E122" s="42"/>
      <c r="F122" s="42"/>
      <c r="G122" s="42"/>
      <c r="H122" s="33">
        <v>0</v>
      </c>
    </row>
    <row r="123" spans="1:8">
      <c r="A123" s="95" t="s">
        <v>200</v>
      </c>
      <c r="B123" s="1043" t="s">
        <v>347</v>
      </c>
      <c r="C123" s="1044"/>
      <c r="D123" s="42"/>
      <c r="E123" s="42"/>
      <c r="F123" s="45">
        <v>38248177.100000001</v>
      </c>
      <c r="G123" s="45">
        <v>216739674.44</v>
      </c>
      <c r="H123" s="33">
        <v>254987851.53999999</v>
      </c>
    </row>
    <row r="124" spans="1:8" ht="36" customHeight="1">
      <c r="A124" s="95" t="s">
        <v>106</v>
      </c>
      <c r="B124" s="1043" t="s">
        <v>348</v>
      </c>
      <c r="C124" s="1044"/>
      <c r="D124" s="42"/>
      <c r="E124" s="42"/>
      <c r="F124" s="45">
        <v>4818270.3099999996</v>
      </c>
      <c r="G124" s="45">
        <v>170292617.5</v>
      </c>
      <c r="H124" s="33">
        <v>175110887.81</v>
      </c>
    </row>
    <row r="125" spans="1:8" ht="24" customHeight="1">
      <c r="A125" s="95" t="s">
        <v>144</v>
      </c>
      <c r="B125" s="1043" t="s">
        <v>349</v>
      </c>
      <c r="C125" s="1044"/>
      <c r="D125" s="42"/>
      <c r="E125" s="42"/>
      <c r="F125" s="42"/>
      <c r="G125" s="45">
        <v>116805655.13</v>
      </c>
      <c r="H125" s="33">
        <v>116805655.13</v>
      </c>
    </row>
    <row r="126" spans="1:8">
      <c r="A126" s="95" t="s">
        <v>107</v>
      </c>
      <c r="B126" s="1043" t="s">
        <v>350</v>
      </c>
      <c r="C126" s="1044"/>
      <c r="D126" s="42"/>
      <c r="E126" s="42"/>
      <c r="F126" s="45">
        <v>8255847.0199999996</v>
      </c>
      <c r="G126" s="45">
        <v>45423588.07</v>
      </c>
      <c r="H126" s="33">
        <v>53679435.090000004</v>
      </c>
    </row>
    <row r="127" spans="1:8">
      <c r="A127" s="95" t="s">
        <v>166</v>
      </c>
      <c r="B127" s="1043" t="s">
        <v>351</v>
      </c>
      <c r="C127" s="1044"/>
      <c r="D127" s="42"/>
      <c r="E127" s="42"/>
      <c r="F127" s="42"/>
      <c r="G127" s="45">
        <v>20448828.059999999</v>
      </c>
      <c r="H127" s="33">
        <v>20448828.059999999</v>
      </c>
    </row>
    <row r="128" spans="1:8" ht="24" customHeight="1">
      <c r="A128" s="95" t="s">
        <v>136</v>
      </c>
      <c r="B128" s="1043" t="s">
        <v>670</v>
      </c>
      <c r="C128" s="1044"/>
      <c r="D128" s="42"/>
      <c r="E128" s="42"/>
      <c r="F128" s="45">
        <v>0</v>
      </c>
      <c r="G128" s="45">
        <v>11069163</v>
      </c>
      <c r="H128" s="33">
        <v>11069163</v>
      </c>
    </row>
    <row r="129" spans="1:8">
      <c r="A129" s="95" t="s">
        <v>109</v>
      </c>
      <c r="B129" s="1043" t="s">
        <v>352</v>
      </c>
      <c r="C129" s="1044"/>
      <c r="D129" s="42"/>
      <c r="E129" s="42"/>
      <c r="F129" s="45">
        <v>0</v>
      </c>
      <c r="G129" s="45">
        <v>21499923.440000001</v>
      </c>
      <c r="H129" s="33">
        <v>21499923.440000001</v>
      </c>
    </row>
    <row r="130" spans="1:8" ht="24" customHeight="1">
      <c r="A130" s="95" t="s">
        <v>353</v>
      </c>
      <c r="B130" s="1043" t="s">
        <v>354</v>
      </c>
      <c r="C130" s="1044"/>
      <c r="D130" s="45">
        <v>100848003.26000001</v>
      </c>
      <c r="E130" s="42"/>
      <c r="F130" s="45">
        <v>2106997.2599999998</v>
      </c>
      <c r="G130" s="42"/>
      <c r="H130" s="33">
        <v>102955000.52</v>
      </c>
    </row>
    <row r="131" spans="1:8" ht="24" customHeight="1">
      <c r="A131" s="95" t="s">
        <v>112</v>
      </c>
      <c r="B131" s="1043" t="s">
        <v>355</v>
      </c>
      <c r="C131" s="1044"/>
      <c r="D131" s="45">
        <v>2124999.58</v>
      </c>
      <c r="E131" s="42"/>
      <c r="F131" s="45">
        <v>0</v>
      </c>
      <c r="G131" s="42"/>
      <c r="H131" s="33">
        <v>2124999.58</v>
      </c>
    </row>
    <row r="132" spans="1:8">
      <c r="A132" s="95" t="s">
        <v>113</v>
      </c>
      <c r="B132" s="1043" t="s">
        <v>356</v>
      </c>
      <c r="C132" s="1044"/>
      <c r="D132" s="45">
        <v>22549732</v>
      </c>
      <c r="E132" s="42"/>
      <c r="F132" s="45">
        <v>10014957</v>
      </c>
      <c r="G132" s="42"/>
      <c r="H132" s="33">
        <v>32564689</v>
      </c>
    </row>
    <row r="133" spans="1:8" ht="24" customHeight="1">
      <c r="A133" s="95" t="s">
        <v>209</v>
      </c>
      <c r="B133" s="1043" t="s">
        <v>357</v>
      </c>
      <c r="C133" s="1044"/>
      <c r="D133" s="45">
        <v>6881321.9299999997</v>
      </c>
      <c r="E133" s="42"/>
      <c r="F133" s="42"/>
      <c r="G133" s="42"/>
      <c r="H133" s="33">
        <v>6881321.9299999997</v>
      </c>
    </row>
    <row r="134" spans="1:8" ht="24" customHeight="1">
      <c r="A134" s="95" t="s">
        <v>114</v>
      </c>
      <c r="B134" s="1043" t="s">
        <v>358</v>
      </c>
      <c r="C134" s="1044"/>
      <c r="D134" s="45">
        <v>4332521</v>
      </c>
      <c r="E134" s="42"/>
      <c r="F134" s="45">
        <v>0</v>
      </c>
      <c r="G134" s="42"/>
      <c r="H134" s="33">
        <v>4332521</v>
      </c>
    </row>
    <row r="135" spans="1:8" ht="36" customHeight="1">
      <c r="A135" s="95" t="s">
        <v>182</v>
      </c>
      <c r="B135" s="1043" t="s">
        <v>359</v>
      </c>
      <c r="C135" s="1044"/>
      <c r="D135" s="45">
        <v>7765913.9199999999</v>
      </c>
      <c r="E135" s="42"/>
      <c r="F135" s="42"/>
      <c r="G135" s="42"/>
      <c r="H135" s="33">
        <v>7765913.9199999999</v>
      </c>
    </row>
    <row r="136" spans="1:8">
      <c r="A136" s="95" t="s">
        <v>164</v>
      </c>
      <c r="B136" s="1043" t="s">
        <v>360</v>
      </c>
      <c r="C136" s="1044"/>
      <c r="D136" s="45">
        <v>4343809.4400000004</v>
      </c>
      <c r="E136" s="42"/>
      <c r="F136" s="42"/>
      <c r="G136" s="42"/>
      <c r="H136" s="33">
        <v>4343809.4400000004</v>
      </c>
    </row>
    <row r="137" spans="1:8" ht="24" customHeight="1">
      <c r="A137" s="95" t="s">
        <v>117</v>
      </c>
      <c r="B137" s="1043" t="s">
        <v>700</v>
      </c>
      <c r="C137" s="1044"/>
      <c r="D137" s="45">
        <v>0</v>
      </c>
      <c r="E137" s="42"/>
      <c r="F137" s="42"/>
      <c r="G137" s="42"/>
      <c r="H137" s="33">
        <v>0</v>
      </c>
    </row>
    <row r="138" spans="1:8">
      <c r="A138" s="95" t="s">
        <v>118</v>
      </c>
      <c r="B138" s="1043" t="s">
        <v>701</v>
      </c>
      <c r="C138" s="1044"/>
      <c r="D138" s="45">
        <v>0</v>
      </c>
      <c r="E138" s="42"/>
      <c r="F138" s="42"/>
      <c r="G138" s="42"/>
      <c r="H138" s="33">
        <v>0</v>
      </c>
    </row>
    <row r="139" spans="1:8" ht="24" customHeight="1">
      <c r="A139" s="95" t="s">
        <v>120</v>
      </c>
      <c r="B139" s="1043" t="s">
        <v>361</v>
      </c>
      <c r="C139" s="1044"/>
      <c r="D139" s="45">
        <v>14890142.49</v>
      </c>
      <c r="E139" s="42"/>
      <c r="F139" s="42"/>
      <c r="G139" s="42"/>
      <c r="H139" s="33">
        <v>14890142.49</v>
      </c>
    </row>
    <row r="140" spans="1:8" ht="24" customHeight="1">
      <c r="A140" s="95" t="s">
        <v>172</v>
      </c>
      <c r="B140" s="1043" t="s">
        <v>362</v>
      </c>
      <c r="C140" s="1044"/>
      <c r="D140" s="45">
        <v>6445071.8099999996</v>
      </c>
      <c r="E140" s="42"/>
      <c r="F140" s="42"/>
      <c r="G140" s="42"/>
      <c r="H140" s="33">
        <v>6445071.8099999996</v>
      </c>
    </row>
    <row r="141" spans="1:8" ht="36" customHeight="1">
      <c r="A141" s="95" t="s">
        <v>161</v>
      </c>
      <c r="B141" s="1043" t="s">
        <v>363</v>
      </c>
      <c r="C141" s="1044"/>
      <c r="D141" s="45">
        <v>3999999.13</v>
      </c>
      <c r="E141" s="42"/>
      <c r="F141" s="45">
        <v>0</v>
      </c>
      <c r="G141" s="42"/>
      <c r="H141" s="33">
        <v>3999999.13</v>
      </c>
    </row>
    <row r="142" spans="1:8" ht="24" customHeight="1">
      <c r="A142" s="95" t="s">
        <v>196</v>
      </c>
      <c r="B142" s="1043" t="s">
        <v>364</v>
      </c>
      <c r="C142" s="1044"/>
      <c r="D142" s="45">
        <v>47759948.920000002</v>
      </c>
      <c r="E142" s="42"/>
      <c r="F142" s="42"/>
      <c r="G142" s="42"/>
      <c r="H142" s="33">
        <v>47759948.920000002</v>
      </c>
    </row>
    <row r="143" spans="1:8" ht="24" customHeight="1">
      <c r="A143" s="95" t="s">
        <v>365</v>
      </c>
      <c r="B143" s="1043" t="s">
        <v>366</v>
      </c>
      <c r="C143" s="1044"/>
      <c r="D143" s="45">
        <v>4851702.7</v>
      </c>
      <c r="E143" s="42"/>
      <c r="F143" s="42"/>
      <c r="G143" s="42"/>
      <c r="H143" s="33">
        <v>4851702.7</v>
      </c>
    </row>
    <row r="144" spans="1:8" ht="24" customHeight="1">
      <c r="A144" s="95" t="s">
        <v>167</v>
      </c>
      <c r="B144" s="1043" t="s">
        <v>367</v>
      </c>
      <c r="C144" s="1044"/>
      <c r="D144" s="42"/>
      <c r="E144" s="42"/>
      <c r="F144" s="45">
        <v>13751147.4</v>
      </c>
      <c r="G144" s="45">
        <v>308514675.55000001</v>
      </c>
      <c r="H144" s="33">
        <v>322265822.94999999</v>
      </c>
    </row>
    <row r="145" spans="1:8" ht="24" customHeight="1">
      <c r="A145" s="95" t="s">
        <v>368</v>
      </c>
      <c r="B145" s="1043" t="s">
        <v>369</v>
      </c>
      <c r="C145" s="1044"/>
      <c r="D145" s="42"/>
      <c r="E145" s="42"/>
      <c r="F145" s="42"/>
      <c r="G145" s="45">
        <v>11830766.390000001</v>
      </c>
      <c r="H145" s="33">
        <v>11830766.390000001</v>
      </c>
    </row>
    <row r="146" spans="1:8">
      <c r="A146" s="95" t="s">
        <v>148</v>
      </c>
      <c r="B146" s="1043" t="s">
        <v>370</v>
      </c>
      <c r="C146" s="1044"/>
      <c r="D146" s="42"/>
      <c r="E146" s="42"/>
      <c r="F146" s="45">
        <v>0</v>
      </c>
      <c r="G146" s="45">
        <v>27987494.52</v>
      </c>
      <c r="H146" s="33">
        <v>27987494.52</v>
      </c>
    </row>
    <row r="147" spans="1:8">
      <c r="A147" s="95" t="s">
        <v>183</v>
      </c>
      <c r="B147" s="1043" t="s">
        <v>371</v>
      </c>
      <c r="C147" s="1044"/>
      <c r="D147" s="42"/>
      <c r="E147" s="42"/>
      <c r="F147" s="45">
        <v>0</v>
      </c>
      <c r="G147" s="45">
        <v>28889072.57</v>
      </c>
      <c r="H147" s="33">
        <v>28889072.57</v>
      </c>
    </row>
    <row r="148" spans="1:8">
      <c r="A148" s="95" t="s">
        <v>169</v>
      </c>
      <c r="B148" s="1043" t="s">
        <v>372</v>
      </c>
      <c r="C148" s="1044"/>
      <c r="D148" s="42"/>
      <c r="E148" s="42"/>
      <c r="F148" s="45">
        <v>0</v>
      </c>
      <c r="G148" s="45">
        <v>7064714.4199999999</v>
      </c>
      <c r="H148" s="33">
        <v>7064714.4199999999</v>
      </c>
    </row>
    <row r="149" spans="1:8">
      <c r="A149" s="95" t="s">
        <v>184</v>
      </c>
      <c r="B149" s="1043" t="s">
        <v>373</v>
      </c>
      <c r="C149" s="1044"/>
      <c r="D149" s="42"/>
      <c r="E149" s="42"/>
      <c r="F149" s="45">
        <v>798863.95</v>
      </c>
      <c r="G149" s="45">
        <v>7168600.7999999998</v>
      </c>
      <c r="H149" s="33">
        <v>7967464.75</v>
      </c>
    </row>
    <row r="150" spans="1:8" ht="24" customHeight="1">
      <c r="A150" s="95" t="s">
        <v>374</v>
      </c>
      <c r="B150" s="1043" t="s">
        <v>375</v>
      </c>
      <c r="C150" s="1044"/>
      <c r="D150" s="42"/>
      <c r="E150" s="42"/>
      <c r="F150" s="45">
        <v>0</v>
      </c>
      <c r="G150" s="45">
        <v>59056401.549999997</v>
      </c>
      <c r="H150" s="33">
        <v>59056401.549999997</v>
      </c>
    </row>
    <row r="151" spans="1:8" ht="24" customHeight="1">
      <c r="A151" s="95" t="s">
        <v>158</v>
      </c>
      <c r="B151" s="1043" t="s">
        <v>702</v>
      </c>
      <c r="C151" s="1044"/>
      <c r="D151" s="42"/>
      <c r="E151" s="42"/>
      <c r="F151" s="42"/>
      <c r="G151" s="45">
        <v>0</v>
      </c>
      <c r="H151" s="33">
        <v>0</v>
      </c>
    </row>
    <row r="152" spans="1:8" ht="24" customHeight="1">
      <c r="A152" s="95" t="s">
        <v>143</v>
      </c>
      <c r="B152" s="1043" t="s">
        <v>376</v>
      </c>
      <c r="C152" s="1044"/>
      <c r="D152" s="42"/>
      <c r="E152" s="42"/>
      <c r="F152" s="45">
        <v>0</v>
      </c>
      <c r="G152" s="45">
        <v>20795736.329999998</v>
      </c>
      <c r="H152" s="33">
        <v>20795736.329999998</v>
      </c>
    </row>
    <row r="153" spans="1:8">
      <c r="A153" s="95" t="s">
        <v>126</v>
      </c>
      <c r="B153" s="1043" t="s">
        <v>703</v>
      </c>
      <c r="C153" s="1044"/>
      <c r="D153" s="42"/>
      <c r="E153" s="42"/>
      <c r="F153" s="42"/>
      <c r="G153" s="45">
        <v>0</v>
      </c>
      <c r="H153" s="33">
        <v>0</v>
      </c>
    </row>
    <row r="154" spans="1:8" ht="24" customHeight="1">
      <c r="A154" s="95" t="s">
        <v>127</v>
      </c>
      <c r="B154" s="1043" t="s">
        <v>704</v>
      </c>
      <c r="C154" s="1044"/>
      <c r="D154" s="42"/>
      <c r="E154" s="42"/>
      <c r="F154" s="42"/>
      <c r="G154" s="45">
        <v>0</v>
      </c>
      <c r="H154" s="33">
        <v>0</v>
      </c>
    </row>
    <row r="155" spans="1:8" ht="24" customHeight="1">
      <c r="A155" s="95" t="s">
        <v>377</v>
      </c>
      <c r="B155" s="1043" t="s">
        <v>378</v>
      </c>
      <c r="C155" s="1044"/>
      <c r="D155" s="45">
        <v>177834211.13999999</v>
      </c>
      <c r="E155" s="42"/>
      <c r="F155" s="42"/>
      <c r="G155" s="42"/>
      <c r="H155" s="33">
        <v>177834211.13999999</v>
      </c>
    </row>
    <row r="156" spans="1:8">
      <c r="A156" s="95" t="s">
        <v>130</v>
      </c>
      <c r="B156" s="1043" t="s">
        <v>379</v>
      </c>
      <c r="C156" s="1044"/>
      <c r="D156" s="45">
        <v>7028040</v>
      </c>
      <c r="E156" s="42"/>
      <c r="F156" s="42"/>
      <c r="G156" s="42"/>
      <c r="H156" s="33">
        <v>7028040</v>
      </c>
    </row>
    <row r="157" spans="1:8">
      <c r="A157" s="95" t="s">
        <v>133</v>
      </c>
      <c r="B157" s="1043" t="s">
        <v>380</v>
      </c>
      <c r="C157" s="1044"/>
      <c r="D157" s="45">
        <v>8061738.8799999999</v>
      </c>
      <c r="E157" s="42"/>
      <c r="F157" s="42"/>
      <c r="G157" s="42"/>
      <c r="H157" s="33">
        <v>8061738.8799999999</v>
      </c>
    </row>
    <row r="158" spans="1:8">
      <c r="A158" s="95" t="s">
        <v>193</v>
      </c>
      <c r="B158" s="1043" t="s">
        <v>286</v>
      </c>
      <c r="C158" s="1044"/>
      <c r="D158" s="45">
        <v>40488570.07</v>
      </c>
      <c r="E158" s="42"/>
      <c r="F158" s="45">
        <v>0</v>
      </c>
      <c r="G158" s="42"/>
      <c r="H158" s="33">
        <v>40488570.07</v>
      </c>
    </row>
    <row r="159" spans="1:8">
      <c r="A159" s="95" t="s">
        <v>195</v>
      </c>
      <c r="B159" s="1043" t="s">
        <v>286</v>
      </c>
      <c r="C159" s="1044"/>
      <c r="D159" s="42"/>
      <c r="E159" s="42"/>
      <c r="F159" s="45">
        <v>0</v>
      </c>
      <c r="G159" s="45">
        <v>8574208.8000000007</v>
      </c>
      <c r="H159" s="33">
        <v>8574208.8000000007</v>
      </c>
    </row>
    <row r="160" spans="1:8">
      <c r="A160" s="1054" t="s">
        <v>647</v>
      </c>
      <c r="B160" s="1055"/>
      <c r="C160" s="1056"/>
      <c r="D160" s="99">
        <v>1691901255.6500001</v>
      </c>
      <c r="E160" s="99">
        <v>409807624.75</v>
      </c>
      <c r="F160" s="99">
        <v>199101829.03999999</v>
      </c>
      <c r="G160" s="99">
        <v>1082161120.5699999</v>
      </c>
      <c r="H160" s="84">
        <v>3382971830.0100002</v>
      </c>
    </row>
  </sheetData>
  <mergeCells count="159">
    <mergeCell ref="B10:C10"/>
    <mergeCell ref="B11:C11"/>
    <mergeCell ref="B12:C12"/>
    <mergeCell ref="B13:C13"/>
    <mergeCell ref="B14:C14"/>
    <mergeCell ref="B15:C15"/>
    <mergeCell ref="A1:I1"/>
    <mergeCell ref="B16:C16"/>
    <mergeCell ref="B17:C17"/>
    <mergeCell ref="A3:B4"/>
    <mergeCell ref="D3:H3"/>
    <mergeCell ref="B5:C5"/>
    <mergeCell ref="B6:C6"/>
    <mergeCell ref="B7:C7"/>
    <mergeCell ref="B8:C8"/>
    <mergeCell ref="B9:C9"/>
    <mergeCell ref="B22:C22"/>
    <mergeCell ref="B23:C23"/>
    <mergeCell ref="B24:C24"/>
    <mergeCell ref="B25:C25"/>
    <mergeCell ref="B26:C26"/>
    <mergeCell ref="B27:C27"/>
    <mergeCell ref="B18:C18"/>
    <mergeCell ref="B19:C19"/>
    <mergeCell ref="B20:C20"/>
    <mergeCell ref="B21:C21"/>
    <mergeCell ref="B34:C34"/>
    <mergeCell ref="B35:C35"/>
    <mergeCell ref="B36:C36"/>
    <mergeCell ref="B37:C37"/>
    <mergeCell ref="B38:C38"/>
    <mergeCell ref="B39:C39"/>
    <mergeCell ref="B28:C28"/>
    <mergeCell ref="B29:C29"/>
    <mergeCell ref="B30:C30"/>
    <mergeCell ref="B31:C31"/>
    <mergeCell ref="B32:C32"/>
    <mergeCell ref="B33:C33"/>
    <mergeCell ref="B46:C46"/>
    <mergeCell ref="B47:C47"/>
    <mergeCell ref="B48:C48"/>
    <mergeCell ref="B49:C49"/>
    <mergeCell ref="B50:C50"/>
    <mergeCell ref="B51:C51"/>
    <mergeCell ref="B40:C40"/>
    <mergeCell ref="B41:C41"/>
    <mergeCell ref="B42:C42"/>
    <mergeCell ref="B43:C43"/>
    <mergeCell ref="B44:C44"/>
    <mergeCell ref="B45:C45"/>
    <mergeCell ref="B58:C58"/>
    <mergeCell ref="B59:C59"/>
    <mergeCell ref="B60:C60"/>
    <mergeCell ref="B61:C61"/>
    <mergeCell ref="B62:C62"/>
    <mergeCell ref="B63:C63"/>
    <mergeCell ref="B52:C52"/>
    <mergeCell ref="B53:C53"/>
    <mergeCell ref="B54:C54"/>
    <mergeCell ref="B55:C55"/>
    <mergeCell ref="B56:C56"/>
    <mergeCell ref="B57:C57"/>
    <mergeCell ref="B70:C70"/>
    <mergeCell ref="B71:C71"/>
    <mergeCell ref="B72:C72"/>
    <mergeCell ref="B73:C73"/>
    <mergeCell ref="B74:C74"/>
    <mergeCell ref="B75:C75"/>
    <mergeCell ref="B64:C64"/>
    <mergeCell ref="B65:C65"/>
    <mergeCell ref="B66:C66"/>
    <mergeCell ref="B67:C67"/>
    <mergeCell ref="B68:C68"/>
    <mergeCell ref="B69:C69"/>
    <mergeCell ref="B82:C82"/>
    <mergeCell ref="B83:C83"/>
    <mergeCell ref="B84:C84"/>
    <mergeCell ref="B85:C85"/>
    <mergeCell ref="B86:C86"/>
    <mergeCell ref="B87:C87"/>
    <mergeCell ref="B76:C76"/>
    <mergeCell ref="B77:C77"/>
    <mergeCell ref="B78:C78"/>
    <mergeCell ref="B79:C79"/>
    <mergeCell ref="B80:C80"/>
    <mergeCell ref="B81:C81"/>
    <mergeCell ref="B94:C94"/>
    <mergeCell ref="B95:C95"/>
    <mergeCell ref="B96:C96"/>
    <mergeCell ref="B97:C97"/>
    <mergeCell ref="B98:C98"/>
    <mergeCell ref="B99:C99"/>
    <mergeCell ref="B88:C88"/>
    <mergeCell ref="B89:C89"/>
    <mergeCell ref="B90:C90"/>
    <mergeCell ref="B91:C91"/>
    <mergeCell ref="B92:C92"/>
    <mergeCell ref="B93:C93"/>
    <mergeCell ref="B106:C106"/>
    <mergeCell ref="B107:C107"/>
    <mergeCell ref="B108:C108"/>
    <mergeCell ref="B109:C109"/>
    <mergeCell ref="B110:C110"/>
    <mergeCell ref="B111:C111"/>
    <mergeCell ref="B100:C100"/>
    <mergeCell ref="B101:C101"/>
    <mergeCell ref="B102:C102"/>
    <mergeCell ref="B103:C103"/>
    <mergeCell ref="B104:C104"/>
    <mergeCell ref="B105:C105"/>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54:C154"/>
    <mergeCell ref="B155:C155"/>
    <mergeCell ref="B156:C156"/>
    <mergeCell ref="B157:C157"/>
    <mergeCell ref="B158:C158"/>
    <mergeCell ref="B159:C159"/>
    <mergeCell ref="A160:C160"/>
    <mergeCell ref="B148:C148"/>
    <mergeCell ref="B149:C149"/>
    <mergeCell ref="B150:C150"/>
    <mergeCell ref="B151:C151"/>
    <mergeCell ref="B152:C152"/>
    <mergeCell ref="B153:C153"/>
  </mergeCells>
  <pageMargins left="0.75" right="0.75" top="1" bottom="1" header="0.5" footer="0.5"/>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111"/>
  <sheetViews>
    <sheetView showGridLines="0" workbookViewId="0">
      <selection activeCell="A7" sqref="A7"/>
    </sheetView>
  </sheetViews>
  <sheetFormatPr defaultRowHeight="12.75"/>
  <cols>
    <col min="1" max="1" width="12.140625" style="32" customWidth="1"/>
    <col min="2" max="2" width="49.28515625" style="32" customWidth="1"/>
    <col min="3" max="3" width="18.28515625" style="32" customWidth="1"/>
    <col min="4" max="8" width="23.42578125" style="32" customWidth="1"/>
    <col min="9" max="9" width="26.28515625" style="32" customWidth="1"/>
    <col min="10" max="16384" width="9.140625" style="32"/>
  </cols>
  <sheetData>
    <row r="1" spans="1:9" ht="22.5" customHeight="1">
      <c r="A1" s="1049" t="s">
        <v>708</v>
      </c>
      <c r="B1" s="1049"/>
      <c r="C1" s="1049"/>
      <c r="D1" s="1049"/>
      <c r="E1" s="1049"/>
      <c r="F1" s="1049"/>
      <c r="G1" s="1049"/>
      <c r="H1" s="1049"/>
      <c r="I1" s="1049"/>
    </row>
    <row r="2" spans="1:9" ht="10.5" customHeight="1"/>
    <row r="3" spans="1:9">
      <c r="A3" s="1050" t="s">
        <v>645</v>
      </c>
      <c r="B3" s="1050"/>
      <c r="C3" s="1050"/>
      <c r="D3" s="1050"/>
      <c r="E3" s="1050"/>
      <c r="F3" s="1050"/>
      <c r="G3" s="1050"/>
      <c r="H3" s="1050"/>
      <c r="I3" s="1050"/>
    </row>
    <row r="4" spans="1:9" ht="21" customHeight="1">
      <c r="A4" s="1050" t="s">
        <v>661</v>
      </c>
      <c r="B4" s="1050"/>
      <c r="C4" s="1050"/>
      <c r="D4" s="1050"/>
      <c r="E4" s="1050"/>
      <c r="F4" s="1050"/>
      <c r="G4" s="1050"/>
      <c r="H4" s="1050"/>
      <c r="I4" s="1050"/>
    </row>
    <row r="5" spans="1:9">
      <c r="A5" s="1050" t="s">
        <v>646</v>
      </c>
      <c r="B5" s="1050"/>
      <c r="C5" s="1050"/>
      <c r="D5" s="1050"/>
      <c r="E5" s="1050"/>
      <c r="F5" s="1050"/>
      <c r="G5" s="1050"/>
      <c r="H5" s="1050"/>
      <c r="I5" s="1050"/>
    </row>
    <row r="6" spans="1:9" ht="21" customHeight="1">
      <c r="A6" s="1050" t="s">
        <v>736</v>
      </c>
      <c r="B6" s="1050"/>
      <c r="C6" s="1050"/>
      <c r="D6" s="1050"/>
      <c r="E6" s="1050"/>
      <c r="F6" s="1050"/>
      <c r="G6" s="1050"/>
      <c r="H6" s="1050"/>
      <c r="I6" s="1050"/>
    </row>
    <row r="8" spans="1:9">
      <c r="A8" s="1047" t="s">
        <v>221</v>
      </c>
      <c r="B8" s="1047" t="s">
        <v>222</v>
      </c>
      <c r="C8" s="56" t="s">
        <v>667</v>
      </c>
      <c r="D8" s="1051" t="s">
        <v>393</v>
      </c>
      <c r="E8" s="1052"/>
      <c r="F8" s="1052"/>
      <c r="G8" s="1052"/>
      <c r="H8" s="1053"/>
    </row>
    <row r="9" spans="1:9" ht="24">
      <c r="A9" s="1048"/>
      <c r="B9" s="1048"/>
      <c r="C9" s="57" t="s">
        <v>668</v>
      </c>
      <c r="D9" s="44" t="s">
        <v>649</v>
      </c>
      <c r="E9" s="44" t="s">
        <v>650</v>
      </c>
      <c r="F9" s="44" t="s">
        <v>651</v>
      </c>
      <c r="G9" s="44" t="s">
        <v>652</v>
      </c>
      <c r="H9" s="43" t="s">
        <v>647</v>
      </c>
    </row>
    <row r="10" spans="1:9">
      <c r="A10" s="92" t="s">
        <v>170</v>
      </c>
      <c r="B10" s="1045" t="s">
        <v>224</v>
      </c>
      <c r="C10" s="1046"/>
      <c r="D10" s="42"/>
      <c r="E10" s="45">
        <v>2444135.2400000002</v>
      </c>
      <c r="F10" s="45">
        <v>431305.94</v>
      </c>
      <c r="G10" s="42"/>
      <c r="H10" s="33">
        <v>2875441.18</v>
      </c>
    </row>
    <row r="11" spans="1:9">
      <c r="A11" s="92" t="s">
        <v>225</v>
      </c>
      <c r="B11" s="1043" t="s">
        <v>226</v>
      </c>
      <c r="C11" s="1044"/>
      <c r="D11" s="42"/>
      <c r="E11" s="45">
        <v>220545.86</v>
      </c>
      <c r="F11" s="45">
        <v>25790.09</v>
      </c>
      <c r="G11" s="42"/>
      <c r="H11" s="33">
        <v>246335.95</v>
      </c>
    </row>
    <row r="12" spans="1:9">
      <c r="A12" s="92" t="s">
        <v>227</v>
      </c>
      <c r="B12" s="1043" t="s">
        <v>228</v>
      </c>
      <c r="C12" s="1044"/>
      <c r="D12" s="42"/>
      <c r="E12" s="45">
        <v>708508.54</v>
      </c>
      <c r="F12" s="45">
        <v>50469.51</v>
      </c>
      <c r="G12" s="42"/>
      <c r="H12" s="33">
        <v>758978.05</v>
      </c>
    </row>
    <row r="13" spans="1:9" ht="12.75" customHeight="1">
      <c r="A13" s="92" t="s">
        <v>175</v>
      </c>
      <c r="B13" s="1043" t="s">
        <v>230</v>
      </c>
      <c r="C13" s="1044"/>
      <c r="D13" s="42"/>
      <c r="E13" s="45">
        <v>306399.06</v>
      </c>
      <c r="F13" s="45">
        <v>0</v>
      </c>
      <c r="G13" s="42"/>
      <c r="H13" s="33">
        <v>306399.06</v>
      </c>
    </row>
    <row r="14" spans="1:9" ht="12.75" customHeight="1">
      <c r="A14" s="92" t="s">
        <v>188</v>
      </c>
      <c r="B14" s="1043" t="s">
        <v>231</v>
      </c>
      <c r="C14" s="1044"/>
      <c r="D14" s="42"/>
      <c r="E14" s="45">
        <v>358578.53</v>
      </c>
      <c r="F14" s="45">
        <v>63278.559999999998</v>
      </c>
      <c r="G14" s="42"/>
      <c r="H14" s="33">
        <v>421857.09</v>
      </c>
    </row>
    <row r="15" spans="1:9" ht="24" customHeight="1">
      <c r="A15" s="92" t="s">
        <v>220</v>
      </c>
      <c r="B15" s="1043" t="s">
        <v>232</v>
      </c>
      <c r="C15" s="1044"/>
      <c r="D15" s="42"/>
      <c r="E15" s="45">
        <v>485592.72</v>
      </c>
      <c r="F15" s="45">
        <v>135089.26</v>
      </c>
      <c r="G15" s="42"/>
      <c r="H15" s="33">
        <v>620681.98</v>
      </c>
    </row>
    <row r="16" spans="1:9">
      <c r="A16" s="92" t="s">
        <v>187</v>
      </c>
      <c r="B16" s="1043" t="s">
        <v>233</v>
      </c>
      <c r="C16" s="1044"/>
      <c r="D16" s="42"/>
      <c r="E16" s="45">
        <v>3589271.98</v>
      </c>
      <c r="F16" s="45">
        <v>633400.91</v>
      </c>
      <c r="G16" s="42"/>
      <c r="H16" s="33">
        <v>4222672.8899999997</v>
      </c>
    </row>
    <row r="17" spans="1:8" ht="12.75" customHeight="1">
      <c r="A17" s="92" t="s">
        <v>179</v>
      </c>
      <c r="B17" s="1043" t="s">
        <v>236</v>
      </c>
      <c r="C17" s="1044"/>
      <c r="D17" s="42"/>
      <c r="E17" s="45">
        <v>387067.45</v>
      </c>
      <c r="F17" s="45">
        <v>68306.320000000007</v>
      </c>
      <c r="G17" s="42"/>
      <c r="H17" s="33">
        <v>455373.77</v>
      </c>
    </row>
    <row r="18" spans="1:8" ht="12.75" customHeight="1">
      <c r="A18" s="92" t="s">
        <v>19</v>
      </c>
      <c r="B18" s="1043" t="s">
        <v>237</v>
      </c>
      <c r="C18" s="1044"/>
      <c r="D18" s="42"/>
      <c r="E18" s="45">
        <v>403481.7</v>
      </c>
      <c r="F18" s="45">
        <v>0</v>
      </c>
      <c r="G18" s="42"/>
      <c r="H18" s="33">
        <v>403481.7</v>
      </c>
    </row>
    <row r="19" spans="1:8" ht="12.75" customHeight="1">
      <c r="A19" s="92" t="s">
        <v>238</v>
      </c>
      <c r="B19" s="1043" t="s">
        <v>239</v>
      </c>
      <c r="C19" s="1044"/>
      <c r="D19" s="42"/>
      <c r="E19" s="45">
        <v>5845.95</v>
      </c>
      <c r="F19" s="45">
        <v>1031.6300000000001</v>
      </c>
      <c r="G19" s="42"/>
      <c r="H19" s="33">
        <v>6877.58</v>
      </c>
    </row>
    <row r="20" spans="1:8" ht="12.75" customHeight="1">
      <c r="A20" s="92" t="s">
        <v>26</v>
      </c>
      <c r="B20" s="1043" t="s">
        <v>240</v>
      </c>
      <c r="C20" s="1044"/>
      <c r="D20" s="42"/>
      <c r="E20" s="45">
        <v>55809.89</v>
      </c>
      <c r="F20" s="45">
        <v>0</v>
      </c>
      <c r="G20" s="42"/>
      <c r="H20" s="33">
        <v>55809.89</v>
      </c>
    </row>
    <row r="21" spans="1:8" ht="12.75" customHeight="1">
      <c r="A21" s="92" t="s">
        <v>28</v>
      </c>
      <c r="B21" s="1043" t="s">
        <v>241</v>
      </c>
      <c r="C21" s="1044"/>
      <c r="D21" s="42"/>
      <c r="E21" s="45">
        <v>722204.52</v>
      </c>
      <c r="F21" s="45">
        <v>127447.89</v>
      </c>
      <c r="G21" s="42"/>
      <c r="H21" s="33">
        <v>849652.41</v>
      </c>
    </row>
    <row r="22" spans="1:8" ht="12.75" customHeight="1">
      <c r="A22" s="92" t="s">
        <v>204</v>
      </c>
      <c r="B22" s="1043" t="s">
        <v>242</v>
      </c>
      <c r="C22" s="1044"/>
      <c r="D22" s="42"/>
      <c r="E22" s="45">
        <v>564137.76</v>
      </c>
      <c r="F22" s="45">
        <v>0</v>
      </c>
      <c r="G22" s="42"/>
      <c r="H22" s="33">
        <v>564137.76</v>
      </c>
    </row>
    <row r="23" spans="1:8" ht="12.75" customHeight="1">
      <c r="A23" s="92" t="s">
        <v>243</v>
      </c>
      <c r="B23" s="1043" t="s">
        <v>244</v>
      </c>
      <c r="C23" s="1044"/>
      <c r="D23" s="42"/>
      <c r="E23" s="45">
        <v>3131119.31</v>
      </c>
      <c r="F23" s="45">
        <v>0</v>
      </c>
      <c r="G23" s="42"/>
      <c r="H23" s="33">
        <v>3131119.31</v>
      </c>
    </row>
    <row r="24" spans="1:8" ht="12.75" customHeight="1">
      <c r="A24" s="92" t="s">
        <v>171</v>
      </c>
      <c r="B24" s="1043" t="s">
        <v>245</v>
      </c>
      <c r="C24" s="1044"/>
      <c r="D24" s="42"/>
      <c r="E24" s="45">
        <v>6849304.2699999996</v>
      </c>
      <c r="F24" s="45">
        <v>445940.54</v>
      </c>
      <c r="G24" s="42"/>
      <c r="H24" s="33">
        <v>7295244.8099999996</v>
      </c>
    </row>
    <row r="25" spans="1:8" ht="12.75" customHeight="1">
      <c r="A25" s="92" t="s">
        <v>253</v>
      </c>
      <c r="B25" s="1043" t="s">
        <v>254</v>
      </c>
      <c r="C25" s="1044"/>
      <c r="D25" s="42"/>
      <c r="E25" s="45">
        <v>0</v>
      </c>
      <c r="F25" s="45">
        <v>0</v>
      </c>
      <c r="G25" s="42"/>
      <c r="H25" s="33">
        <v>0</v>
      </c>
    </row>
    <row r="26" spans="1:8" ht="12.75" customHeight="1">
      <c r="A26" s="92" t="s">
        <v>185</v>
      </c>
      <c r="B26" s="1043" t="s">
        <v>255</v>
      </c>
      <c r="C26" s="1044"/>
      <c r="D26" s="42"/>
      <c r="E26" s="45">
        <v>200001.31</v>
      </c>
      <c r="F26" s="45">
        <v>35294.36</v>
      </c>
      <c r="G26" s="42"/>
      <c r="H26" s="33">
        <v>235295.67</v>
      </c>
    </row>
    <row r="27" spans="1:8" ht="12.75" customHeight="1">
      <c r="A27" s="92" t="s">
        <v>256</v>
      </c>
      <c r="B27" s="1043" t="s">
        <v>257</v>
      </c>
      <c r="C27" s="1044"/>
      <c r="D27" s="42"/>
      <c r="E27" s="45">
        <v>6268428.1900000004</v>
      </c>
      <c r="F27" s="45">
        <v>0</v>
      </c>
      <c r="G27" s="42"/>
      <c r="H27" s="33">
        <v>6268428.1900000004</v>
      </c>
    </row>
    <row r="28" spans="1:8" ht="12.75" customHeight="1">
      <c r="A28" s="92" t="s">
        <v>34</v>
      </c>
      <c r="B28" s="1043" t="s">
        <v>258</v>
      </c>
      <c r="C28" s="1044"/>
      <c r="D28" s="42"/>
      <c r="E28" s="45">
        <v>101010.47</v>
      </c>
      <c r="F28" s="45">
        <v>17825.37</v>
      </c>
      <c r="G28" s="42"/>
      <c r="H28" s="33">
        <v>118835.84</v>
      </c>
    </row>
    <row r="29" spans="1:8" ht="12.75" customHeight="1">
      <c r="A29" s="92" t="s">
        <v>39</v>
      </c>
      <c r="B29" s="1043" t="s">
        <v>260</v>
      </c>
      <c r="C29" s="1044"/>
      <c r="D29" s="42"/>
      <c r="E29" s="45">
        <v>961007.52</v>
      </c>
      <c r="F29" s="45">
        <v>151913.76</v>
      </c>
      <c r="G29" s="42"/>
      <c r="H29" s="33">
        <v>1112921.28</v>
      </c>
    </row>
    <row r="30" spans="1:8" ht="12.75" customHeight="1">
      <c r="A30" s="92" t="s">
        <v>177</v>
      </c>
      <c r="B30" s="1043" t="s">
        <v>261</v>
      </c>
      <c r="C30" s="1044"/>
      <c r="D30" s="42"/>
      <c r="E30" s="45">
        <v>1139215.3600000001</v>
      </c>
      <c r="F30" s="45">
        <v>0</v>
      </c>
      <c r="G30" s="42"/>
      <c r="H30" s="33">
        <v>1139215.3600000001</v>
      </c>
    </row>
    <row r="31" spans="1:8" ht="12.75" customHeight="1">
      <c r="A31" s="92" t="s">
        <v>203</v>
      </c>
      <c r="B31" s="1043" t="s">
        <v>262</v>
      </c>
      <c r="C31" s="1044"/>
      <c r="D31" s="42"/>
      <c r="E31" s="45">
        <v>907011.53</v>
      </c>
      <c r="F31" s="45">
        <v>65133.72</v>
      </c>
      <c r="G31" s="42"/>
      <c r="H31" s="33">
        <v>972145.25</v>
      </c>
    </row>
    <row r="32" spans="1:8" ht="12.75" customHeight="1">
      <c r="A32" s="92" t="s">
        <v>263</v>
      </c>
      <c r="B32" s="1043" t="s">
        <v>264</v>
      </c>
      <c r="C32" s="1044"/>
      <c r="D32" s="42"/>
      <c r="E32" s="45">
        <v>80018.52</v>
      </c>
      <c r="F32" s="45">
        <v>14120.92</v>
      </c>
      <c r="G32" s="42"/>
      <c r="H32" s="33">
        <v>94139.44</v>
      </c>
    </row>
    <row r="33" spans="1:8" ht="12.75" customHeight="1">
      <c r="A33" s="92" t="s">
        <v>44</v>
      </c>
      <c r="B33" s="1043" t="s">
        <v>265</v>
      </c>
      <c r="C33" s="1044"/>
      <c r="D33" s="42"/>
      <c r="E33" s="45">
        <v>285537.18</v>
      </c>
      <c r="F33" s="45">
        <v>50388.93</v>
      </c>
      <c r="G33" s="42"/>
      <c r="H33" s="33">
        <v>335926.11</v>
      </c>
    </row>
    <row r="34" spans="1:8" ht="12.75" customHeight="1">
      <c r="A34" s="92" t="s">
        <v>266</v>
      </c>
      <c r="B34" s="1043" t="s">
        <v>267</v>
      </c>
      <c r="C34" s="1044"/>
      <c r="D34" s="42"/>
      <c r="E34" s="45">
        <v>1589633.51</v>
      </c>
      <c r="F34" s="45">
        <v>0</v>
      </c>
      <c r="G34" s="42"/>
      <c r="H34" s="33">
        <v>1589633.51</v>
      </c>
    </row>
    <row r="35" spans="1:8" ht="12.75" customHeight="1">
      <c r="A35" s="92" t="s">
        <v>48</v>
      </c>
      <c r="B35" s="1043" t="s">
        <v>268</v>
      </c>
      <c r="C35" s="1044"/>
      <c r="D35" s="42"/>
      <c r="E35" s="45">
        <v>166262.29999999999</v>
      </c>
      <c r="F35" s="42"/>
      <c r="G35" s="42"/>
      <c r="H35" s="33">
        <v>166262.29999999999</v>
      </c>
    </row>
    <row r="36" spans="1:8" ht="12.75" customHeight="1">
      <c r="A36" s="92" t="s">
        <v>50</v>
      </c>
      <c r="B36" s="1043" t="s">
        <v>269</v>
      </c>
      <c r="C36" s="1044"/>
      <c r="D36" s="42"/>
      <c r="E36" s="45">
        <v>81582.67</v>
      </c>
      <c r="F36" s="45">
        <v>14396.96</v>
      </c>
      <c r="G36" s="42"/>
      <c r="H36" s="33">
        <v>95979.63</v>
      </c>
    </row>
    <row r="37" spans="1:8" ht="12.75" customHeight="1">
      <c r="A37" s="92" t="s">
        <v>272</v>
      </c>
      <c r="B37" s="1043" t="s">
        <v>273</v>
      </c>
      <c r="C37" s="1044"/>
      <c r="D37" s="42"/>
      <c r="E37" s="45">
        <v>942.59</v>
      </c>
      <c r="F37" s="45">
        <v>166.34</v>
      </c>
      <c r="G37" s="42"/>
      <c r="H37" s="33">
        <v>1108.93</v>
      </c>
    </row>
    <row r="38" spans="1:8" ht="12.75" customHeight="1">
      <c r="A38" s="92" t="s">
        <v>145</v>
      </c>
      <c r="B38" s="1043" t="s">
        <v>276</v>
      </c>
      <c r="C38" s="1044"/>
      <c r="D38" s="42"/>
      <c r="E38" s="45">
        <v>141305.99</v>
      </c>
      <c r="F38" s="45">
        <v>24936.36</v>
      </c>
      <c r="G38" s="42"/>
      <c r="H38" s="33">
        <v>166242.35</v>
      </c>
    </row>
    <row r="39" spans="1:8" ht="12.75" customHeight="1">
      <c r="A39" s="92" t="s">
        <v>277</v>
      </c>
      <c r="B39" s="1043" t="s">
        <v>278</v>
      </c>
      <c r="C39" s="1044"/>
      <c r="D39" s="42"/>
      <c r="E39" s="45">
        <v>403876.46</v>
      </c>
      <c r="F39" s="45">
        <v>0</v>
      </c>
      <c r="G39" s="42"/>
      <c r="H39" s="33">
        <v>403876.46</v>
      </c>
    </row>
    <row r="40" spans="1:8" ht="12.75" customHeight="1">
      <c r="A40" s="92" t="s">
        <v>279</v>
      </c>
      <c r="B40" s="1043" t="s">
        <v>280</v>
      </c>
      <c r="C40" s="1044"/>
      <c r="D40" s="42"/>
      <c r="E40" s="45">
        <v>225051.04</v>
      </c>
      <c r="F40" s="45">
        <v>0</v>
      </c>
      <c r="G40" s="42"/>
      <c r="H40" s="33">
        <v>225051.04</v>
      </c>
    </row>
    <row r="41" spans="1:8" ht="12.75" customHeight="1">
      <c r="A41" s="92" t="s">
        <v>281</v>
      </c>
      <c r="B41" s="1043" t="s">
        <v>282</v>
      </c>
      <c r="C41" s="1044"/>
      <c r="D41" s="42"/>
      <c r="E41" s="45">
        <v>121000.25</v>
      </c>
      <c r="F41" s="45">
        <v>0</v>
      </c>
      <c r="G41" s="42"/>
      <c r="H41" s="33">
        <v>121000.25</v>
      </c>
    </row>
    <row r="42" spans="1:8" ht="12.75" customHeight="1">
      <c r="A42" s="92" t="s">
        <v>283</v>
      </c>
      <c r="B42" s="1043" t="s">
        <v>284</v>
      </c>
      <c r="C42" s="1044"/>
      <c r="D42" s="42"/>
      <c r="E42" s="45">
        <v>127446.89</v>
      </c>
      <c r="F42" s="45">
        <v>0</v>
      </c>
      <c r="G42" s="42"/>
      <c r="H42" s="33">
        <v>127446.89</v>
      </c>
    </row>
    <row r="43" spans="1:8" ht="12.75" customHeight="1">
      <c r="A43" s="92" t="s">
        <v>285</v>
      </c>
      <c r="B43" s="1043" t="s">
        <v>286</v>
      </c>
      <c r="C43" s="1044"/>
      <c r="D43" s="42"/>
      <c r="E43" s="45">
        <v>584401.36</v>
      </c>
      <c r="F43" s="45">
        <v>0</v>
      </c>
      <c r="G43" s="42"/>
      <c r="H43" s="33">
        <v>584401.36</v>
      </c>
    </row>
    <row r="44" spans="1:8" ht="12.75" customHeight="1">
      <c r="A44" s="92" t="s">
        <v>287</v>
      </c>
      <c r="B44" s="1043" t="s">
        <v>288</v>
      </c>
      <c r="C44" s="1044"/>
      <c r="D44" s="45">
        <v>2597089.5099999998</v>
      </c>
      <c r="E44" s="42"/>
      <c r="F44" s="45">
        <v>0</v>
      </c>
      <c r="G44" s="42"/>
      <c r="H44" s="33">
        <v>2597089.5099999998</v>
      </c>
    </row>
    <row r="45" spans="1:8" ht="12.75" customHeight="1">
      <c r="A45" s="92" t="s">
        <v>289</v>
      </c>
      <c r="B45" s="1043" t="s">
        <v>290</v>
      </c>
      <c r="C45" s="1044"/>
      <c r="D45" s="45">
        <v>389487.9</v>
      </c>
      <c r="E45" s="42"/>
      <c r="F45" s="45">
        <v>0</v>
      </c>
      <c r="G45" s="42"/>
      <c r="H45" s="33">
        <v>389487.9</v>
      </c>
    </row>
    <row r="46" spans="1:8" ht="12.75" customHeight="1">
      <c r="A46" s="92" t="s">
        <v>58</v>
      </c>
      <c r="B46" s="1043" t="s">
        <v>291</v>
      </c>
      <c r="C46" s="1044"/>
      <c r="D46" s="45">
        <v>7521559.7999999998</v>
      </c>
      <c r="E46" s="42"/>
      <c r="F46" s="45">
        <v>0</v>
      </c>
      <c r="G46" s="42"/>
      <c r="H46" s="33">
        <v>7521559.7999999998</v>
      </c>
    </row>
    <row r="47" spans="1:8" ht="12.75" customHeight="1">
      <c r="A47" s="92" t="s">
        <v>59</v>
      </c>
      <c r="B47" s="1043" t="s">
        <v>292</v>
      </c>
      <c r="C47" s="1044"/>
      <c r="D47" s="45">
        <v>79194.509999999995</v>
      </c>
      <c r="E47" s="42"/>
      <c r="F47" s="45">
        <v>0</v>
      </c>
      <c r="G47" s="42"/>
      <c r="H47" s="33">
        <v>79194.509999999995</v>
      </c>
    </row>
    <row r="48" spans="1:8" ht="12.75" customHeight="1">
      <c r="A48" s="92" t="s">
        <v>162</v>
      </c>
      <c r="B48" s="1043" t="s">
        <v>293</v>
      </c>
      <c r="C48" s="1044"/>
      <c r="D48" s="45">
        <v>1021429.83</v>
      </c>
      <c r="E48" s="42"/>
      <c r="F48" s="45">
        <v>0</v>
      </c>
      <c r="G48" s="42"/>
      <c r="H48" s="33">
        <v>1021429.83</v>
      </c>
    </row>
    <row r="49" spans="1:8" ht="12.75" customHeight="1">
      <c r="A49" s="92" t="s">
        <v>206</v>
      </c>
      <c r="B49" s="1043" t="s">
        <v>294</v>
      </c>
      <c r="C49" s="1044"/>
      <c r="D49" s="45">
        <v>95028.21</v>
      </c>
      <c r="E49" s="42"/>
      <c r="F49" s="45">
        <v>0</v>
      </c>
      <c r="G49" s="42"/>
      <c r="H49" s="33">
        <v>95028.21</v>
      </c>
    </row>
    <row r="50" spans="1:8" ht="12.75" customHeight="1">
      <c r="A50" s="92" t="s">
        <v>295</v>
      </c>
      <c r="B50" s="1043" t="s">
        <v>296</v>
      </c>
      <c r="C50" s="1044"/>
      <c r="D50" s="45">
        <v>4358.93</v>
      </c>
      <c r="E50" s="42"/>
      <c r="F50" s="45">
        <v>0</v>
      </c>
      <c r="G50" s="42"/>
      <c r="H50" s="33">
        <v>4358.93</v>
      </c>
    </row>
    <row r="51" spans="1:8" ht="12.75" customHeight="1">
      <c r="A51" s="92" t="s">
        <v>297</v>
      </c>
      <c r="B51" s="1043" t="s">
        <v>298</v>
      </c>
      <c r="C51" s="1044"/>
      <c r="D51" s="45">
        <v>3175925.81</v>
      </c>
      <c r="E51" s="42"/>
      <c r="F51" s="45">
        <v>0</v>
      </c>
      <c r="G51" s="42"/>
      <c r="H51" s="33">
        <v>3175925.81</v>
      </c>
    </row>
    <row r="52" spans="1:8" ht="12.75" customHeight="1">
      <c r="A52" s="92" t="s">
        <v>207</v>
      </c>
      <c r="B52" s="1043" t="s">
        <v>299</v>
      </c>
      <c r="C52" s="1044"/>
      <c r="D52" s="45">
        <v>2839.96</v>
      </c>
      <c r="E52" s="42"/>
      <c r="F52" s="45">
        <v>0</v>
      </c>
      <c r="G52" s="42"/>
      <c r="H52" s="33">
        <v>2839.96</v>
      </c>
    </row>
    <row r="53" spans="1:8" ht="12.75" customHeight="1">
      <c r="A53" s="92" t="s">
        <v>300</v>
      </c>
      <c r="B53" s="1043" t="s">
        <v>301</v>
      </c>
      <c r="C53" s="1044"/>
      <c r="D53" s="45">
        <v>10357702.869999999</v>
      </c>
      <c r="E53" s="42"/>
      <c r="F53" s="45">
        <v>0</v>
      </c>
      <c r="G53" s="42"/>
      <c r="H53" s="33">
        <v>10357702.869999999</v>
      </c>
    </row>
    <row r="54" spans="1:8" ht="12.75" customHeight="1">
      <c r="A54" s="92" t="s">
        <v>307</v>
      </c>
      <c r="B54" s="1043" t="s">
        <v>308</v>
      </c>
      <c r="C54" s="1044"/>
      <c r="D54" s="45">
        <v>968777.74</v>
      </c>
      <c r="E54" s="42"/>
      <c r="F54" s="45">
        <v>0</v>
      </c>
      <c r="G54" s="42"/>
      <c r="H54" s="33">
        <v>968777.74</v>
      </c>
    </row>
    <row r="55" spans="1:8" ht="12.75" customHeight="1">
      <c r="A55" s="92" t="s">
        <v>309</v>
      </c>
      <c r="B55" s="1043" t="s">
        <v>310</v>
      </c>
      <c r="C55" s="1044"/>
      <c r="D55" s="45">
        <v>588275.63</v>
      </c>
      <c r="E55" s="42"/>
      <c r="F55" s="45">
        <v>392183.73</v>
      </c>
      <c r="G55" s="42"/>
      <c r="H55" s="33">
        <v>980459.36</v>
      </c>
    </row>
    <row r="56" spans="1:8" ht="12.75" customHeight="1">
      <c r="A56" s="92" t="s">
        <v>73</v>
      </c>
      <c r="B56" s="1043" t="s">
        <v>311</v>
      </c>
      <c r="C56" s="1044"/>
      <c r="D56" s="45">
        <v>214373.71</v>
      </c>
      <c r="E56" s="42"/>
      <c r="F56" s="45">
        <v>37830.660000000003</v>
      </c>
      <c r="G56" s="42"/>
      <c r="H56" s="33">
        <v>252204.37</v>
      </c>
    </row>
    <row r="57" spans="1:8" ht="12.75" customHeight="1">
      <c r="A57" s="92" t="s">
        <v>75</v>
      </c>
      <c r="B57" s="1043" t="s">
        <v>312</v>
      </c>
      <c r="C57" s="1044"/>
      <c r="D57" s="45">
        <v>214308.96</v>
      </c>
      <c r="E57" s="42"/>
      <c r="F57" s="45">
        <v>37819.24</v>
      </c>
      <c r="G57" s="42"/>
      <c r="H57" s="33">
        <v>252128.2</v>
      </c>
    </row>
    <row r="58" spans="1:8" ht="12.75" customHeight="1">
      <c r="A58" s="92" t="s">
        <v>732</v>
      </c>
      <c r="B58" s="1043" t="s">
        <v>314</v>
      </c>
      <c r="C58" s="1044"/>
      <c r="D58" s="45">
        <v>65344.3</v>
      </c>
      <c r="E58" s="42"/>
      <c r="F58" s="45">
        <v>0</v>
      </c>
      <c r="G58" s="42"/>
      <c r="H58" s="33">
        <v>65344.3</v>
      </c>
    </row>
    <row r="59" spans="1:8" ht="12.75" customHeight="1">
      <c r="A59" s="92" t="s">
        <v>76</v>
      </c>
      <c r="B59" s="1043" t="s">
        <v>672</v>
      </c>
      <c r="C59" s="1044"/>
      <c r="D59" s="45">
        <v>327396.64</v>
      </c>
      <c r="E59" s="42"/>
      <c r="F59" s="45">
        <v>0</v>
      </c>
      <c r="G59" s="42"/>
      <c r="H59" s="33">
        <v>327396.64</v>
      </c>
    </row>
    <row r="60" spans="1:8" ht="12.75" customHeight="1">
      <c r="A60" s="92" t="s">
        <v>191</v>
      </c>
      <c r="B60" s="1043" t="s">
        <v>286</v>
      </c>
      <c r="C60" s="1044"/>
      <c r="D60" s="45">
        <v>967070.03</v>
      </c>
      <c r="E60" s="42"/>
      <c r="F60" s="45">
        <v>0</v>
      </c>
      <c r="G60" s="42"/>
      <c r="H60" s="33">
        <v>967070.03</v>
      </c>
    </row>
    <row r="61" spans="1:8" ht="12.75" customHeight="1">
      <c r="A61" s="92" t="s">
        <v>315</v>
      </c>
      <c r="B61" s="1043" t="s">
        <v>316</v>
      </c>
      <c r="C61" s="1044"/>
      <c r="D61" s="45">
        <v>2548719.17</v>
      </c>
      <c r="E61" s="42"/>
      <c r="F61" s="45">
        <v>464523.94</v>
      </c>
      <c r="G61" s="42"/>
      <c r="H61" s="33">
        <v>3013243.11</v>
      </c>
    </row>
    <row r="62" spans="1:8" ht="12.75" customHeight="1">
      <c r="A62" s="92" t="s">
        <v>79</v>
      </c>
      <c r="B62" s="1043" t="s">
        <v>317</v>
      </c>
      <c r="C62" s="1044"/>
      <c r="D62" s="45">
        <v>16413.34</v>
      </c>
      <c r="E62" s="42"/>
      <c r="F62" s="45">
        <v>2896.46</v>
      </c>
      <c r="G62" s="42"/>
      <c r="H62" s="33">
        <v>19309.8</v>
      </c>
    </row>
    <row r="63" spans="1:8" ht="12.75" customHeight="1">
      <c r="A63" s="92" t="s">
        <v>81</v>
      </c>
      <c r="B63" s="1043" t="s">
        <v>318</v>
      </c>
      <c r="C63" s="1044"/>
      <c r="D63" s="45">
        <v>4405276.3600000003</v>
      </c>
      <c r="E63" s="42"/>
      <c r="F63" s="45">
        <v>373791.3</v>
      </c>
      <c r="G63" s="42"/>
      <c r="H63" s="33">
        <v>4779067.66</v>
      </c>
    </row>
    <row r="64" spans="1:8" ht="12.75" customHeight="1">
      <c r="A64" s="92" t="s">
        <v>181</v>
      </c>
      <c r="B64" s="1043" t="s">
        <v>319</v>
      </c>
      <c r="C64" s="1044"/>
      <c r="D64" s="45">
        <v>37778.199999999997</v>
      </c>
      <c r="E64" s="42"/>
      <c r="F64" s="45">
        <v>0</v>
      </c>
      <c r="G64" s="42"/>
      <c r="H64" s="33">
        <v>37778.199999999997</v>
      </c>
    </row>
    <row r="65" spans="1:8" ht="12.75" customHeight="1">
      <c r="A65" s="92" t="s">
        <v>84</v>
      </c>
      <c r="B65" s="1043" t="s">
        <v>320</v>
      </c>
      <c r="C65" s="1044"/>
      <c r="D65" s="45">
        <v>161442.29</v>
      </c>
      <c r="E65" s="42"/>
      <c r="F65" s="45">
        <v>0</v>
      </c>
      <c r="G65" s="42"/>
      <c r="H65" s="33">
        <v>161442.29</v>
      </c>
    </row>
    <row r="66" spans="1:8" ht="12.75" customHeight="1">
      <c r="A66" s="92" t="s">
        <v>180</v>
      </c>
      <c r="B66" s="1043" t="s">
        <v>321</v>
      </c>
      <c r="C66" s="1044"/>
      <c r="D66" s="45">
        <v>177165.14</v>
      </c>
      <c r="E66" s="42"/>
      <c r="F66" s="45">
        <v>0</v>
      </c>
      <c r="G66" s="42"/>
      <c r="H66" s="33">
        <v>177165.14</v>
      </c>
    </row>
    <row r="67" spans="1:8" ht="12.75" customHeight="1">
      <c r="A67" s="92" t="s">
        <v>88</v>
      </c>
      <c r="B67" s="1043" t="s">
        <v>323</v>
      </c>
      <c r="C67" s="1044"/>
      <c r="D67" s="45">
        <v>57408.88</v>
      </c>
      <c r="E67" s="42"/>
      <c r="F67" s="45">
        <v>10130.98</v>
      </c>
      <c r="G67" s="42"/>
      <c r="H67" s="33">
        <v>67539.86</v>
      </c>
    </row>
    <row r="68" spans="1:8" ht="12.75" customHeight="1">
      <c r="A68" s="92" t="s">
        <v>168</v>
      </c>
      <c r="B68" s="1043" t="s">
        <v>326</v>
      </c>
      <c r="C68" s="1044"/>
      <c r="D68" s="45">
        <v>117748.26</v>
      </c>
      <c r="E68" s="42"/>
      <c r="F68" s="45">
        <v>20779.099999999999</v>
      </c>
      <c r="G68" s="42"/>
      <c r="H68" s="33">
        <v>138527.35999999999</v>
      </c>
    </row>
    <row r="69" spans="1:8" ht="12.75" customHeight="1">
      <c r="A69" s="92" t="s">
        <v>328</v>
      </c>
      <c r="B69" s="1043" t="s">
        <v>329</v>
      </c>
      <c r="C69" s="1044"/>
      <c r="D69" s="45">
        <v>3752028.93</v>
      </c>
      <c r="E69" s="42"/>
      <c r="F69" s="45">
        <v>0</v>
      </c>
      <c r="G69" s="42"/>
      <c r="H69" s="33">
        <v>3752028.93</v>
      </c>
    </row>
    <row r="70" spans="1:8" ht="12.75" customHeight="1">
      <c r="A70" s="92" t="s">
        <v>208</v>
      </c>
      <c r="B70" s="1043" t="s">
        <v>330</v>
      </c>
      <c r="C70" s="1044"/>
      <c r="D70" s="45">
        <v>0</v>
      </c>
      <c r="E70" s="42"/>
      <c r="F70" s="45">
        <v>0</v>
      </c>
      <c r="G70" s="42"/>
      <c r="H70" s="33">
        <v>0</v>
      </c>
    </row>
    <row r="71" spans="1:8" ht="12.75" customHeight="1">
      <c r="A71" s="92" t="s">
        <v>189</v>
      </c>
      <c r="B71" s="1043" t="s">
        <v>331</v>
      </c>
      <c r="C71" s="1044"/>
      <c r="D71" s="45">
        <v>189892.4</v>
      </c>
      <c r="E71" s="42"/>
      <c r="F71" s="42"/>
      <c r="G71" s="42"/>
      <c r="H71" s="33">
        <v>189892.4</v>
      </c>
    </row>
    <row r="72" spans="1:8" ht="12.75" customHeight="1">
      <c r="A72" s="92" t="s">
        <v>157</v>
      </c>
      <c r="B72" s="1043" t="s">
        <v>333</v>
      </c>
      <c r="C72" s="1044"/>
      <c r="D72" s="45">
        <v>1852407.96</v>
      </c>
      <c r="E72" s="42"/>
      <c r="F72" s="45">
        <v>224049.79</v>
      </c>
      <c r="G72" s="42"/>
      <c r="H72" s="33">
        <v>2076457.75</v>
      </c>
    </row>
    <row r="73" spans="1:8" ht="12.75" customHeight="1">
      <c r="A73" s="92" t="s">
        <v>159</v>
      </c>
      <c r="B73" s="1043" t="s">
        <v>334</v>
      </c>
      <c r="C73" s="1044"/>
      <c r="D73" s="45">
        <v>8073840.5800000001</v>
      </c>
      <c r="E73" s="42"/>
      <c r="F73" s="45">
        <v>506659.68</v>
      </c>
      <c r="G73" s="42"/>
      <c r="H73" s="33">
        <v>8580500.2599999998</v>
      </c>
    </row>
    <row r="74" spans="1:8" ht="12.75" customHeight="1">
      <c r="A74" s="92" t="s">
        <v>336</v>
      </c>
      <c r="B74" s="1043" t="s">
        <v>337</v>
      </c>
      <c r="C74" s="1044"/>
      <c r="D74" s="45">
        <v>21517199.73</v>
      </c>
      <c r="E74" s="42"/>
      <c r="F74" s="45">
        <v>3797152.87</v>
      </c>
      <c r="G74" s="42"/>
      <c r="H74" s="33">
        <v>25314352.600000001</v>
      </c>
    </row>
    <row r="75" spans="1:8" ht="12.75" customHeight="1">
      <c r="A75" s="92" t="s">
        <v>198</v>
      </c>
      <c r="B75" s="1043" t="s">
        <v>338</v>
      </c>
      <c r="C75" s="1044"/>
      <c r="D75" s="45">
        <v>9111317</v>
      </c>
      <c r="E75" s="42"/>
      <c r="F75" s="45">
        <v>0</v>
      </c>
      <c r="G75" s="42"/>
      <c r="H75" s="33">
        <v>9111317</v>
      </c>
    </row>
    <row r="76" spans="1:8" ht="12.75" customHeight="1">
      <c r="A76" s="92" t="s">
        <v>339</v>
      </c>
      <c r="B76" s="1043" t="s">
        <v>340</v>
      </c>
      <c r="C76" s="1044"/>
      <c r="D76" s="45">
        <v>356567.32</v>
      </c>
      <c r="E76" s="42"/>
      <c r="F76" s="42"/>
      <c r="G76" s="42"/>
      <c r="H76" s="33">
        <v>356567.32</v>
      </c>
    </row>
    <row r="77" spans="1:8" ht="12.75" customHeight="1">
      <c r="A77" s="92" t="s">
        <v>97</v>
      </c>
      <c r="B77" s="1043" t="s">
        <v>341</v>
      </c>
      <c r="C77" s="1044"/>
      <c r="D77" s="45">
        <v>990564.25</v>
      </c>
      <c r="E77" s="42"/>
      <c r="F77" s="42"/>
      <c r="G77" s="42"/>
      <c r="H77" s="33">
        <v>990564.25</v>
      </c>
    </row>
    <row r="78" spans="1:8" ht="12.75" customHeight="1">
      <c r="A78" s="92" t="s">
        <v>98</v>
      </c>
      <c r="B78" s="1043" t="s">
        <v>344</v>
      </c>
      <c r="C78" s="1044"/>
      <c r="D78" s="45">
        <v>3521975.27</v>
      </c>
      <c r="E78" s="42"/>
      <c r="F78" s="45">
        <v>0</v>
      </c>
      <c r="G78" s="42"/>
      <c r="H78" s="33">
        <v>3521975.27</v>
      </c>
    </row>
    <row r="79" spans="1:8" ht="12.75" customHeight="1">
      <c r="A79" s="92" t="s">
        <v>156</v>
      </c>
      <c r="B79" s="1043" t="s">
        <v>345</v>
      </c>
      <c r="C79" s="1044"/>
      <c r="D79" s="45">
        <v>6936318.3499999996</v>
      </c>
      <c r="E79" s="42"/>
      <c r="F79" s="42"/>
      <c r="G79" s="42"/>
      <c r="H79" s="33">
        <v>6936318.3499999996</v>
      </c>
    </row>
    <row r="80" spans="1:8" ht="12.75" customHeight="1">
      <c r="A80" s="92" t="s">
        <v>176</v>
      </c>
      <c r="B80" s="1043" t="s">
        <v>346</v>
      </c>
      <c r="C80" s="1044"/>
      <c r="D80" s="45">
        <v>605924.68000000005</v>
      </c>
      <c r="E80" s="42"/>
      <c r="F80" s="45">
        <v>0</v>
      </c>
      <c r="G80" s="42"/>
      <c r="H80" s="33">
        <v>605924.68000000005</v>
      </c>
    </row>
    <row r="81" spans="1:8" ht="12.75" customHeight="1">
      <c r="A81" s="92" t="s">
        <v>102</v>
      </c>
      <c r="B81" s="1043" t="s">
        <v>662</v>
      </c>
      <c r="C81" s="1044"/>
      <c r="D81" s="45">
        <v>228568.52</v>
      </c>
      <c r="E81" s="42"/>
      <c r="F81" s="45">
        <v>0</v>
      </c>
      <c r="G81" s="42"/>
      <c r="H81" s="33">
        <v>228568.52</v>
      </c>
    </row>
    <row r="82" spans="1:8" ht="12.75" customHeight="1">
      <c r="A82" s="92" t="s">
        <v>200</v>
      </c>
      <c r="B82" s="1043" t="s">
        <v>347</v>
      </c>
      <c r="C82" s="1044"/>
      <c r="D82" s="42"/>
      <c r="E82" s="42"/>
      <c r="F82" s="45">
        <v>6311494.8700000001</v>
      </c>
      <c r="G82" s="45">
        <v>35765137.609999999</v>
      </c>
      <c r="H82" s="33">
        <v>42076632.479999997</v>
      </c>
    </row>
    <row r="83" spans="1:8" ht="12.75" customHeight="1">
      <c r="A83" s="92" t="s">
        <v>106</v>
      </c>
      <c r="B83" s="1043" t="s">
        <v>348</v>
      </c>
      <c r="C83" s="1044"/>
      <c r="D83" s="42"/>
      <c r="E83" s="42"/>
      <c r="F83" s="45">
        <v>0</v>
      </c>
      <c r="G83" s="45">
        <v>9775204.5800000001</v>
      </c>
      <c r="H83" s="33">
        <v>9775204.5800000001</v>
      </c>
    </row>
    <row r="84" spans="1:8" ht="12.75" customHeight="1">
      <c r="A84" s="92" t="s">
        <v>144</v>
      </c>
      <c r="B84" s="1043" t="s">
        <v>349</v>
      </c>
      <c r="C84" s="1044"/>
      <c r="D84" s="42"/>
      <c r="E84" s="42"/>
      <c r="F84" s="45">
        <v>0</v>
      </c>
      <c r="G84" s="45">
        <v>2985847.03</v>
      </c>
      <c r="H84" s="33">
        <v>2985847.03</v>
      </c>
    </row>
    <row r="85" spans="1:8" ht="12.75" customHeight="1">
      <c r="A85" s="92" t="s">
        <v>107</v>
      </c>
      <c r="B85" s="1043" t="s">
        <v>350</v>
      </c>
      <c r="C85" s="1044"/>
      <c r="D85" s="42"/>
      <c r="E85" s="42"/>
      <c r="F85" s="45">
        <v>353424.88</v>
      </c>
      <c r="G85" s="45">
        <v>1743879</v>
      </c>
      <c r="H85" s="33">
        <v>2097303.88</v>
      </c>
    </row>
    <row r="86" spans="1:8" ht="12.75" customHeight="1">
      <c r="A86" s="92" t="s">
        <v>166</v>
      </c>
      <c r="B86" s="1043" t="s">
        <v>351</v>
      </c>
      <c r="C86" s="1044"/>
      <c r="D86" s="42"/>
      <c r="E86" s="42"/>
      <c r="F86" s="45">
        <v>0</v>
      </c>
      <c r="G86" s="45">
        <v>0</v>
      </c>
      <c r="H86" s="33">
        <v>0</v>
      </c>
    </row>
    <row r="87" spans="1:8" ht="12.75" customHeight="1">
      <c r="A87" s="92" t="s">
        <v>353</v>
      </c>
      <c r="B87" s="1043" t="s">
        <v>354</v>
      </c>
      <c r="C87" s="1044"/>
      <c r="D87" s="45">
        <v>5914781.2000000002</v>
      </c>
      <c r="E87" s="42"/>
      <c r="F87" s="42"/>
      <c r="G87" s="42"/>
      <c r="H87" s="33">
        <v>5914781.2000000002</v>
      </c>
    </row>
    <row r="88" spans="1:8" ht="12.75" customHeight="1">
      <c r="A88" s="92" t="s">
        <v>112</v>
      </c>
      <c r="B88" s="1043" t="s">
        <v>355</v>
      </c>
      <c r="C88" s="1044"/>
      <c r="D88" s="45">
        <v>96481.98</v>
      </c>
      <c r="E88" s="42"/>
      <c r="F88" s="45">
        <v>0</v>
      </c>
      <c r="G88" s="42"/>
      <c r="H88" s="33">
        <v>96481.98</v>
      </c>
    </row>
    <row r="89" spans="1:8" ht="12.75" customHeight="1">
      <c r="A89" s="92" t="s">
        <v>113</v>
      </c>
      <c r="B89" s="1043" t="s">
        <v>356</v>
      </c>
      <c r="C89" s="1044"/>
      <c r="D89" s="45">
        <v>284145.65000000002</v>
      </c>
      <c r="E89" s="42"/>
      <c r="F89" s="45">
        <v>121776.71</v>
      </c>
      <c r="G89" s="42"/>
      <c r="H89" s="33">
        <v>405922.36</v>
      </c>
    </row>
    <row r="90" spans="1:8" ht="12.75" customHeight="1">
      <c r="A90" s="92" t="s">
        <v>209</v>
      </c>
      <c r="B90" s="1043" t="s">
        <v>357</v>
      </c>
      <c r="C90" s="1044"/>
      <c r="D90" s="45">
        <v>432003.63</v>
      </c>
      <c r="E90" s="42"/>
      <c r="F90" s="45">
        <v>0</v>
      </c>
      <c r="G90" s="42"/>
      <c r="H90" s="33">
        <v>432003.63</v>
      </c>
    </row>
    <row r="91" spans="1:8" ht="12.75" customHeight="1">
      <c r="A91" s="92" t="s">
        <v>114</v>
      </c>
      <c r="B91" s="1043" t="s">
        <v>358</v>
      </c>
      <c r="C91" s="1044"/>
      <c r="D91" s="45">
        <v>36706.71</v>
      </c>
      <c r="E91" s="42"/>
      <c r="F91" s="42"/>
      <c r="G91" s="42"/>
      <c r="H91" s="33">
        <v>36706.71</v>
      </c>
    </row>
    <row r="92" spans="1:8" ht="12.75" customHeight="1">
      <c r="A92" s="92" t="s">
        <v>182</v>
      </c>
      <c r="B92" s="1043" t="s">
        <v>359</v>
      </c>
      <c r="C92" s="1044"/>
      <c r="D92" s="45">
        <v>801653.17</v>
      </c>
      <c r="E92" s="42"/>
      <c r="F92" s="45">
        <v>0</v>
      </c>
      <c r="G92" s="42"/>
      <c r="H92" s="33">
        <v>801653.17</v>
      </c>
    </row>
    <row r="93" spans="1:8" ht="12.75" customHeight="1">
      <c r="A93" s="92" t="s">
        <v>164</v>
      </c>
      <c r="B93" s="1043" t="s">
        <v>360</v>
      </c>
      <c r="C93" s="1044"/>
      <c r="D93" s="45">
        <v>235705.16</v>
      </c>
      <c r="E93" s="42"/>
      <c r="F93" s="45">
        <v>0</v>
      </c>
      <c r="G93" s="42"/>
      <c r="H93" s="33">
        <v>235705.16</v>
      </c>
    </row>
    <row r="94" spans="1:8" ht="12.75" customHeight="1">
      <c r="A94" s="92" t="s">
        <v>120</v>
      </c>
      <c r="B94" s="1043" t="s">
        <v>361</v>
      </c>
      <c r="C94" s="1044"/>
      <c r="D94" s="45">
        <v>797388.54</v>
      </c>
      <c r="E94" s="42"/>
      <c r="F94" s="42"/>
      <c r="G94" s="42"/>
      <c r="H94" s="33">
        <v>797388.54</v>
      </c>
    </row>
    <row r="95" spans="1:8" ht="12.75" customHeight="1">
      <c r="A95" s="92" t="s">
        <v>172</v>
      </c>
      <c r="B95" s="1043" t="s">
        <v>362</v>
      </c>
      <c r="C95" s="1044"/>
      <c r="D95" s="45">
        <v>2295712.2200000002</v>
      </c>
      <c r="E95" s="42"/>
      <c r="F95" s="42"/>
      <c r="G95" s="42"/>
      <c r="H95" s="33">
        <v>2295712.2200000002</v>
      </c>
    </row>
    <row r="96" spans="1:8" ht="12.75" customHeight="1">
      <c r="A96" s="92" t="s">
        <v>161</v>
      </c>
      <c r="B96" s="1043" t="s">
        <v>363</v>
      </c>
      <c r="C96" s="1044"/>
      <c r="D96" s="45">
        <v>178141.36</v>
      </c>
      <c r="E96" s="42"/>
      <c r="F96" s="42"/>
      <c r="G96" s="42"/>
      <c r="H96" s="33">
        <v>178141.36</v>
      </c>
    </row>
    <row r="97" spans="1:8" ht="12.75" customHeight="1">
      <c r="A97" s="92" t="s">
        <v>196</v>
      </c>
      <c r="B97" s="1043" t="s">
        <v>364</v>
      </c>
      <c r="C97" s="1044"/>
      <c r="D97" s="45">
        <v>5861767.0700000003</v>
      </c>
      <c r="E97" s="42"/>
      <c r="F97" s="45">
        <v>0</v>
      </c>
      <c r="G97" s="42"/>
      <c r="H97" s="33">
        <v>5861767.0700000003</v>
      </c>
    </row>
    <row r="98" spans="1:8" ht="12.75" customHeight="1">
      <c r="A98" s="92" t="s">
        <v>365</v>
      </c>
      <c r="B98" s="1043" t="s">
        <v>366</v>
      </c>
      <c r="C98" s="1044"/>
      <c r="D98" s="45">
        <v>614299.24</v>
      </c>
      <c r="E98" s="42"/>
      <c r="F98" s="45">
        <v>0</v>
      </c>
      <c r="G98" s="42"/>
      <c r="H98" s="33">
        <v>614299.24</v>
      </c>
    </row>
    <row r="99" spans="1:8" ht="12.75" customHeight="1">
      <c r="A99" s="92" t="s">
        <v>167</v>
      </c>
      <c r="B99" s="1043" t="s">
        <v>367</v>
      </c>
      <c r="C99" s="1044"/>
      <c r="D99" s="42"/>
      <c r="E99" s="42"/>
      <c r="F99" s="45">
        <v>229052.41</v>
      </c>
      <c r="G99" s="45">
        <v>6758543.8300000001</v>
      </c>
      <c r="H99" s="33">
        <v>6987596.2400000002</v>
      </c>
    </row>
    <row r="100" spans="1:8" ht="12.75" customHeight="1">
      <c r="A100" s="92" t="s">
        <v>368</v>
      </c>
      <c r="B100" s="1043" t="s">
        <v>369</v>
      </c>
      <c r="C100" s="1044"/>
      <c r="D100" s="42"/>
      <c r="E100" s="42"/>
      <c r="F100" s="45">
        <v>0</v>
      </c>
      <c r="G100" s="45">
        <v>340946.42</v>
      </c>
      <c r="H100" s="33">
        <v>340946.42</v>
      </c>
    </row>
    <row r="101" spans="1:8" ht="12.75" customHeight="1">
      <c r="A101" s="92" t="s">
        <v>148</v>
      </c>
      <c r="B101" s="1043" t="s">
        <v>370</v>
      </c>
      <c r="C101" s="1044"/>
      <c r="D101" s="42"/>
      <c r="E101" s="42"/>
      <c r="F101" s="45">
        <v>0</v>
      </c>
      <c r="G101" s="45">
        <v>378580.26</v>
      </c>
      <c r="H101" s="33">
        <v>378580.26</v>
      </c>
    </row>
    <row r="102" spans="1:8">
      <c r="A102" s="92" t="s">
        <v>183</v>
      </c>
      <c r="B102" s="1043" t="s">
        <v>371</v>
      </c>
      <c r="C102" s="1044"/>
      <c r="D102" s="42"/>
      <c r="E102" s="42"/>
      <c r="F102" s="42"/>
      <c r="G102" s="45">
        <v>1063392.5900000001</v>
      </c>
      <c r="H102" s="33">
        <v>1063392.5900000001</v>
      </c>
    </row>
    <row r="103" spans="1:8" ht="12.75" customHeight="1">
      <c r="A103" s="92" t="s">
        <v>169</v>
      </c>
      <c r="B103" s="1043" t="s">
        <v>372</v>
      </c>
      <c r="C103" s="1044"/>
      <c r="D103" s="42"/>
      <c r="E103" s="42"/>
      <c r="F103" s="45">
        <v>0</v>
      </c>
      <c r="G103" s="45">
        <v>308724.59000000003</v>
      </c>
      <c r="H103" s="33">
        <v>308724.59000000003</v>
      </c>
    </row>
    <row r="104" spans="1:8" ht="12.75" customHeight="1">
      <c r="A104" s="92" t="s">
        <v>184</v>
      </c>
      <c r="B104" s="1043" t="s">
        <v>373</v>
      </c>
      <c r="C104" s="1044"/>
      <c r="D104" s="42"/>
      <c r="E104" s="42"/>
      <c r="F104" s="45">
        <v>37192.39</v>
      </c>
      <c r="G104" s="45">
        <v>356570.76</v>
      </c>
      <c r="H104" s="33">
        <v>393763.15</v>
      </c>
    </row>
    <row r="105" spans="1:8" ht="12.75" customHeight="1">
      <c r="A105" s="92" t="s">
        <v>374</v>
      </c>
      <c r="B105" s="1043" t="s">
        <v>375</v>
      </c>
      <c r="C105" s="1044"/>
      <c r="D105" s="42"/>
      <c r="E105" s="42"/>
      <c r="F105" s="45">
        <v>0</v>
      </c>
      <c r="G105" s="45">
        <v>4559192.6900000004</v>
      </c>
      <c r="H105" s="33">
        <v>4559192.6900000004</v>
      </c>
    </row>
    <row r="106" spans="1:8">
      <c r="A106" s="92" t="s">
        <v>143</v>
      </c>
      <c r="B106" s="1043" t="s">
        <v>376</v>
      </c>
      <c r="C106" s="1044"/>
      <c r="D106" s="42"/>
      <c r="E106" s="42"/>
      <c r="F106" s="45">
        <v>0</v>
      </c>
      <c r="G106" s="45">
        <v>3378469.49</v>
      </c>
      <c r="H106" s="33">
        <v>3378469.49</v>
      </c>
    </row>
    <row r="107" spans="1:8">
      <c r="A107" s="92" t="s">
        <v>377</v>
      </c>
      <c r="B107" s="1043" t="s">
        <v>378</v>
      </c>
      <c r="C107" s="1044"/>
      <c r="D107" s="45">
        <v>11119139.369999999</v>
      </c>
      <c r="E107" s="42"/>
      <c r="F107" s="45">
        <v>0</v>
      </c>
      <c r="G107" s="42"/>
      <c r="H107" s="33">
        <v>11119139.369999999</v>
      </c>
    </row>
    <row r="108" spans="1:8">
      <c r="A108" s="92" t="s">
        <v>130</v>
      </c>
      <c r="B108" s="1043" t="s">
        <v>379</v>
      </c>
      <c r="C108" s="1044"/>
      <c r="D108" s="45">
        <v>1181918.07</v>
      </c>
      <c r="E108" s="42"/>
      <c r="F108" s="45">
        <v>0</v>
      </c>
      <c r="G108" s="42"/>
      <c r="H108" s="33">
        <v>1181918.07</v>
      </c>
    </row>
    <row r="109" spans="1:8">
      <c r="A109" s="92" t="s">
        <v>133</v>
      </c>
      <c r="B109" s="1043" t="s">
        <v>380</v>
      </c>
      <c r="C109" s="1044"/>
      <c r="D109" s="45">
        <v>6550503.9000000004</v>
      </c>
      <c r="E109" s="42"/>
      <c r="F109" s="45">
        <v>0</v>
      </c>
      <c r="G109" s="42"/>
      <c r="H109" s="33">
        <v>6550503.9000000004</v>
      </c>
    </row>
    <row r="110" spans="1:8">
      <c r="A110" s="92" t="s">
        <v>193</v>
      </c>
      <c r="B110" s="1043" t="s">
        <v>286</v>
      </c>
      <c r="C110" s="1044"/>
      <c r="D110" s="45">
        <v>2978661.54</v>
      </c>
      <c r="E110" s="42"/>
      <c r="F110" s="45">
        <v>0</v>
      </c>
      <c r="G110" s="42"/>
      <c r="H110" s="33">
        <v>2978661.54</v>
      </c>
    </row>
    <row r="111" spans="1:8">
      <c r="A111" s="92" t="s">
        <v>195</v>
      </c>
      <c r="B111" s="1043" t="s">
        <v>286</v>
      </c>
      <c r="C111" s="1044"/>
      <c r="D111" s="42"/>
      <c r="E111" s="42"/>
      <c r="F111" s="45">
        <v>0</v>
      </c>
      <c r="G111" s="45">
        <v>687451.19</v>
      </c>
      <c r="H111" s="33">
        <v>687451.19</v>
      </c>
    </row>
  </sheetData>
  <mergeCells count="110">
    <mergeCell ref="B35:C35"/>
    <mergeCell ref="B36:C36"/>
    <mergeCell ref="B37:C37"/>
    <mergeCell ref="B38:C38"/>
    <mergeCell ref="B39:C39"/>
    <mergeCell ref="B14:C14"/>
    <mergeCell ref="B15:C15"/>
    <mergeCell ref="B16:C16"/>
    <mergeCell ref="B17:C17"/>
    <mergeCell ref="B18:C18"/>
    <mergeCell ref="B111:C111"/>
    <mergeCell ref="B19:C19"/>
    <mergeCell ref="B27:C27"/>
    <mergeCell ref="B28:C28"/>
    <mergeCell ref="B29:C29"/>
    <mergeCell ref="B30:C30"/>
    <mergeCell ref="B31:C31"/>
    <mergeCell ref="B32:C32"/>
    <mergeCell ref="B104:C104"/>
    <mergeCell ref="B105:C105"/>
    <mergeCell ref="B99:C99"/>
    <mergeCell ref="B100:C100"/>
    <mergeCell ref="B101:C101"/>
    <mergeCell ref="B102:C102"/>
    <mergeCell ref="B103:C103"/>
    <mergeCell ref="B97:C97"/>
    <mergeCell ref="B98:C98"/>
    <mergeCell ref="B33:C33"/>
    <mergeCell ref="B34:C34"/>
    <mergeCell ref="B45:C45"/>
    <mergeCell ref="B46:C46"/>
    <mergeCell ref="B47:C47"/>
    <mergeCell ref="B71:C71"/>
    <mergeCell ref="B72:C72"/>
    <mergeCell ref="A8:A9"/>
    <mergeCell ref="B8:B9"/>
    <mergeCell ref="B40:C40"/>
    <mergeCell ref="B41:C41"/>
    <mergeCell ref="B42:C42"/>
    <mergeCell ref="B43:C43"/>
    <mergeCell ref="B44:C44"/>
    <mergeCell ref="A1:I1"/>
    <mergeCell ref="A3:I3"/>
    <mergeCell ref="A4:I4"/>
    <mergeCell ref="A5:I5"/>
    <mergeCell ref="A6:I6"/>
    <mergeCell ref="D8:H8"/>
    <mergeCell ref="B26:C26"/>
    <mergeCell ref="B20:C20"/>
    <mergeCell ref="B21:C21"/>
    <mergeCell ref="B22:C22"/>
    <mergeCell ref="B23:C23"/>
    <mergeCell ref="B24:C24"/>
    <mergeCell ref="B25:C25"/>
    <mergeCell ref="B10:C10"/>
    <mergeCell ref="B11:C11"/>
    <mergeCell ref="B12:C12"/>
    <mergeCell ref="B13:C13"/>
    <mergeCell ref="B48:C48"/>
    <mergeCell ref="B49:C49"/>
    <mergeCell ref="B50:C50"/>
    <mergeCell ref="B51:C51"/>
    <mergeCell ref="B52:C52"/>
    <mergeCell ref="B53:C53"/>
    <mergeCell ref="B54:C54"/>
    <mergeCell ref="B59:C59"/>
    <mergeCell ref="B67:C67"/>
    <mergeCell ref="B66:C66"/>
    <mergeCell ref="B65:C65"/>
    <mergeCell ref="B60:C60"/>
    <mergeCell ref="B61:C61"/>
    <mergeCell ref="B62:C62"/>
    <mergeCell ref="B63:C63"/>
    <mergeCell ref="B64:C64"/>
    <mergeCell ref="B55:C55"/>
    <mergeCell ref="B56:C56"/>
    <mergeCell ref="B57:C57"/>
    <mergeCell ref="B58:C58"/>
    <mergeCell ref="B110:C110"/>
    <mergeCell ref="B106:C106"/>
    <mergeCell ref="B107:C107"/>
    <mergeCell ref="B108:C108"/>
    <mergeCell ref="B109:C109"/>
    <mergeCell ref="B80:C80"/>
    <mergeCell ref="B81:C81"/>
    <mergeCell ref="B87:C87"/>
    <mergeCell ref="B88:C88"/>
    <mergeCell ref="B82:C82"/>
    <mergeCell ref="B83:C83"/>
    <mergeCell ref="B84:C84"/>
    <mergeCell ref="B85:C85"/>
    <mergeCell ref="B86:C86"/>
    <mergeCell ref="B96:C96"/>
    <mergeCell ref="B94:C94"/>
    <mergeCell ref="B95:C95"/>
    <mergeCell ref="B91:C91"/>
    <mergeCell ref="B92:C92"/>
    <mergeCell ref="B93:C93"/>
    <mergeCell ref="B89:C89"/>
    <mergeCell ref="B90:C90"/>
    <mergeCell ref="B73:C73"/>
    <mergeCell ref="B74:C74"/>
    <mergeCell ref="B75:C75"/>
    <mergeCell ref="B76:C76"/>
    <mergeCell ref="B77:C77"/>
    <mergeCell ref="B78:C78"/>
    <mergeCell ref="B79:C79"/>
    <mergeCell ref="B68:C68"/>
    <mergeCell ref="B69:C69"/>
    <mergeCell ref="B70:C7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156"/>
  <sheetViews>
    <sheetView showGridLines="0" topLeftCell="A10" workbookViewId="0">
      <selection activeCell="C12" sqref="C12"/>
    </sheetView>
  </sheetViews>
  <sheetFormatPr defaultRowHeight="12.75"/>
  <cols>
    <col min="1" max="1" width="21.85546875" style="62" bestFit="1" customWidth="1"/>
    <col min="2" max="2" width="14.5703125" style="62" bestFit="1" customWidth="1"/>
    <col min="3" max="3" width="13.5703125" style="62" bestFit="1" customWidth="1"/>
    <col min="4" max="5" width="14.5703125" style="62" bestFit="1" customWidth="1"/>
    <col min="6" max="6" width="13.5703125" style="62" bestFit="1" customWidth="1"/>
    <col min="7" max="9" width="9.85546875" style="62" bestFit="1" customWidth="1"/>
    <col min="10" max="10" width="12.85546875" style="62" customWidth="1"/>
    <col min="11" max="16384" width="9.140625" style="62"/>
  </cols>
  <sheetData>
    <row r="1" spans="1:11">
      <c r="A1" s="1038" t="s">
        <v>729</v>
      </c>
      <c r="B1" s="1040" t="s">
        <v>728</v>
      </c>
      <c r="C1" s="1041"/>
      <c r="D1" s="1041"/>
      <c r="E1" s="1041"/>
      <c r="F1" s="1041"/>
      <c r="G1" s="1041"/>
      <c r="H1" s="1041"/>
      <c r="I1" s="1042"/>
      <c r="J1" s="1061" t="s">
        <v>392</v>
      </c>
    </row>
    <row r="2" spans="1:11">
      <c r="A2" s="1039"/>
      <c r="B2" s="63" t="s">
        <v>55</v>
      </c>
      <c r="C2" s="63" t="s">
        <v>0</v>
      </c>
      <c r="D2" s="63" t="s">
        <v>142</v>
      </c>
      <c r="E2" s="63" t="s">
        <v>727</v>
      </c>
      <c r="F2" s="63" t="s">
        <v>675</v>
      </c>
      <c r="G2" s="63" t="s">
        <v>726</v>
      </c>
      <c r="H2" s="63" t="s">
        <v>725</v>
      </c>
      <c r="I2" s="75" t="s">
        <v>724</v>
      </c>
      <c r="J2" s="1061"/>
    </row>
    <row r="3" spans="1:11">
      <c r="A3" s="77" t="s">
        <v>4</v>
      </c>
      <c r="B3" s="83">
        <f>publ_fin!D10</f>
        <v>0</v>
      </c>
      <c r="C3" s="83">
        <f>publ_fin!E10</f>
        <v>1001495</v>
      </c>
      <c r="D3" s="83">
        <f>publ_fin!G10</f>
        <v>0</v>
      </c>
      <c r="E3" s="83">
        <f>SUM(B3:D3)</f>
        <v>1001495</v>
      </c>
      <c r="F3" s="83">
        <f>publ_fin!F10</f>
        <v>0</v>
      </c>
      <c r="G3" s="42"/>
      <c r="H3" s="80">
        <v>0</v>
      </c>
      <c r="I3" s="81">
        <v>0</v>
      </c>
      <c r="J3" s="62">
        <f t="shared" ref="J3:J34" si="0">IFERROR(E3/(F3+E3),"")</f>
        <v>1</v>
      </c>
    </row>
    <row r="4" spans="1:11">
      <c r="A4" s="77" t="s">
        <v>170</v>
      </c>
      <c r="B4" s="83">
        <f>publ_fin!D11</f>
        <v>0</v>
      </c>
      <c r="C4" s="83">
        <f>publ_fin!E11</f>
        <v>0</v>
      </c>
      <c r="D4" s="83">
        <f>publ_fin!G11</f>
        <v>0</v>
      </c>
      <c r="E4" s="83">
        <f t="shared" ref="E4:E34" si="1">SUM(B4:D4)</f>
        <v>0</v>
      </c>
      <c r="F4" s="83">
        <f>publ_fin!F11</f>
        <v>0</v>
      </c>
      <c r="G4" s="42"/>
      <c r="H4" s="42"/>
      <c r="I4" s="81">
        <v>26355.15</v>
      </c>
      <c r="J4" s="62" t="str">
        <f>IFERROR(E4/(F4+E4),"")</f>
        <v/>
      </c>
    </row>
    <row r="5" spans="1:11">
      <c r="A5" s="77" t="s">
        <v>6</v>
      </c>
      <c r="B5" s="83">
        <f>publ_fin!D12</f>
        <v>0</v>
      </c>
      <c r="C5" s="83">
        <f>publ_fin!E12</f>
        <v>2393420.11</v>
      </c>
      <c r="D5" s="83">
        <f>publ_fin!G12</f>
        <v>0</v>
      </c>
      <c r="E5" s="83">
        <f t="shared" si="1"/>
        <v>2393420.11</v>
      </c>
      <c r="F5" s="83">
        <f>publ_fin!F12</f>
        <v>0</v>
      </c>
      <c r="G5" s="42"/>
      <c r="H5" s="80">
        <v>0</v>
      </c>
      <c r="I5" s="81">
        <v>0</v>
      </c>
      <c r="J5" s="62">
        <f t="shared" si="0"/>
        <v>1</v>
      </c>
    </row>
    <row r="6" spans="1:11">
      <c r="A6" s="77" t="s">
        <v>225</v>
      </c>
      <c r="B6" s="83">
        <f>publ_fin!D13</f>
        <v>0</v>
      </c>
      <c r="C6" s="83">
        <f>publ_fin!E13</f>
        <v>5090153.55</v>
      </c>
      <c r="D6" s="83">
        <f>publ_fin!G13</f>
        <v>0</v>
      </c>
      <c r="E6" s="83">
        <f t="shared" si="1"/>
        <v>5090153.55</v>
      </c>
      <c r="F6" s="83">
        <f>publ_fin!F13</f>
        <v>898267.85</v>
      </c>
      <c r="G6" s="42"/>
      <c r="H6" s="42"/>
      <c r="I6" s="81">
        <v>0</v>
      </c>
      <c r="J6" s="62">
        <f t="shared" si="0"/>
        <v>0.84999922517142834</v>
      </c>
    </row>
    <row r="7" spans="1:11">
      <c r="A7" s="77" t="s">
        <v>227</v>
      </c>
      <c r="B7" s="83">
        <f>publ_fin!D14</f>
        <v>0</v>
      </c>
      <c r="C7" s="83">
        <f>publ_fin!E14</f>
        <v>8849476.75</v>
      </c>
      <c r="D7" s="83">
        <f>publ_fin!G14</f>
        <v>0</v>
      </c>
      <c r="E7" s="83">
        <f t="shared" si="1"/>
        <v>8849476.75</v>
      </c>
      <c r="F7" s="83">
        <f>publ_fin!F14</f>
        <v>0</v>
      </c>
      <c r="G7" s="42"/>
      <c r="H7" s="42"/>
      <c r="I7" s="81">
        <v>0</v>
      </c>
      <c r="J7" s="62">
        <f t="shared" si="0"/>
        <v>1</v>
      </c>
    </row>
    <row r="8" spans="1:11">
      <c r="A8" s="77" t="s">
        <v>10</v>
      </c>
      <c r="B8" s="83">
        <f>publ_fin!D15</f>
        <v>0</v>
      </c>
      <c r="C8" s="83">
        <f>publ_fin!E15</f>
        <v>24158401.16</v>
      </c>
      <c r="D8" s="83">
        <f>publ_fin!G15</f>
        <v>0</v>
      </c>
      <c r="E8" s="83">
        <f t="shared" si="1"/>
        <v>24158401.16</v>
      </c>
      <c r="F8" s="83">
        <f>publ_fin!F15</f>
        <v>4174682.47</v>
      </c>
      <c r="G8" s="42"/>
      <c r="H8" s="42"/>
      <c r="I8" s="81">
        <v>0</v>
      </c>
      <c r="J8" s="62">
        <f t="shared" si="0"/>
        <v>0.85265696722189077</v>
      </c>
    </row>
    <row r="9" spans="1:11">
      <c r="A9" s="77" t="s">
        <v>11</v>
      </c>
      <c r="B9" s="83">
        <f>publ_fin!D16</f>
        <v>0</v>
      </c>
      <c r="C9" s="83">
        <f>publ_fin!E16</f>
        <v>4203764.5</v>
      </c>
      <c r="D9" s="83">
        <f>publ_fin!G16</f>
        <v>0</v>
      </c>
      <c r="E9" s="83">
        <f t="shared" si="1"/>
        <v>4203764.5</v>
      </c>
      <c r="F9" s="83">
        <f>publ_fin!F16</f>
        <v>741842.65</v>
      </c>
      <c r="G9" s="42"/>
      <c r="H9" s="80">
        <v>0</v>
      </c>
      <c r="I9" s="81">
        <v>0</v>
      </c>
      <c r="J9" s="62">
        <f t="shared" si="0"/>
        <v>0.84999968103006318</v>
      </c>
    </row>
    <row r="10" spans="1:11">
      <c r="A10" s="77" t="s">
        <v>175</v>
      </c>
      <c r="B10" s="83">
        <f>publ_fin!D17</f>
        <v>0</v>
      </c>
      <c r="C10" s="83">
        <f>publ_fin!E17</f>
        <v>9112799.1300000008</v>
      </c>
      <c r="D10" s="83">
        <f>publ_fin!G17</f>
        <v>0</v>
      </c>
      <c r="E10" s="83">
        <f t="shared" si="1"/>
        <v>9112799.1300000008</v>
      </c>
      <c r="F10" s="83">
        <f>publ_fin!F17</f>
        <v>1608139.95</v>
      </c>
      <c r="G10" s="42"/>
      <c r="H10" s="42"/>
      <c r="I10" s="81">
        <v>0</v>
      </c>
      <c r="J10" s="62">
        <f t="shared" si="0"/>
        <v>0.85000008506717495</v>
      </c>
    </row>
    <row r="11" spans="1:11">
      <c r="A11" s="77" t="s">
        <v>188</v>
      </c>
      <c r="B11" s="83">
        <f>publ_fin!D18</f>
        <v>0</v>
      </c>
      <c r="C11" s="83">
        <f>publ_fin!E18</f>
        <v>3334942.73</v>
      </c>
      <c r="D11" s="83">
        <f>publ_fin!G18</f>
        <v>0</v>
      </c>
      <c r="E11" s="83">
        <f t="shared" si="1"/>
        <v>3334942.73</v>
      </c>
      <c r="F11" s="83">
        <f>publ_fin!F18</f>
        <v>588521.04</v>
      </c>
      <c r="G11" s="42"/>
      <c r="H11" s="42"/>
      <c r="I11" s="81">
        <v>0</v>
      </c>
      <c r="J11" s="62">
        <f t="shared" si="0"/>
        <v>0.84999962418411723</v>
      </c>
      <c r="K11" s="76"/>
    </row>
    <row r="12" spans="1:11">
      <c r="A12" s="77" t="s">
        <v>220</v>
      </c>
      <c r="B12" s="83">
        <f>publ_fin!D19</f>
        <v>0</v>
      </c>
      <c r="C12" s="83">
        <f>publ_fin!E19</f>
        <v>0</v>
      </c>
      <c r="D12" s="83">
        <f>publ_fin!G19</f>
        <v>0</v>
      </c>
      <c r="E12" s="83">
        <f t="shared" si="1"/>
        <v>0</v>
      </c>
      <c r="F12" s="83">
        <f>publ_fin!F19</f>
        <v>0</v>
      </c>
      <c r="G12" s="42"/>
      <c r="H12" s="80">
        <v>1393546.48</v>
      </c>
      <c r="I12" s="81">
        <v>11819.76</v>
      </c>
      <c r="J12" s="62" t="str">
        <f t="shared" si="0"/>
        <v/>
      </c>
    </row>
    <row r="13" spans="1:11">
      <c r="A13" s="77" t="s">
        <v>187</v>
      </c>
      <c r="B13" s="83">
        <f>publ_fin!D20</f>
        <v>0</v>
      </c>
      <c r="C13" s="83">
        <f>publ_fin!E20</f>
        <v>5441400.2300000004</v>
      </c>
      <c r="D13" s="83">
        <f>publ_fin!G20</f>
        <v>0</v>
      </c>
      <c r="E13" s="83">
        <f t="shared" si="1"/>
        <v>5441400.2300000004</v>
      </c>
      <c r="F13" s="83">
        <f>publ_fin!F20</f>
        <v>0</v>
      </c>
      <c r="G13" s="42"/>
      <c r="H13" s="42"/>
      <c r="I13" s="81">
        <v>0</v>
      </c>
      <c r="J13" s="62">
        <f t="shared" si="0"/>
        <v>1</v>
      </c>
      <c r="K13" s="76"/>
    </row>
    <row r="14" spans="1:11">
      <c r="A14" s="77" t="s">
        <v>186</v>
      </c>
      <c r="B14" s="83">
        <f>publ_fin!D21</f>
        <v>0</v>
      </c>
      <c r="C14" s="83">
        <f>publ_fin!E21</f>
        <v>0</v>
      </c>
      <c r="D14" s="83">
        <f>publ_fin!G21</f>
        <v>0</v>
      </c>
      <c r="E14" s="83">
        <f t="shared" si="1"/>
        <v>0</v>
      </c>
      <c r="F14" s="83">
        <f>publ_fin!F21</f>
        <v>0</v>
      </c>
      <c r="G14" s="42"/>
      <c r="H14" s="42"/>
      <c r="I14" s="81">
        <v>0</v>
      </c>
      <c r="J14" s="62" t="str">
        <f t="shared" si="0"/>
        <v/>
      </c>
    </row>
    <row r="15" spans="1:11">
      <c r="A15" s="77" t="s">
        <v>165</v>
      </c>
      <c r="B15" s="83">
        <f>publ_fin!D22</f>
        <v>0</v>
      </c>
      <c r="C15" s="83">
        <f>publ_fin!E22</f>
        <v>16956067.879999999</v>
      </c>
      <c r="D15" s="83">
        <f>publ_fin!G22</f>
        <v>0</v>
      </c>
      <c r="E15" s="83">
        <f t="shared" si="1"/>
        <v>16956067.879999999</v>
      </c>
      <c r="F15" s="83">
        <f>publ_fin!F22</f>
        <v>2992247.77</v>
      </c>
      <c r="G15" s="42"/>
      <c r="H15" s="42"/>
      <c r="I15" s="81">
        <v>0</v>
      </c>
      <c r="J15" s="62">
        <f t="shared" si="0"/>
        <v>0.84999997882026701</v>
      </c>
    </row>
    <row r="16" spans="1:11">
      <c r="A16" s="77" t="s">
        <v>179</v>
      </c>
      <c r="B16" s="83">
        <f>publ_fin!D23</f>
        <v>0</v>
      </c>
      <c r="C16" s="83">
        <f>publ_fin!E23</f>
        <v>0</v>
      </c>
      <c r="D16" s="83">
        <f>publ_fin!G23</f>
        <v>0</v>
      </c>
      <c r="E16" s="83">
        <f t="shared" si="1"/>
        <v>0</v>
      </c>
      <c r="F16" s="83">
        <f>publ_fin!F23</f>
        <v>0</v>
      </c>
      <c r="G16" s="42"/>
      <c r="H16" s="42"/>
      <c r="I16" s="81">
        <v>0</v>
      </c>
      <c r="J16" s="62" t="str">
        <f t="shared" si="0"/>
        <v/>
      </c>
    </row>
    <row r="17" spans="1:10">
      <c r="A17" s="77" t="s">
        <v>18</v>
      </c>
      <c r="B17" s="83">
        <f>publ_fin!D24</f>
        <v>0</v>
      </c>
      <c r="C17" s="83">
        <f>publ_fin!E24</f>
        <v>0</v>
      </c>
      <c r="D17" s="83">
        <f>publ_fin!G24</f>
        <v>0</v>
      </c>
      <c r="E17" s="83">
        <f t="shared" si="1"/>
        <v>0</v>
      </c>
      <c r="F17" s="83">
        <f>publ_fin!F24</f>
        <v>0</v>
      </c>
      <c r="G17" s="42"/>
      <c r="H17" s="80">
        <v>0</v>
      </c>
      <c r="I17" s="81">
        <v>0</v>
      </c>
      <c r="J17" s="62" t="str">
        <f t="shared" si="0"/>
        <v/>
      </c>
    </row>
    <row r="18" spans="1:10">
      <c r="A18" s="77" t="s">
        <v>19</v>
      </c>
      <c r="B18" s="83">
        <f>publ_fin!D25</f>
        <v>0</v>
      </c>
      <c r="C18" s="83">
        <f>publ_fin!E25</f>
        <v>0</v>
      </c>
      <c r="D18" s="83">
        <f>publ_fin!G25</f>
        <v>0</v>
      </c>
      <c r="E18" s="83">
        <f t="shared" si="1"/>
        <v>0</v>
      </c>
      <c r="F18" s="83">
        <f>publ_fin!F25</f>
        <v>0</v>
      </c>
      <c r="G18" s="42"/>
      <c r="H18" s="42"/>
      <c r="I18" s="81">
        <v>0</v>
      </c>
      <c r="J18" s="62" t="str">
        <f t="shared" si="0"/>
        <v/>
      </c>
    </row>
    <row r="19" spans="1:10">
      <c r="A19" s="77" t="s">
        <v>20</v>
      </c>
      <c r="B19" s="83">
        <f>publ_fin!D26</f>
        <v>0</v>
      </c>
      <c r="C19" s="83">
        <f>publ_fin!E26</f>
        <v>973356.13</v>
      </c>
      <c r="D19" s="83">
        <f>publ_fin!G26</f>
        <v>0</v>
      </c>
      <c r="E19" s="83">
        <f t="shared" si="1"/>
        <v>973356.13</v>
      </c>
      <c r="F19" s="83">
        <f>publ_fin!F26</f>
        <v>0</v>
      </c>
      <c r="G19" s="42"/>
      <c r="H19" s="80">
        <v>0</v>
      </c>
      <c r="I19" s="81">
        <v>0</v>
      </c>
      <c r="J19" s="62">
        <f t="shared" si="0"/>
        <v>1</v>
      </c>
    </row>
    <row r="20" spans="1:10">
      <c r="A20" s="77" t="s">
        <v>238</v>
      </c>
      <c r="B20" s="83">
        <f>publ_fin!D27</f>
        <v>0</v>
      </c>
      <c r="C20" s="83">
        <f>publ_fin!E27</f>
        <v>3584300.4</v>
      </c>
      <c r="D20" s="83">
        <f>publ_fin!G27</f>
        <v>0</v>
      </c>
      <c r="E20" s="83">
        <f t="shared" si="1"/>
        <v>3584300.4</v>
      </c>
      <c r="F20" s="83">
        <f>publ_fin!F27</f>
        <v>632523.6</v>
      </c>
      <c r="G20" s="42"/>
      <c r="H20" s="42"/>
      <c r="I20" s="81">
        <v>0</v>
      </c>
      <c r="J20" s="62">
        <f t="shared" si="0"/>
        <v>0.85</v>
      </c>
    </row>
    <row r="21" spans="1:10">
      <c r="A21" s="77" t="s">
        <v>22</v>
      </c>
      <c r="B21" s="83">
        <f>publ_fin!D28</f>
        <v>0</v>
      </c>
      <c r="C21" s="83">
        <f>publ_fin!E28</f>
        <v>5712240.5099999998</v>
      </c>
      <c r="D21" s="83">
        <f>publ_fin!G28</f>
        <v>0</v>
      </c>
      <c r="E21" s="83">
        <f t="shared" si="1"/>
        <v>5712240.5099999998</v>
      </c>
      <c r="F21" s="83">
        <f>publ_fin!F28</f>
        <v>0</v>
      </c>
      <c r="G21" s="42"/>
      <c r="H21" s="80">
        <v>0</v>
      </c>
      <c r="I21" s="81">
        <v>0</v>
      </c>
      <c r="J21" s="62">
        <f t="shared" si="0"/>
        <v>1</v>
      </c>
    </row>
    <row r="22" spans="1:10">
      <c r="A22" s="77" t="s">
        <v>23</v>
      </c>
      <c r="B22" s="83">
        <f>publ_fin!D29</f>
        <v>0</v>
      </c>
      <c r="C22" s="83">
        <f>publ_fin!E29</f>
        <v>21713962.399999999</v>
      </c>
      <c r="D22" s="83">
        <f>publ_fin!G29</f>
        <v>0</v>
      </c>
      <c r="E22" s="83">
        <f t="shared" si="1"/>
        <v>21713962.399999999</v>
      </c>
      <c r="F22" s="83">
        <f>publ_fin!F29</f>
        <v>557599.77</v>
      </c>
      <c r="G22" s="42"/>
      <c r="H22" s="80">
        <v>0</v>
      </c>
      <c r="I22" s="81">
        <v>0</v>
      </c>
      <c r="J22" s="62">
        <f t="shared" si="0"/>
        <v>0.97496359861316362</v>
      </c>
    </row>
    <row r="23" spans="1:10">
      <c r="A23" s="77" t="s">
        <v>25</v>
      </c>
      <c r="B23" s="83">
        <f>publ_fin!D30</f>
        <v>0</v>
      </c>
      <c r="C23" s="83">
        <f>publ_fin!E30</f>
        <v>69881818.060000002</v>
      </c>
      <c r="D23" s="83">
        <f>publ_fin!G30</f>
        <v>0</v>
      </c>
      <c r="E23" s="83">
        <f t="shared" si="1"/>
        <v>69881818.060000002</v>
      </c>
      <c r="F23" s="83">
        <f>publ_fin!F30</f>
        <v>5929070.2999999998</v>
      </c>
      <c r="G23" s="42"/>
      <c r="H23" s="80">
        <v>0</v>
      </c>
      <c r="I23" s="81">
        <v>0</v>
      </c>
      <c r="J23" s="62">
        <f t="shared" si="0"/>
        <v>0.92179130955642063</v>
      </c>
    </row>
    <row r="24" spans="1:10">
      <c r="A24" s="77" t="s">
        <v>26</v>
      </c>
      <c r="B24" s="83">
        <f>publ_fin!D31</f>
        <v>0</v>
      </c>
      <c r="C24" s="83">
        <f>publ_fin!E31</f>
        <v>1965253.64</v>
      </c>
      <c r="D24" s="83">
        <f>publ_fin!G31</f>
        <v>0</v>
      </c>
      <c r="E24" s="83">
        <f t="shared" si="1"/>
        <v>1965253.64</v>
      </c>
      <c r="F24" s="83">
        <f>publ_fin!F31</f>
        <v>0</v>
      </c>
      <c r="G24" s="42"/>
      <c r="H24" s="42"/>
      <c r="I24" s="81">
        <v>0</v>
      </c>
      <c r="J24" s="62">
        <f t="shared" si="0"/>
        <v>1</v>
      </c>
    </row>
    <row r="25" spans="1:10">
      <c r="A25" s="77" t="s">
        <v>28</v>
      </c>
      <c r="B25" s="83">
        <f>publ_fin!D32</f>
        <v>0</v>
      </c>
      <c r="C25" s="83">
        <f>publ_fin!E32</f>
        <v>3070747.46</v>
      </c>
      <c r="D25" s="83">
        <f>publ_fin!G32</f>
        <v>0</v>
      </c>
      <c r="E25" s="83">
        <f t="shared" si="1"/>
        <v>3070747.46</v>
      </c>
      <c r="F25" s="83">
        <f>publ_fin!F32</f>
        <v>937015.54</v>
      </c>
      <c r="G25" s="42"/>
      <c r="H25" s="42"/>
      <c r="I25" s="81">
        <v>0</v>
      </c>
      <c r="J25" s="62">
        <f t="shared" si="0"/>
        <v>0.76619986261662676</v>
      </c>
    </row>
    <row r="26" spans="1:10">
      <c r="A26" s="77" t="s">
        <v>204</v>
      </c>
      <c r="B26" s="83">
        <f>publ_fin!D33</f>
        <v>0</v>
      </c>
      <c r="C26" s="83">
        <f>publ_fin!E33</f>
        <v>3000000.4</v>
      </c>
      <c r="D26" s="83">
        <f>publ_fin!G33</f>
        <v>0</v>
      </c>
      <c r="E26" s="83">
        <f t="shared" si="1"/>
        <v>3000000.4</v>
      </c>
      <c r="F26" s="83">
        <f>publ_fin!F33</f>
        <v>0</v>
      </c>
      <c r="G26" s="42"/>
      <c r="H26" s="42"/>
      <c r="I26" s="81">
        <v>0</v>
      </c>
      <c r="J26" s="62">
        <f t="shared" si="0"/>
        <v>1</v>
      </c>
    </row>
    <row r="27" spans="1:10">
      <c r="A27" s="77" t="s">
        <v>243</v>
      </c>
      <c r="B27" s="83">
        <f>publ_fin!D34</f>
        <v>0</v>
      </c>
      <c r="C27" s="83">
        <f>publ_fin!E34</f>
        <v>9008226.1099999994</v>
      </c>
      <c r="D27" s="83">
        <f>publ_fin!G34</f>
        <v>0</v>
      </c>
      <c r="E27" s="83">
        <f t="shared" si="1"/>
        <v>9008226.1099999994</v>
      </c>
      <c r="F27" s="83">
        <f>publ_fin!F34</f>
        <v>1589685.72</v>
      </c>
      <c r="G27" s="42"/>
      <c r="H27" s="42"/>
      <c r="I27" s="81">
        <v>9820302.0800000001</v>
      </c>
      <c r="J27" s="62">
        <f t="shared" si="0"/>
        <v>0.85000009950073341</v>
      </c>
    </row>
    <row r="28" spans="1:10">
      <c r="A28" s="77" t="s">
        <v>171</v>
      </c>
      <c r="B28" s="83">
        <f>publ_fin!D35</f>
        <v>0</v>
      </c>
      <c r="C28" s="83">
        <f>publ_fin!E35</f>
        <v>519738.32</v>
      </c>
      <c r="D28" s="83">
        <f>publ_fin!G35</f>
        <v>0</v>
      </c>
      <c r="E28" s="83">
        <f t="shared" si="1"/>
        <v>519738.32</v>
      </c>
      <c r="F28" s="83">
        <f>publ_fin!F35</f>
        <v>91719.44</v>
      </c>
      <c r="G28" s="42"/>
      <c r="H28" s="42"/>
      <c r="I28" s="81">
        <v>0</v>
      </c>
      <c r="J28" s="62">
        <f t="shared" si="0"/>
        <v>0.84999873090170608</v>
      </c>
    </row>
    <row r="29" spans="1:10">
      <c r="A29" s="77" t="s">
        <v>246</v>
      </c>
      <c r="B29" s="83">
        <f>publ_fin!D36</f>
        <v>0</v>
      </c>
      <c r="C29" s="83">
        <f>publ_fin!E36</f>
        <v>5685350.5300000003</v>
      </c>
      <c r="D29" s="83">
        <f>publ_fin!G36</f>
        <v>0</v>
      </c>
      <c r="E29" s="83">
        <f t="shared" si="1"/>
        <v>5685350.5300000003</v>
      </c>
      <c r="F29" s="83">
        <f>publ_fin!F36</f>
        <v>1003297.69</v>
      </c>
      <c r="G29" s="42"/>
      <c r="H29" s="42"/>
      <c r="I29" s="81">
        <v>1065627.27</v>
      </c>
      <c r="J29" s="62">
        <f t="shared" si="0"/>
        <v>0.84999993167528243</v>
      </c>
    </row>
    <row r="30" spans="1:10">
      <c r="A30" s="77" t="s">
        <v>248</v>
      </c>
      <c r="B30" s="83">
        <f>publ_fin!D37</f>
        <v>0</v>
      </c>
      <c r="C30" s="83">
        <f>publ_fin!E37</f>
        <v>1970593.54</v>
      </c>
      <c r="D30" s="83">
        <f>publ_fin!G37</f>
        <v>0</v>
      </c>
      <c r="E30" s="83">
        <f t="shared" si="1"/>
        <v>1970593.54</v>
      </c>
      <c r="F30" s="83">
        <f>publ_fin!F37</f>
        <v>347752.34</v>
      </c>
      <c r="G30" s="42"/>
      <c r="H30" s="42"/>
      <c r="I30" s="81">
        <v>0</v>
      </c>
      <c r="J30" s="62">
        <f t="shared" si="0"/>
        <v>0.84999980244535389</v>
      </c>
    </row>
    <row r="31" spans="1:10">
      <c r="A31" s="77" t="s">
        <v>384</v>
      </c>
      <c r="B31" s="83">
        <f>publ_fin!D38</f>
        <v>0</v>
      </c>
      <c r="C31" s="83">
        <f>publ_fin!E38</f>
        <v>48697755.119999997</v>
      </c>
      <c r="D31" s="83">
        <f>publ_fin!G38</f>
        <v>0</v>
      </c>
      <c r="E31" s="83">
        <f t="shared" si="1"/>
        <v>48697755.119999997</v>
      </c>
      <c r="F31" s="83">
        <f>publ_fin!F38</f>
        <v>11806031.210000001</v>
      </c>
      <c r="G31" s="42"/>
      <c r="H31" s="42"/>
      <c r="I31" s="81">
        <v>3000000.4</v>
      </c>
      <c r="J31" s="62">
        <f t="shared" si="0"/>
        <v>0.80487120019881897</v>
      </c>
    </row>
    <row r="32" spans="1:10">
      <c r="A32" s="77" t="s">
        <v>31</v>
      </c>
      <c r="B32" s="83">
        <f>publ_fin!D39</f>
        <v>0</v>
      </c>
      <c r="C32" s="83">
        <f>publ_fin!E39</f>
        <v>0</v>
      </c>
      <c r="D32" s="83">
        <f>publ_fin!G39</f>
        <v>0</v>
      </c>
      <c r="E32" s="83">
        <f t="shared" si="1"/>
        <v>0</v>
      </c>
      <c r="F32" s="83">
        <f>publ_fin!F39</f>
        <v>0</v>
      </c>
      <c r="G32" s="42"/>
      <c r="H32" s="42"/>
      <c r="I32" s="81">
        <v>8740000.2599999998</v>
      </c>
      <c r="J32" s="62" t="str">
        <f t="shared" si="0"/>
        <v/>
      </c>
    </row>
    <row r="33" spans="1:11">
      <c r="A33" s="77" t="s">
        <v>251</v>
      </c>
      <c r="B33" s="83">
        <f>publ_fin!D40</f>
        <v>0</v>
      </c>
      <c r="C33" s="83">
        <f>publ_fin!E40</f>
        <v>849999.97</v>
      </c>
      <c r="D33" s="83">
        <f>publ_fin!G40</f>
        <v>0</v>
      </c>
      <c r="E33" s="83">
        <f t="shared" si="1"/>
        <v>849999.97</v>
      </c>
      <c r="F33" s="83">
        <f>publ_fin!F40</f>
        <v>150000.16</v>
      </c>
      <c r="G33" s="42"/>
      <c r="H33" s="42"/>
      <c r="I33" s="81">
        <v>0</v>
      </c>
      <c r="J33" s="62">
        <f t="shared" si="0"/>
        <v>0.84999985950001822</v>
      </c>
    </row>
    <row r="34" spans="1:11">
      <c r="A34" s="77" t="s">
        <v>253</v>
      </c>
      <c r="B34" s="83">
        <f>publ_fin!D41</f>
        <v>0</v>
      </c>
      <c r="C34" s="83">
        <f>publ_fin!E41</f>
        <v>0</v>
      </c>
      <c r="D34" s="83">
        <f>publ_fin!G41</f>
        <v>0</v>
      </c>
      <c r="E34" s="83">
        <f t="shared" si="1"/>
        <v>0</v>
      </c>
      <c r="F34" s="83">
        <f>publ_fin!F41</f>
        <v>0</v>
      </c>
      <c r="G34" s="42"/>
      <c r="H34" s="42"/>
      <c r="I34" s="81">
        <v>0</v>
      </c>
      <c r="J34" s="62" t="str">
        <f t="shared" si="0"/>
        <v/>
      </c>
    </row>
    <row r="35" spans="1:11">
      <c r="A35" s="77" t="s">
        <v>185</v>
      </c>
      <c r="B35" s="83">
        <f>publ_fin!D42</f>
        <v>0</v>
      </c>
      <c r="C35" s="83">
        <f>publ_fin!E42</f>
        <v>106292.78</v>
      </c>
      <c r="D35" s="83">
        <f>publ_fin!G42</f>
        <v>0</v>
      </c>
      <c r="E35" s="83">
        <f t="shared" ref="E35:E66" si="2">SUM(B35:D35)</f>
        <v>106292.78</v>
      </c>
      <c r="F35" s="83">
        <f>publ_fin!F42</f>
        <v>0</v>
      </c>
      <c r="G35" s="42"/>
      <c r="H35" s="42"/>
      <c r="I35" s="81">
        <v>0</v>
      </c>
      <c r="J35" s="62">
        <f t="shared" ref="J35:J66" si="3">IFERROR(E35/(F35+E35),"")</f>
        <v>1</v>
      </c>
    </row>
    <row r="36" spans="1:11">
      <c r="A36" s="77" t="s">
        <v>256</v>
      </c>
      <c r="B36" s="83">
        <f>publ_fin!D43</f>
        <v>0</v>
      </c>
      <c r="C36" s="83">
        <f>publ_fin!E43</f>
        <v>0</v>
      </c>
      <c r="D36" s="83">
        <f>publ_fin!G43</f>
        <v>0</v>
      </c>
      <c r="E36" s="83">
        <f t="shared" si="2"/>
        <v>0</v>
      </c>
      <c r="F36" s="83">
        <f>publ_fin!F43</f>
        <v>0</v>
      </c>
      <c r="G36" s="42"/>
      <c r="H36" s="42"/>
      <c r="I36" s="81">
        <v>0</v>
      </c>
      <c r="J36" s="62" t="str">
        <f t="shared" si="3"/>
        <v/>
      </c>
    </row>
    <row r="37" spans="1:11">
      <c r="A37" s="77" t="s">
        <v>33</v>
      </c>
      <c r="B37" s="83">
        <f>publ_fin!D44</f>
        <v>0</v>
      </c>
      <c r="C37" s="83">
        <f>publ_fin!E44</f>
        <v>0</v>
      </c>
      <c r="D37" s="83">
        <f>publ_fin!G44</f>
        <v>0</v>
      </c>
      <c r="E37" s="83">
        <f t="shared" si="2"/>
        <v>0</v>
      </c>
      <c r="F37" s="83">
        <f>publ_fin!F44</f>
        <v>0</v>
      </c>
      <c r="G37" s="42"/>
      <c r="H37" s="80">
        <v>0</v>
      </c>
      <c r="I37" s="81">
        <v>0</v>
      </c>
      <c r="J37" s="62" t="str">
        <f t="shared" si="3"/>
        <v/>
      </c>
    </row>
    <row r="38" spans="1:11">
      <c r="A38" s="77" t="s">
        <v>34</v>
      </c>
      <c r="B38" s="83">
        <f>publ_fin!D45</f>
        <v>0</v>
      </c>
      <c r="C38" s="83">
        <f>publ_fin!E45</f>
        <v>8720345.6500000004</v>
      </c>
      <c r="D38" s="83">
        <f>publ_fin!G45</f>
        <v>0</v>
      </c>
      <c r="E38" s="83">
        <f t="shared" si="2"/>
        <v>8720345.6500000004</v>
      </c>
      <c r="F38" s="83">
        <f>publ_fin!F45</f>
        <v>1377909.79</v>
      </c>
      <c r="G38" s="42"/>
      <c r="H38" s="42"/>
      <c r="I38" s="81">
        <v>0</v>
      </c>
      <c r="J38" s="62">
        <f t="shared" si="3"/>
        <v>0.86354971923744472</v>
      </c>
    </row>
    <row r="39" spans="1:11">
      <c r="A39" s="77" t="s">
        <v>35</v>
      </c>
      <c r="B39" s="83">
        <f>publ_fin!D46</f>
        <v>0</v>
      </c>
      <c r="C39" s="83">
        <f>publ_fin!E46</f>
        <v>10940071.26</v>
      </c>
      <c r="D39" s="83">
        <f>publ_fin!G46</f>
        <v>0</v>
      </c>
      <c r="E39" s="83">
        <f t="shared" si="2"/>
        <v>10940071.26</v>
      </c>
      <c r="F39" s="83">
        <f>publ_fin!F46</f>
        <v>1004542.36</v>
      </c>
      <c r="G39" s="42"/>
      <c r="H39" s="80">
        <v>0</v>
      </c>
      <c r="I39" s="81">
        <v>0</v>
      </c>
      <c r="J39" s="62">
        <f t="shared" si="3"/>
        <v>0.91589997031649484</v>
      </c>
    </row>
    <row r="40" spans="1:11">
      <c r="A40" s="77" t="s">
        <v>178</v>
      </c>
      <c r="B40" s="83">
        <f>publ_fin!D47</f>
        <v>0</v>
      </c>
      <c r="C40" s="83">
        <f>publ_fin!E47</f>
        <v>8705014.6799999997</v>
      </c>
      <c r="D40" s="83">
        <f>publ_fin!G47</f>
        <v>0</v>
      </c>
      <c r="E40" s="83">
        <f t="shared" si="2"/>
        <v>8705014.6799999997</v>
      </c>
      <c r="F40" s="83">
        <f>publ_fin!F47</f>
        <v>624832.81999999995</v>
      </c>
      <c r="G40" s="42"/>
      <c r="H40" s="42"/>
      <c r="I40" s="81">
        <v>191258.97</v>
      </c>
      <c r="J40" s="62">
        <f t="shared" si="3"/>
        <v>0.93302861381174773</v>
      </c>
    </row>
    <row r="41" spans="1:11">
      <c r="A41" s="77" t="s">
        <v>37</v>
      </c>
      <c r="B41" s="83">
        <f>publ_fin!D48</f>
        <v>0</v>
      </c>
      <c r="C41" s="83">
        <f>publ_fin!E48</f>
        <v>1262086.29</v>
      </c>
      <c r="D41" s="83">
        <f>publ_fin!G48</f>
        <v>0</v>
      </c>
      <c r="E41" s="83">
        <f t="shared" si="2"/>
        <v>1262086.29</v>
      </c>
      <c r="F41" s="83">
        <f>publ_fin!F48</f>
        <v>222721.4</v>
      </c>
      <c r="G41" s="42"/>
      <c r="H41" s="80">
        <v>0</v>
      </c>
      <c r="I41" s="81">
        <v>0</v>
      </c>
      <c r="J41" s="62">
        <f t="shared" si="3"/>
        <v>0.84999983398523482</v>
      </c>
    </row>
    <row r="42" spans="1:11">
      <c r="A42" s="77" t="s">
        <v>38</v>
      </c>
      <c r="B42" s="83">
        <f>publ_fin!D49</f>
        <v>0</v>
      </c>
      <c r="C42" s="83">
        <f>publ_fin!E49</f>
        <v>3215140.65</v>
      </c>
      <c r="D42" s="83">
        <f>publ_fin!G49</f>
        <v>0</v>
      </c>
      <c r="E42" s="83">
        <f t="shared" si="2"/>
        <v>3215140.65</v>
      </c>
      <c r="F42" s="83">
        <f>publ_fin!F49</f>
        <v>567377.18000000005</v>
      </c>
      <c r="G42" s="42"/>
      <c r="H42" s="80">
        <v>0</v>
      </c>
      <c r="I42" s="81">
        <v>0</v>
      </c>
      <c r="J42" s="62">
        <f t="shared" si="3"/>
        <v>0.85000013073302549</v>
      </c>
    </row>
    <row r="43" spans="1:11">
      <c r="A43" s="77" t="s">
        <v>39</v>
      </c>
      <c r="B43" s="83">
        <f>publ_fin!D50</f>
        <v>0</v>
      </c>
      <c r="C43" s="83">
        <f>publ_fin!E50</f>
        <v>9622696.7899999991</v>
      </c>
      <c r="D43" s="83">
        <f>publ_fin!G50</f>
        <v>0</v>
      </c>
      <c r="E43" s="83">
        <f t="shared" si="2"/>
        <v>9622696.7899999991</v>
      </c>
      <c r="F43" s="83">
        <f>publ_fin!F50</f>
        <v>94146.92</v>
      </c>
      <c r="G43" s="42"/>
      <c r="H43" s="42"/>
      <c r="I43" s="81">
        <v>0</v>
      </c>
      <c r="J43" s="62">
        <f t="shared" si="3"/>
        <v>0.99031095664293645</v>
      </c>
      <c r="K43" s="76"/>
    </row>
    <row r="44" spans="1:11">
      <c r="A44" s="77" t="s">
        <v>177</v>
      </c>
      <c r="B44" s="83">
        <f>publ_fin!D51</f>
        <v>0</v>
      </c>
      <c r="C44" s="83">
        <f>publ_fin!E51</f>
        <v>2781474.04</v>
      </c>
      <c r="D44" s="83">
        <f>publ_fin!G51</f>
        <v>0</v>
      </c>
      <c r="E44" s="83">
        <f t="shared" si="2"/>
        <v>2781474.04</v>
      </c>
      <c r="F44" s="83">
        <f>publ_fin!F51</f>
        <v>0</v>
      </c>
      <c r="G44" s="42"/>
      <c r="H44" s="42"/>
      <c r="I44" s="81">
        <v>0</v>
      </c>
      <c r="J44" s="62">
        <f t="shared" si="3"/>
        <v>1</v>
      </c>
    </row>
    <row r="45" spans="1:11">
      <c r="A45" s="77" t="s">
        <v>203</v>
      </c>
      <c r="B45" s="83">
        <f>publ_fin!D52</f>
        <v>0</v>
      </c>
      <c r="C45" s="83">
        <f>publ_fin!E52</f>
        <v>0</v>
      </c>
      <c r="D45" s="83">
        <f>publ_fin!G52</f>
        <v>0</v>
      </c>
      <c r="E45" s="83">
        <f t="shared" si="2"/>
        <v>0</v>
      </c>
      <c r="F45" s="83">
        <f>publ_fin!F52</f>
        <v>0</v>
      </c>
      <c r="G45" s="42"/>
      <c r="H45" s="42"/>
      <c r="I45" s="81">
        <v>0</v>
      </c>
      <c r="J45" s="62" t="str">
        <f t="shared" si="3"/>
        <v/>
      </c>
    </row>
    <row r="46" spans="1:11">
      <c r="A46" s="77" t="s">
        <v>263</v>
      </c>
      <c r="B46" s="83">
        <f>publ_fin!D53</f>
        <v>0</v>
      </c>
      <c r="C46" s="83">
        <f>publ_fin!E53</f>
        <v>1723394.88</v>
      </c>
      <c r="D46" s="83">
        <f>publ_fin!G53</f>
        <v>0</v>
      </c>
      <c r="E46" s="83">
        <f t="shared" si="2"/>
        <v>1723394.88</v>
      </c>
      <c r="F46" s="83">
        <f>publ_fin!F53</f>
        <v>304127.89</v>
      </c>
      <c r="G46" s="42"/>
      <c r="H46" s="42"/>
      <c r="I46" s="81">
        <v>0</v>
      </c>
      <c r="J46" s="62">
        <f t="shared" si="3"/>
        <v>0.85000025918327904</v>
      </c>
    </row>
    <row r="47" spans="1:11">
      <c r="A47" s="77" t="s">
        <v>44</v>
      </c>
      <c r="B47" s="83">
        <f>publ_fin!D54</f>
        <v>0</v>
      </c>
      <c r="C47" s="83">
        <f>publ_fin!E54</f>
        <v>341103.11</v>
      </c>
      <c r="D47" s="83">
        <f>publ_fin!G54</f>
        <v>0</v>
      </c>
      <c r="E47" s="83">
        <f t="shared" si="2"/>
        <v>341103.11</v>
      </c>
      <c r="F47" s="83">
        <f>publ_fin!F54</f>
        <v>60195.16</v>
      </c>
      <c r="G47" s="42"/>
      <c r="H47" s="42"/>
      <c r="I47" s="81">
        <v>0</v>
      </c>
      <c r="J47" s="62">
        <f t="shared" si="3"/>
        <v>0.84999895464288933</v>
      </c>
    </row>
    <row r="48" spans="1:11">
      <c r="A48" s="77" t="s">
        <v>266</v>
      </c>
      <c r="B48" s="83">
        <f>publ_fin!D55</f>
        <v>0</v>
      </c>
      <c r="C48" s="83">
        <f>publ_fin!E55</f>
        <v>453506.07</v>
      </c>
      <c r="D48" s="83">
        <f>publ_fin!G55</f>
        <v>0</v>
      </c>
      <c r="E48" s="83">
        <f t="shared" si="2"/>
        <v>453506.07</v>
      </c>
      <c r="F48" s="83">
        <f>publ_fin!F55</f>
        <v>80030.399999999994</v>
      </c>
      <c r="G48" s="42"/>
      <c r="H48" s="42"/>
      <c r="I48" s="81">
        <v>0</v>
      </c>
      <c r="J48" s="62">
        <f t="shared" si="3"/>
        <v>0.85000013213717152</v>
      </c>
    </row>
    <row r="49" spans="1:11">
      <c r="A49" s="77" t="s">
        <v>48</v>
      </c>
      <c r="B49" s="83">
        <f>publ_fin!D56</f>
        <v>0</v>
      </c>
      <c r="C49" s="83">
        <f>publ_fin!E56</f>
        <v>55106.16</v>
      </c>
      <c r="D49" s="83">
        <f>publ_fin!G56</f>
        <v>0</v>
      </c>
      <c r="E49" s="83">
        <f t="shared" si="2"/>
        <v>55106.16</v>
      </c>
      <c r="F49" s="83">
        <f>publ_fin!F56</f>
        <v>9724.7000000000007</v>
      </c>
      <c r="G49" s="42"/>
      <c r="H49" s="42"/>
      <c r="I49" s="81">
        <v>0</v>
      </c>
      <c r="J49" s="62">
        <f t="shared" si="3"/>
        <v>0.84999890484253959</v>
      </c>
    </row>
    <row r="50" spans="1:11">
      <c r="A50" s="77" t="s">
        <v>49</v>
      </c>
      <c r="B50" s="83">
        <f>publ_fin!D57</f>
        <v>0</v>
      </c>
      <c r="C50" s="83">
        <f>publ_fin!E57</f>
        <v>1901912.02</v>
      </c>
      <c r="D50" s="83">
        <f>publ_fin!G57</f>
        <v>0</v>
      </c>
      <c r="E50" s="83">
        <f t="shared" si="2"/>
        <v>1901912.02</v>
      </c>
      <c r="F50" s="83">
        <f>publ_fin!F57</f>
        <v>335632.48</v>
      </c>
      <c r="G50" s="42"/>
      <c r="H50" s="80">
        <v>0</v>
      </c>
      <c r="I50" s="81">
        <v>0</v>
      </c>
      <c r="J50" s="62">
        <f t="shared" si="3"/>
        <v>0.84999964023061891</v>
      </c>
    </row>
    <row r="51" spans="1:11">
      <c r="A51" s="77" t="s">
        <v>50</v>
      </c>
      <c r="B51" s="83">
        <f>publ_fin!D58</f>
        <v>0</v>
      </c>
      <c r="C51" s="83">
        <f>publ_fin!E58</f>
        <v>2386548.79</v>
      </c>
      <c r="D51" s="83">
        <f>publ_fin!G58</f>
        <v>0</v>
      </c>
      <c r="E51" s="83">
        <f t="shared" si="2"/>
        <v>2386548.79</v>
      </c>
      <c r="F51" s="83">
        <f>publ_fin!F58</f>
        <v>0</v>
      </c>
      <c r="G51" s="42"/>
      <c r="H51" s="42"/>
      <c r="I51" s="81">
        <v>0</v>
      </c>
      <c r="J51" s="62">
        <f t="shared" si="3"/>
        <v>1</v>
      </c>
    </row>
    <row r="52" spans="1:11">
      <c r="A52" s="77" t="s">
        <v>270</v>
      </c>
      <c r="B52" s="83">
        <f>publ_fin!D59</f>
        <v>0</v>
      </c>
      <c r="C52" s="83">
        <f>publ_fin!E59</f>
        <v>1418135.48</v>
      </c>
      <c r="D52" s="83">
        <f>publ_fin!G59</f>
        <v>0</v>
      </c>
      <c r="E52" s="83">
        <f t="shared" si="2"/>
        <v>1418135.48</v>
      </c>
      <c r="F52" s="83">
        <f>publ_fin!F59</f>
        <v>0</v>
      </c>
      <c r="G52" s="42"/>
      <c r="H52" s="42"/>
      <c r="I52" s="81">
        <v>0</v>
      </c>
      <c r="J52" s="62">
        <f t="shared" si="3"/>
        <v>1</v>
      </c>
    </row>
    <row r="53" spans="1:11">
      <c r="A53" s="77" t="s">
        <v>272</v>
      </c>
      <c r="B53" s="83">
        <f>publ_fin!D60</f>
        <v>0</v>
      </c>
      <c r="C53" s="83">
        <f>publ_fin!E60</f>
        <v>2543141.96</v>
      </c>
      <c r="D53" s="83">
        <f>publ_fin!G60</f>
        <v>0</v>
      </c>
      <c r="E53" s="83">
        <f t="shared" si="2"/>
        <v>2543141.96</v>
      </c>
      <c r="F53" s="83">
        <f>publ_fin!F60</f>
        <v>0</v>
      </c>
      <c r="G53" s="42"/>
      <c r="H53" s="42"/>
      <c r="I53" s="81">
        <v>0</v>
      </c>
      <c r="J53" s="62">
        <f t="shared" si="3"/>
        <v>1</v>
      </c>
      <c r="K53" s="76"/>
    </row>
    <row r="54" spans="1:11">
      <c r="A54" s="77" t="s">
        <v>274</v>
      </c>
      <c r="B54" s="83">
        <f>publ_fin!D61</f>
        <v>0</v>
      </c>
      <c r="C54" s="83">
        <f>publ_fin!E61</f>
        <v>2483574.4</v>
      </c>
      <c r="D54" s="83">
        <f>publ_fin!G61</f>
        <v>0</v>
      </c>
      <c r="E54" s="83">
        <f t="shared" si="2"/>
        <v>2483574.4</v>
      </c>
      <c r="F54" s="83">
        <f>publ_fin!F61</f>
        <v>0</v>
      </c>
      <c r="G54" s="42"/>
      <c r="H54" s="42"/>
      <c r="I54" s="81">
        <v>0</v>
      </c>
      <c r="J54" s="62">
        <f t="shared" si="3"/>
        <v>1</v>
      </c>
      <c r="K54" s="74"/>
    </row>
    <row r="55" spans="1:11">
      <c r="A55" s="77" t="s">
        <v>145</v>
      </c>
      <c r="B55" s="83">
        <f>publ_fin!D62</f>
        <v>0</v>
      </c>
      <c r="C55" s="83">
        <f>publ_fin!E62</f>
        <v>12847761.029999999</v>
      </c>
      <c r="D55" s="83">
        <f>publ_fin!G62</f>
        <v>0</v>
      </c>
      <c r="E55" s="83">
        <f t="shared" si="2"/>
        <v>12847761.029999999</v>
      </c>
      <c r="F55" s="83">
        <f>publ_fin!F62</f>
        <v>0</v>
      </c>
      <c r="G55" s="42"/>
      <c r="H55" s="42"/>
      <c r="I55" s="81">
        <v>0</v>
      </c>
      <c r="J55" s="62">
        <f t="shared" si="3"/>
        <v>1</v>
      </c>
    </row>
    <row r="56" spans="1:11">
      <c r="A56" s="77" t="s">
        <v>277</v>
      </c>
      <c r="B56" s="83">
        <f>publ_fin!D63</f>
        <v>52275863.109999999</v>
      </c>
      <c r="C56" s="83">
        <f>publ_fin!E63</f>
        <v>0</v>
      </c>
      <c r="D56" s="83">
        <f>publ_fin!G63</f>
        <v>0</v>
      </c>
      <c r="E56" s="83">
        <f t="shared" si="2"/>
        <v>52275863.109999999</v>
      </c>
      <c r="F56" s="83">
        <f>publ_fin!F63</f>
        <v>1000000.13</v>
      </c>
      <c r="G56" s="42"/>
      <c r="H56" s="42"/>
      <c r="I56" s="81">
        <v>180214.41</v>
      </c>
      <c r="J56" s="62">
        <f t="shared" si="3"/>
        <v>0.98122977143523427</v>
      </c>
    </row>
    <row r="57" spans="1:11">
      <c r="A57" s="77" t="s">
        <v>279</v>
      </c>
      <c r="B57" s="83">
        <f>publ_fin!D64</f>
        <v>4366559.91</v>
      </c>
      <c r="C57" s="83">
        <f>publ_fin!E64</f>
        <v>0</v>
      </c>
      <c r="D57" s="83">
        <f>publ_fin!G64</f>
        <v>0</v>
      </c>
      <c r="E57" s="83">
        <f t="shared" si="2"/>
        <v>4366559.91</v>
      </c>
      <c r="F57" s="83">
        <f>publ_fin!F64</f>
        <v>0</v>
      </c>
      <c r="G57" s="42"/>
      <c r="H57" s="42"/>
      <c r="I57" s="81">
        <v>0</v>
      </c>
      <c r="J57" s="62">
        <f t="shared" si="3"/>
        <v>1</v>
      </c>
    </row>
    <row r="58" spans="1:11">
      <c r="A58" s="77" t="s">
        <v>281</v>
      </c>
      <c r="B58" s="83">
        <f>publ_fin!D65</f>
        <v>86816444.090000004</v>
      </c>
      <c r="C58" s="83">
        <f>publ_fin!E65</f>
        <v>0</v>
      </c>
      <c r="D58" s="83">
        <f>publ_fin!G65</f>
        <v>0</v>
      </c>
      <c r="E58" s="83">
        <f t="shared" si="2"/>
        <v>86816444.090000004</v>
      </c>
      <c r="F58" s="83">
        <f>publ_fin!F65</f>
        <v>1039809.06</v>
      </c>
      <c r="G58" s="42"/>
      <c r="H58" s="42"/>
      <c r="I58" s="81">
        <v>0</v>
      </c>
      <c r="J58" s="62">
        <f t="shared" si="3"/>
        <v>0.98816465507327411</v>
      </c>
    </row>
    <row r="59" spans="1:11">
      <c r="A59" s="77" t="s">
        <v>283</v>
      </c>
      <c r="B59" s="83">
        <f>publ_fin!D66</f>
        <v>10514363.199999999</v>
      </c>
      <c r="C59" s="83">
        <f>publ_fin!E66</f>
        <v>0</v>
      </c>
      <c r="D59" s="83">
        <f>publ_fin!G66</f>
        <v>0</v>
      </c>
      <c r="E59" s="83">
        <f t="shared" si="2"/>
        <v>10514363.199999999</v>
      </c>
      <c r="F59" s="83">
        <f>publ_fin!F66</f>
        <v>0</v>
      </c>
      <c r="G59" s="42"/>
      <c r="H59" s="42"/>
      <c r="I59" s="81">
        <v>0</v>
      </c>
      <c r="J59" s="62">
        <f t="shared" si="3"/>
        <v>1</v>
      </c>
    </row>
    <row r="60" spans="1:11">
      <c r="A60" s="77" t="s">
        <v>285</v>
      </c>
      <c r="B60" s="83">
        <f>publ_fin!D67</f>
        <v>37373845.350000001</v>
      </c>
      <c r="C60" s="83">
        <f>publ_fin!E67</f>
        <v>0</v>
      </c>
      <c r="D60" s="83">
        <f>publ_fin!G67</f>
        <v>0</v>
      </c>
      <c r="E60" s="83">
        <f t="shared" si="2"/>
        <v>37373845.350000001</v>
      </c>
      <c r="F60" s="83">
        <f>publ_fin!F67</f>
        <v>0</v>
      </c>
      <c r="G60" s="42"/>
      <c r="H60" s="42"/>
      <c r="I60" s="82"/>
      <c r="J60" s="62">
        <f t="shared" si="3"/>
        <v>1</v>
      </c>
    </row>
    <row r="61" spans="1:11">
      <c r="A61" s="77" t="s">
        <v>287</v>
      </c>
      <c r="B61" s="83">
        <f>publ_fin!D68</f>
        <v>1906322.82</v>
      </c>
      <c r="C61" s="83">
        <f>publ_fin!E68</f>
        <v>0</v>
      </c>
      <c r="D61" s="83">
        <f>publ_fin!G68</f>
        <v>0</v>
      </c>
      <c r="E61" s="83">
        <f t="shared" si="2"/>
        <v>1906322.82</v>
      </c>
      <c r="F61" s="83">
        <f>publ_fin!F68</f>
        <v>0</v>
      </c>
      <c r="G61" s="42"/>
      <c r="H61" s="42"/>
      <c r="I61" s="81">
        <v>1904598.84</v>
      </c>
      <c r="J61" s="62">
        <f t="shared" si="3"/>
        <v>1</v>
      </c>
    </row>
    <row r="62" spans="1:11">
      <c r="A62" s="77" t="s">
        <v>289</v>
      </c>
      <c r="B62" s="83">
        <f>publ_fin!D69</f>
        <v>0</v>
      </c>
      <c r="C62" s="83">
        <f>publ_fin!E69</f>
        <v>0</v>
      </c>
      <c r="D62" s="83">
        <f>publ_fin!G69</f>
        <v>0</v>
      </c>
      <c r="E62" s="83">
        <f t="shared" si="2"/>
        <v>0</v>
      </c>
      <c r="F62" s="83">
        <f>publ_fin!F69</f>
        <v>0</v>
      </c>
      <c r="G62" s="42"/>
      <c r="H62" s="42"/>
      <c r="I62" s="81">
        <v>0</v>
      </c>
      <c r="J62" s="62" t="str">
        <f t="shared" si="3"/>
        <v/>
      </c>
    </row>
    <row r="63" spans="1:11">
      <c r="A63" s="77" t="s">
        <v>58</v>
      </c>
      <c r="B63" s="83">
        <f>publ_fin!D70</f>
        <v>7295504.0099999998</v>
      </c>
      <c r="C63" s="83">
        <f>publ_fin!E70</f>
        <v>0</v>
      </c>
      <c r="D63" s="83">
        <f>publ_fin!G70</f>
        <v>0</v>
      </c>
      <c r="E63" s="83">
        <f t="shared" si="2"/>
        <v>7295504.0099999998</v>
      </c>
      <c r="F63" s="83">
        <f>publ_fin!F70</f>
        <v>0</v>
      </c>
      <c r="G63" s="42"/>
      <c r="H63" s="42"/>
      <c r="I63" s="81">
        <v>27728246.989999998</v>
      </c>
      <c r="J63" s="62">
        <f t="shared" si="3"/>
        <v>1</v>
      </c>
    </row>
    <row r="64" spans="1:11">
      <c r="A64" s="77" t="s">
        <v>59</v>
      </c>
      <c r="B64" s="83">
        <f>publ_fin!D71</f>
        <v>39299304.109999999</v>
      </c>
      <c r="C64" s="83">
        <f>publ_fin!E71</f>
        <v>0</v>
      </c>
      <c r="D64" s="83">
        <f>publ_fin!G71</f>
        <v>0</v>
      </c>
      <c r="E64" s="83">
        <f t="shared" si="2"/>
        <v>39299304.109999999</v>
      </c>
      <c r="F64" s="83">
        <f>publ_fin!F71</f>
        <v>0</v>
      </c>
      <c r="G64" s="42"/>
      <c r="H64" s="42"/>
      <c r="I64" s="81">
        <v>0</v>
      </c>
      <c r="J64" s="62">
        <f t="shared" si="3"/>
        <v>1</v>
      </c>
    </row>
    <row r="65" spans="1:10">
      <c r="A65" s="77" t="s">
        <v>162</v>
      </c>
      <c r="B65" s="83">
        <f>publ_fin!D72</f>
        <v>174764.16</v>
      </c>
      <c r="C65" s="83">
        <f>publ_fin!E72</f>
        <v>0</v>
      </c>
      <c r="D65" s="83">
        <f>publ_fin!G72</f>
        <v>0</v>
      </c>
      <c r="E65" s="83">
        <f t="shared" si="2"/>
        <v>174764.16</v>
      </c>
      <c r="F65" s="83">
        <f>publ_fin!F72</f>
        <v>0</v>
      </c>
      <c r="G65" s="42"/>
      <c r="H65" s="42"/>
      <c r="I65" s="81">
        <v>16451229</v>
      </c>
      <c r="J65" s="62">
        <f t="shared" si="3"/>
        <v>1</v>
      </c>
    </row>
    <row r="66" spans="1:10">
      <c r="A66" s="77" t="s">
        <v>206</v>
      </c>
      <c r="B66" s="83">
        <f>publ_fin!D73</f>
        <v>2000000.27</v>
      </c>
      <c r="C66" s="83">
        <f>publ_fin!E73</f>
        <v>0</v>
      </c>
      <c r="D66" s="83">
        <f>publ_fin!G73</f>
        <v>0</v>
      </c>
      <c r="E66" s="83">
        <f t="shared" si="2"/>
        <v>2000000.27</v>
      </c>
      <c r="F66" s="83">
        <f>publ_fin!F73</f>
        <v>0</v>
      </c>
      <c r="G66" s="42"/>
      <c r="H66" s="42"/>
      <c r="I66" s="81">
        <v>7.03</v>
      </c>
      <c r="J66" s="62">
        <f t="shared" si="3"/>
        <v>1</v>
      </c>
    </row>
    <row r="67" spans="1:10">
      <c r="A67" s="77" t="s">
        <v>62</v>
      </c>
      <c r="B67" s="83">
        <f>publ_fin!D74</f>
        <v>0</v>
      </c>
      <c r="C67" s="83">
        <f>publ_fin!E74</f>
        <v>0</v>
      </c>
      <c r="D67" s="83">
        <f>publ_fin!G74</f>
        <v>0</v>
      </c>
      <c r="E67" s="83">
        <f t="shared" ref="E67:E98" si="4">SUM(B67:D67)</f>
        <v>0</v>
      </c>
      <c r="F67" s="83">
        <f>publ_fin!F74</f>
        <v>0</v>
      </c>
      <c r="G67" s="42"/>
      <c r="H67" s="80">
        <v>0</v>
      </c>
      <c r="I67" s="81">
        <v>0</v>
      </c>
      <c r="J67" s="62" t="str">
        <f t="shared" ref="J67:J98" si="5">IFERROR(E67/(F67+E67),"")</f>
        <v/>
      </c>
    </row>
    <row r="68" spans="1:10">
      <c r="A68" s="77" t="s">
        <v>295</v>
      </c>
      <c r="B68" s="83">
        <f>publ_fin!D75</f>
        <v>100131595.08</v>
      </c>
      <c r="C68" s="83">
        <f>publ_fin!E75</f>
        <v>0</v>
      </c>
      <c r="D68" s="83">
        <f>publ_fin!G75</f>
        <v>0</v>
      </c>
      <c r="E68" s="83">
        <f t="shared" si="4"/>
        <v>100131595.08</v>
      </c>
      <c r="F68" s="83">
        <f>publ_fin!F75</f>
        <v>6926234.6200000001</v>
      </c>
      <c r="G68" s="42"/>
      <c r="H68" s="42"/>
      <c r="I68" s="81">
        <v>3436059.36</v>
      </c>
      <c r="J68" s="62">
        <f t="shared" si="5"/>
        <v>0.93530380132486468</v>
      </c>
    </row>
    <row r="69" spans="1:10">
      <c r="A69" s="77" t="s">
        <v>297</v>
      </c>
      <c r="B69" s="83">
        <f>publ_fin!D76</f>
        <v>47204017.609999999</v>
      </c>
      <c r="C69" s="83">
        <f>publ_fin!E76</f>
        <v>0</v>
      </c>
      <c r="D69" s="83">
        <f>publ_fin!G76</f>
        <v>0</v>
      </c>
      <c r="E69" s="83">
        <f t="shared" si="4"/>
        <v>47204017.609999999</v>
      </c>
      <c r="F69" s="83">
        <f>publ_fin!F76</f>
        <v>3985224.08</v>
      </c>
      <c r="G69" s="42"/>
      <c r="H69" s="42"/>
      <c r="I69" s="81">
        <v>11399494.939999999</v>
      </c>
      <c r="J69" s="62">
        <f t="shared" si="5"/>
        <v>0.92214723351179229</v>
      </c>
    </row>
    <row r="70" spans="1:10">
      <c r="A70" s="77" t="s">
        <v>207</v>
      </c>
      <c r="B70" s="83">
        <f>publ_fin!D77</f>
        <v>0</v>
      </c>
      <c r="C70" s="83">
        <f>publ_fin!E77</f>
        <v>0</v>
      </c>
      <c r="D70" s="83">
        <f>publ_fin!G77</f>
        <v>0</v>
      </c>
      <c r="E70" s="83">
        <f t="shared" si="4"/>
        <v>0</v>
      </c>
      <c r="F70" s="83">
        <f>publ_fin!F77</f>
        <v>0</v>
      </c>
      <c r="G70" s="42"/>
      <c r="H70" s="80">
        <v>0</v>
      </c>
      <c r="I70" s="81">
        <v>861679.17</v>
      </c>
      <c r="J70" s="62" t="str">
        <f t="shared" si="5"/>
        <v/>
      </c>
    </row>
    <row r="71" spans="1:10">
      <c r="A71" s="77" t="s">
        <v>163</v>
      </c>
      <c r="B71" s="83">
        <f>publ_fin!D78</f>
        <v>0</v>
      </c>
      <c r="C71" s="83">
        <f>publ_fin!E78</f>
        <v>0</v>
      </c>
      <c r="D71" s="83">
        <f>publ_fin!G78</f>
        <v>0</v>
      </c>
      <c r="E71" s="83">
        <f t="shared" si="4"/>
        <v>0</v>
      </c>
      <c r="F71" s="83">
        <f>publ_fin!F78</f>
        <v>0</v>
      </c>
      <c r="G71" s="42"/>
      <c r="H71" s="42"/>
      <c r="I71" s="81">
        <v>7.03</v>
      </c>
      <c r="J71" s="62" t="str">
        <f t="shared" si="5"/>
        <v/>
      </c>
    </row>
    <row r="72" spans="1:10">
      <c r="A72" s="77" t="s">
        <v>135</v>
      </c>
      <c r="B72" s="83">
        <f>publ_fin!D79</f>
        <v>11207966.09</v>
      </c>
      <c r="C72" s="83">
        <f>publ_fin!E79</f>
        <v>0</v>
      </c>
      <c r="D72" s="83">
        <f>publ_fin!G79</f>
        <v>0</v>
      </c>
      <c r="E72" s="83">
        <f t="shared" si="4"/>
        <v>11207966.09</v>
      </c>
      <c r="F72" s="83">
        <f>publ_fin!F79</f>
        <v>0</v>
      </c>
      <c r="G72" s="42"/>
      <c r="H72" s="80">
        <v>0</v>
      </c>
      <c r="I72" s="81">
        <v>0</v>
      </c>
      <c r="J72" s="62">
        <f t="shared" si="5"/>
        <v>1</v>
      </c>
    </row>
    <row r="73" spans="1:10">
      <c r="A73" s="77" t="s">
        <v>300</v>
      </c>
      <c r="B73" s="83">
        <f>publ_fin!D80</f>
        <v>36283175.770000003</v>
      </c>
      <c r="C73" s="83">
        <f>publ_fin!E80</f>
        <v>0</v>
      </c>
      <c r="D73" s="83">
        <f>publ_fin!G80</f>
        <v>0</v>
      </c>
      <c r="E73" s="83">
        <f t="shared" si="4"/>
        <v>36283175.770000003</v>
      </c>
      <c r="F73" s="83">
        <f>publ_fin!F80</f>
        <v>4621142.92</v>
      </c>
      <c r="G73" s="42"/>
      <c r="H73" s="42"/>
      <c r="I73" s="81">
        <v>81799737.069999993</v>
      </c>
      <c r="J73" s="62">
        <f t="shared" si="5"/>
        <v>0.88702554967307778</v>
      </c>
    </row>
    <row r="74" spans="1:10">
      <c r="A74" s="77" t="s">
        <v>67</v>
      </c>
      <c r="B74" s="83">
        <f>publ_fin!D81</f>
        <v>10671891.789999999</v>
      </c>
      <c r="C74" s="83">
        <f>publ_fin!E81</f>
        <v>0</v>
      </c>
      <c r="D74" s="83">
        <f>publ_fin!G81</f>
        <v>0</v>
      </c>
      <c r="E74" s="83">
        <f t="shared" si="4"/>
        <v>10671891.789999999</v>
      </c>
      <c r="F74" s="83">
        <f>publ_fin!F81</f>
        <v>2445432.52</v>
      </c>
      <c r="G74" s="42"/>
      <c r="H74" s="42"/>
      <c r="I74" s="81">
        <v>43573848</v>
      </c>
      <c r="J74" s="62">
        <f t="shared" si="5"/>
        <v>0.81357230619542409</v>
      </c>
    </row>
    <row r="75" spans="1:10">
      <c r="A75" s="77" t="s">
        <v>69</v>
      </c>
      <c r="B75" s="83">
        <f>publ_fin!D82</f>
        <v>12196804.289999999</v>
      </c>
      <c r="C75" s="83">
        <f>publ_fin!E82</f>
        <v>0</v>
      </c>
      <c r="D75" s="83">
        <f>publ_fin!G82</f>
        <v>0</v>
      </c>
      <c r="E75" s="83">
        <f t="shared" si="4"/>
        <v>12196804.289999999</v>
      </c>
      <c r="F75" s="83">
        <f>publ_fin!F82</f>
        <v>0</v>
      </c>
      <c r="G75" s="42"/>
      <c r="H75" s="80">
        <v>0</v>
      </c>
      <c r="I75" s="81">
        <v>0</v>
      </c>
      <c r="J75" s="62">
        <f t="shared" si="5"/>
        <v>1</v>
      </c>
    </row>
    <row r="76" spans="1:10">
      <c r="A76" s="77" t="s">
        <v>70</v>
      </c>
      <c r="B76" s="83">
        <f>publ_fin!D83</f>
        <v>5500000.0300000003</v>
      </c>
      <c r="C76" s="83">
        <f>publ_fin!E83</f>
        <v>0</v>
      </c>
      <c r="D76" s="83">
        <f>publ_fin!G83</f>
        <v>0</v>
      </c>
      <c r="E76" s="83">
        <f t="shared" si="4"/>
        <v>5500000.0300000003</v>
      </c>
      <c r="F76" s="83">
        <f>publ_fin!F83</f>
        <v>3666666.92</v>
      </c>
      <c r="G76" s="42"/>
      <c r="H76" s="80">
        <v>0</v>
      </c>
      <c r="I76" s="81">
        <v>0</v>
      </c>
      <c r="J76" s="62">
        <f t="shared" si="5"/>
        <v>0.59999998472727323</v>
      </c>
    </row>
    <row r="77" spans="1:10">
      <c r="A77" s="77" t="s">
        <v>303</v>
      </c>
      <c r="B77" s="83">
        <f>publ_fin!D84</f>
        <v>1714401.8</v>
      </c>
      <c r="C77" s="83">
        <f>publ_fin!E84</f>
        <v>0</v>
      </c>
      <c r="D77" s="83">
        <f>publ_fin!G84</f>
        <v>0</v>
      </c>
      <c r="E77" s="83">
        <f t="shared" si="4"/>
        <v>1714401.8</v>
      </c>
      <c r="F77" s="83">
        <f>publ_fin!F84</f>
        <v>302618.96999999997</v>
      </c>
      <c r="G77" s="42"/>
      <c r="H77" s="42"/>
      <c r="I77" s="82"/>
      <c r="J77" s="62">
        <f t="shared" si="5"/>
        <v>0.84996735060888839</v>
      </c>
    </row>
    <row r="78" spans="1:10">
      <c r="A78" s="77" t="s">
        <v>150</v>
      </c>
      <c r="B78" s="83">
        <f>publ_fin!D85</f>
        <v>17179418.989999998</v>
      </c>
      <c r="C78" s="83">
        <f>publ_fin!E85</f>
        <v>0</v>
      </c>
      <c r="D78" s="83">
        <f>publ_fin!G85</f>
        <v>0</v>
      </c>
      <c r="E78" s="83">
        <f t="shared" si="4"/>
        <v>17179418.989999998</v>
      </c>
      <c r="F78" s="83">
        <f>publ_fin!F85</f>
        <v>3029182.23</v>
      </c>
      <c r="G78" s="42"/>
      <c r="H78" s="42"/>
      <c r="I78" s="81">
        <v>15209999.83</v>
      </c>
      <c r="J78" s="62">
        <f t="shared" si="5"/>
        <v>0.85010430969353357</v>
      </c>
    </row>
    <row r="79" spans="1:10">
      <c r="A79" s="77" t="s">
        <v>151</v>
      </c>
      <c r="B79" s="83">
        <f>publ_fin!D86</f>
        <v>7488412.46</v>
      </c>
      <c r="C79" s="83">
        <f>publ_fin!E86</f>
        <v>0</v>
      </c>
      <c r="D79" s="83">
        <f>publ_fin!G86</f>
        <v>0</v>
      </c>
      <c r="E79" s="83">
        <f t="shared" si="4"/>
        <v>7488412.46</v>
      </c>
      <c r="F79" s="83">
        <f>publ_fin!F86</f>
        <v>0</v>
      </c>
      <c r="G79" s="42"/>
      <c r="H79" s="42"/>
      <c r="I79" s="82"/>
      <c r="J79" s="62">
        <f t="shared" si="5"/>
        <v>1</v>
      </c>
    </row>
    <row r="80" spans="1:10">
      <c r="A80" s="77" t="s">
        <v>307</v>
      </c>
      <c r="B80" s="83">
        <f>publ_fin!D87</f>
        <v>6615525.6799999997</v>
      </c>
      <c r="C80" s="83">
        <f>publ_fin!E87</f>
        <v>0</v>
      </c>
      <c r="D80" s="83">
        <f>publ_fin!G87</f>
        <v>0</v>
      </c>
      <c r="E80" s="83">
        <f t="shared" si="4"/>
        <v>6615525.6799999997</v>
      </c>
      <c r="F80" s="83">
        <f>publ_fin!F87</f>
        <v>0</v>
      </c>
      <c r="G80" s="42"/>
      <c r="H80" s="42"/>
      <c r="I80" s="81">
        <v>10903206.380000001</v>
      </c>
      <c r="J80" s="62">
        <f t="shared" si="5"/>
        <v>1</v>
      </c>
    </row>
    <row r="81" spans="1:10">
      <c r="A81" s="77" t="s">
        <v>309</v>
      </c>
      <c r="B81" s="83">
        <f>publ_fin!D88</f>
        <v>3407288.67</v>
      </c>
      <c r="C81" s="83">
        <f>publ_fin!E88</f>
        <v>0</v>
      </c>
      <c r="D81" s="83">
        <f>publ_fin!G88</f>
        <v>0</v>
      </c>
      <c r="E81" s="83">
        <f t="shared" si="4"/>
        <v>3407288.67</v>
      </c>
      <c r="F81" s="83">
        <f>publ_fin!F88</f>
        <v>0</v>
      </c>
      <c r="G81" s="42"/>
      <c r="H81" s="42"/>
      <c r="I81" s="81">
        <v>0</v>
      </c>
      <c r="J81" s="62">
        <f t="shared" si="5"/>
        <v>1</v>
      </c>
    </row>
    <row r="82" spans="1:10">
      <c r="A82" s="77" t="s">
        <v>73</v>
      </c>
      <c r="B82" s="83">
        <f>publ_fin!D89</f>
        <v>16153989.300000001</v>
      </c>
      <c r="C82" s="83">
        <f>publ_fin!E89</f>
        <v>0</v>
      </c>
      <c r="D82" s="83">
        <f>publ_fin!G89</f>
        <v>0</v>
      </c>
      <c r="E82" s="83">
        <f t="shared" si="4"/>
        <v>16153989.300000001</v>
      </c>
      <c r="F82" s="83">
        <f>publ_fin!F89</f>
        <v>0</v>
      </c>
      <c r="G82" s="42"/>
      <c r="H82" s="42"/>
      <c r="I82" s="81">
        <v>0</v>
      </c>
      <c r="J82" s="62">
        <f t="shared" si="5"/>
        <v>1</v>
      </c>
    </row>
    <row r="83" spans="1:10">
      <c r="A83" s="77" t="s">
        <v>75</v>
      </c>
      <c r="B83" s="83">
        <f>publ_fin!D90</f>
        <v>59988195.259999998</v>
      </c>
      <c r="C83" s="83">
        <f>publ_fin!E90</f>
        <v>0</v>
      </c>
      <c r="D83" s="83">
        <f>publ_fin!G90</f>
        <v>0</v>
      </c>
      <c r="E83" s="83">
        <f t="shared" si="4"/>
        <v>59988195.259999998</v>
      </c>
      <c r="F83" s="83">
        <f>publ_fin!F90</f>
        <v>0</v>
      </c>
      <c r="G83" s="42"/>
      <c r="H83" s="42"/>
      <c r="I83" s="81">
        <v>0</v>
      </c>
      <c r="J83" s="62">
        <f t="shared" si="5"/>
        <v>1</v>
      </c>
    </row>
    <row r="84" spans="1:10">
      <c r="A84" s="77" t="s">
        <v>313</v>
      </c>
      <c r="B84" s="83">
        <f>publ_fin!D91</f>
        <v>1968030.42</v>
      </c>
      <c r="C84" s="83">
        <f>publ_fin!E91</f>
        <v>0</v>
      </c>
      <c r="D84" s="83">
        <f>publ_fin!G91</f>
        <v>0</v>
      </c>
      <c r="E84" s="83">
        <f t="shared" si="4"/>
        <v>1968030.42</v>
      </c>
      <c r="F84" s="83">
        <f>publ_fin!F91</f>
        <v>347299.73</v>
      </c>
      <c r="G84" s="42"/>
      <c r="H84" s="42"/>
      <c r="I84" s="81">
        <v>17510779.829999998</v>
      </c>
      <c r="J84" s="62">
        <f t="shared" si="5"/>
        <v>0.8499999103799516</v>
      </c>
    </row>
    <row r="85" spans="1:10">
      <c r="A85" s="77" t="s">
        <v>76</v>
      </c>
      <c r="B85" s="83">
        <f>publ_fin!D92</f>
        <v>85374366.189999998</v>
      </c>
      <c r="C85" s="83">
        <f>publ_fin!E92</f>
        <v>0</v>
      </c>
      <c r="D85" s="83">
        <f>publ_fin!G92</f>
        <v>0</v>
      </c>
      <c r="E85" s="83">
        <f t="shared" si="4"/>
        <v>85374366.189999998</v>
      </c>
      <c r="F85" s="83">
        <f>publ_fin!F92</f>
        <v>7343837.25</v>
      </c>
      <c r="G85" s="42"/>
      <c r="H85" s="80">
        <v>0</v>
      </c>
      <c r="I85" s="81">
        <v>7.03</v>
      </c>
      <c r="J85" s="62">
        <f t="shared" si="5"/>
        <v>0.92079400832273073</v>
      </c>
    </row>
    <row r="86" spans="1:10">
      <c r="A86" s="77" t="s">
        <v>191</v>
      </c>
      <c r="B86" s="83">
        <f>publ_fin!D93</f>
        <v>0</v>
      </c>
      <c r="C86" s="83">
        <f>publ_fin!E93</f>
        <v>0</v>
      </c>
      <c r="D86" s="83">
        <f>publ_fin!G93</f>
        <v>0</v>
      </c>
      <c r="E86" s="83">
        <f t="shared" si="4"/>
        <v>0</v>
      </c>
      <c r="F86" s="83">
        <f>publ_fin!F93</f>
        <v>0</v>
      </c>
      <c r="G86" s="42"/>
      <c r="H86" s="42"/>
      <c r="I86" s="82"/>
      <c r="J86" s="62" t="str">
        <f t="shared" si="5"/>
        <v/>
      </c>
    </row>
    <row r="87" spans="1:10">
      <c r="A87" s="77" t="s">
        <v>315</v>
      </c>
      <c r="B87" s="83">
        <f>publ_fin!D94</f>
        <v>18045154.739999998</v>
      </c>
      <c r="C87" s="83">
        <f>publ_fin!E94</f>
        <v>0</v>
      </c>
      <c r="D87" s="83">
        <f>publ_fin!G94</f>
        <v>0</v>
      </c>
      <c r="E87" s="83">
        <f t="shared" si="4"/>
        <v>18045154.739999998</v>
      </c>
      <c r="F87" s="83">
        <f>publ_fin!F94</f>
        <v>0</v>
      </c>
      <c r="G87" s="42"/>
      <c r="H87" s="80">
        <v>9275332.4000000004</v>
      </c>
      <c r="I87" s="81">
        <v>0</v>
      </c>
      <c r="J87" s="62">
        <f t="shared" si="5"/>
        <v>1</v>
      </c>
    </row>
    <row r="88" spans="1:10">
      <c r="A88" s="77" t="s">
        <v>79</v>
      </c>
      <c r="B88" s="83">
        <f>publ_fin!D95</f>
        <v>2226541.4</v>
      </c>
      <c r="C88" s="83">
        <f>publ_fin!E95</f>
        <v>0</v>
      </c>
      <c r="D88" s="83">
        <f>publ_fin!G95</f>
        <v>0</v>
      </c>
      <c r="E88" s="83">
        <f t="shared" si="4"/>
        <v>2226541.4</v>
      </c>
      <c r="F88" s="83">
        <f>publ_fin!F95</f>
        <v>0</v>
      </c>
      <c r="G88" s="42"/>
      <c r="H88" s="42"/>
      <c r="I88" s="81">
        <v>0</v>
      </c>
      <c r="J88" s="62">
        <f t="shared" si="5"/>
        <v>1</v>
      </c>
    </row>
    <row r="89" spans="1:10">
      <c r="A89" s="77" t="s">
        <v>81</v>
      </c>
      <c r="B89" s="83">
        <f>publ_fin!D96</f>
        <v>5716032.1399999997</v>
      </c>
      <c r="C89" s="83">
        <f>publ_fin!E96</f>
        <v>0</v>
      </c>
      <c r="D89" s="83">
        <f>publ_fin!G96</f>
        <v>0</v>
      </c>
      <c r="E89" s="83">
        <f t="shared" si="4"/>
        <v>5716032.1399999997</v>
      </c>
      <c r="F89" s="83">
        <f>publ_fin!F96</f>
        <v>0</v>
      </c>
      <c r="G89" s="42"/>
      <c r="H89" s="42"/>
      <c r="I89" s="81">
        <v>7722227.6200000001</v>
      </c>
      <c r="J89" s="62">
        <f t="shared" si="5"/>
        <v>1</v>
      </c>
    </row>
    <row r="90" spans="1:10">
      <c r="A90" s="77" t="s">
        <v>82</v>
      </c>
      <c r="B90" s="83">
        <f>publ_fin!D97</f>
        <v>2700198.27</v>
      </c>
      <c r="C90" s="83">
        <f>publ_fin!E97</f>
        <v>0</v>
      </c>
      <c r="D90" s="83">
        <f>publ_fin!G97</f>
        <v>0</v>
      </c>
      <c r="E90" s="83">
        <f t="shared" si="4"/>
        <v>2700198.27</v>
      </c>
      <c r="F90" s="83">
        <f>publ_fin!F97</f>
        <v>0</v>
      </c>
      <c r="G90" s="42"/>
      <c r="H90" s="42"/>
      <c r="I90" s="81">
        <v>0</v>
      </c>
      <c r="J90" s="62">
        <f t="shared" si="5"/>
        <v>1</v>
      </c>
    </row>
    <row r="91" spans="1:10">
      <c r="A91" s="77" t="s">
        <v>181</v>
      </c>
      <c r="B91" s="83">
        <f>publ_fin!D98</f>
        <v>447270.09</v>
      </c>
      <c r="C91" s="83">
        <f>publ_fin!E98</f>
        <v>0</v>
      </c>
      <c r="D91" s="83">
        <f>publ_fin!G98</f>
        <v>0</v>
      </c>
      <c r="E91" s="83">
        <f t="shared" si="4"/>
        <v>447270.09</v>
      </c>
      <c r="F91" s="83">
        <f>publ_fin!F98</f>
        <v>78930.509999999995</v>
      </c>
      <c r="G91" s="42"/>
      <c r="H91" s="80">
        <v>3207045.75</v>
      </c>
      <c r="I91" s="81">
        <v>0</v>
      </c>
      <c r="J91" s="62">
        <f t="shared" si="5"/>
        <v>0.84999920182531152</v>
      </c>
    </row>
    <row r="92" spans="1:10">
      <c r="A92" s="77" t="s">
        <v>84</v>
      </c>
      <c r="B92" s="83">
        <f>publ_fin!D99</f>
        <v>2146583.39</v>
      </c>
      <c r="C92" s="83">
        <f>publ_fin!E99</f>
        <v>0</v>
      </c>
      <c r="D92" s="83">
        <f>publ_fin!G99</f>
        <v>0</v>
      </c>
      <c r="E92" s="83">
        <f t="shared" si="4"/>
        <v>2146583.39</v>
      </c>
      <c r="F92" s="83">
        <f>publ_fin!F99</f>
        <v>378809.25</v>
      </c>
      <c r="G92" s="42"/>
      <c r="H92" s="42"/>
      <c r="I92" s="81">
        <v>0</v>
      </c>
      <c r="J92" s="62">
        <f t="shared" si="5"/>
        <v>0.84999985982377779</v>
      </c>
    </row>
    <row r="93" spans="1:10">
      <c r="A93" s="77" t="s">
        <v>180</v>
      </c>
      <c r="B93" s="83">
        <f>publ_fin!D100</f>
        <v>519215.43</v>
      </c>
      <c r="C93" s="83">
        <f>publ_fin!E100</f>
        <v>0</v>
      </c>
      <c r="D93" s="83">
        <f>publ_fin!G100</f>
        <v>0</v>
      </c>
      <c r="E93" s="83">
        <f t="shared" si="4"/>
        <v>519215.43</v>
      </c>
      <c r="F93" s="83">
        <f>publ_fin!F100</f>
        <v>91625.96</v>
      </c>
      <c r="G93" s="42"/>
      <c r="H93" s="42"/>
      <c r="I93" s="81">
        <v>0</v>
      </c>
      <c r="J93" s="62">
        <f t="shared" si="5"/>
        <v>0.8500004068159166</v>
      </c>
    </row>
    <row r="94" spans="1:10">
      <c r="A94" s="77" t="s">
        <v>173</v>
      </c>
      <c r="B94" s="83">
        <f>publ_fin!D101</f>
        <v>0</v>
      </c>
      <c r="C94" s="83">
        <f>publ_fin!E101</f>
        <v>0</v>
      </c>
      <c r="D94" s="83">
        <f>publ_fin!G101</f>
        <v>0</v>
      </c>
      <c r="E94" s="83">
        <f t="shared" si="4"/>
        <v>0</v>
      </c>
      <c r="F94" s="83">
        <f>publ_fin!F101</f>
        <v>0</v>
      </c>
      <c r="G94" s="42"/>
      <c r="H94" s="80">
        <v>476506.03</v>
      </c>
      <c r="I94" s="81">
        <v>0</v>
      </c>
      <c r="J94" s="62" t="str">
        <f t="shared" si="5"/>
        <v/>
      </c>
    </row>
    <row r="95" spans="1:10">
      <c r="A95" s="77" t="s">
        <v>88</v>
      </c>
      <c r="B95" s="83">
        <f>publ_fin!D102</f>
        <v>5031406.87</v>
      </c>
      <c r="C95" s="83">
        <f>publ_fin!E102</f>
        <v>0</v>
      </c>
      <c r="D95" s="83">
        <f>publ_fin!G102</f>
        <v>0</v>
      </c>
      <c r="E95" s="83">
        <f t="shared" si="4"/>
        <v>5031406.87</v>
      </c>
      <c r="F95" s="83">
        <f>publ_fin!F102</f>
        <v>887893.06</v>
      </c>
      <c r="G95" s="42"/>
      <c r="H95" s="42"/>
      <c r="I95" s="81">
        <v>0</v>
      </c>
      <c r="J95" s="62">
        <f t="shared" si="5"/>
        <v>0.85000032596760144</v>
      </c>
    </row>
    <row r="96" spans="1:10">
      <c r="A96" s="77" t="s">
        <v>89</v>
      </c>
      <c r="B96" s="83">
        <f>publ_fin!D103</f>
        <v>2073556.44</v>
      </c>
      <c r="C96" s="83">
        <f>publ_fin!E103</f>
        <v>0</v>
      </c>
      <c r="D96" s="83">
        <f>publ_fin!G103</f>
        <v>0</v>
      </c>
      <c r="E96" s="83">
        <f t="shared" si="4"/>
        <v>2073556.44</v>
      </c>
      <c r="F96" s="83">
        <f>publ_fin!F103</f>
        <v>365922.63</v>
      </c>
      <c r="G96" s="42"/>
      <c r="H96" s="42"/>
      <c r="I96" s="81">
        <v>0</v>
      </c>
      <c r="J96" s="62">
        <f t="shared" si="5"/>
        <v>0.84999968456380326</v>
      </c>
    </row>
    <row r="97" spans="1:10">
      <c r="A97" s="77" t="s">
        <v>90</v>
      </c>
      <c r="B97" s="83">
        <f>publ_fin!D104</f>
        <v>21093929.739999998</v>
      </c>
      <c r="C97" s="83">
        <f>publ_fin!E104</f>
        <v>0</v>
      </c>
      <c r="D97" s="83">
        <f>publ_fin!G104</f>
        <v>0</v>
      </c>
      <c r="E97" s="83">
        <f t="shared" si="4"/>
        <v>21093929.739999998</v>
      </c>
      <c r="F97" s="83">
        <f>publ_fin!F104</f>
        <v>0</v>
      </c>
      <c r="G97" s="42"/>
      <c r="H97" s="42"/>
      <c r="I97" s="81">
        <v>0</v>
      </c>
      <c r="J97" s="62">
        <f t="shared" si="5"/>
        <v>1</v>
      </c>
    </row>
    <row r="98" spans="1:10">
      <c r="A98" s="77" t="s">
        <v>91</v>
      </c>
      <c r="B98" s="83">
        <f>publ_fin!D105</f>
        <v>1804121.06</v>
      </c>
      <c r="C98" s="83">
        <f>publ_fin!E105</f>
        <v>0</v>
      </c>
      <c r="D98" s="83">
        <f>publ_fin!G105</f>
        <v>0</v>
      </c>
      <c r="E98" s="83">
        <f t="shared" si="4"/>
        <v>1804121.06</v>
      </c>
      <c r="F98" s="83">
        <f>publ_fin!F105</f>
        <v>0</v>
      </c>
      <c r="G98" s="42"/>
      <c r="H98" s="80">
        <v>0</v>
      </c>
      <c r="I98" s="81">
        <v>0</v>
      </c>
      <c r="J98" s="62">
        <f t="shared" si="5"/>
        <v>1</v>
      </c>
    </row>
    <row r="99" spans="1:10">
      <c r="A99" s="77" t="s">
        <v>168</v>
      </c>
      <c r="B99" s="83">
        <f>publ_fin!D106</f>
        <v>3552899.82</v>
      </c>
      <c r="C99" s="83">
        <f>publ_fin!E106</f>
        <v>0</v>
      </c>
      <c r="D99" s="83">
        <f>publ_fin!G106</f>
        <v>0</v>
      </c>
      <c r="E99" s="83">
        <f t="shared" ref="E99:E130" si="6">SUM(B99:D99)</f>
        <v>3552899.82</v>
      </c>
      <c r="F99" s="83">
        <f>publ_fin!F106</f>
        <v>0</v>
      </c>
      <c r="G99" s="42"/>
      <c r="H99" s="42"/>
      <c r="I99" s="81">
        <v>0</v>
      </c>
      <c r="J99" s="62">
        <f t="shared" ref="J99:J130" si="7">IFERROR(E99/(F99+E99),"")</f>
        <v>1</v>
      </c>
    </row>
    <row r="100" spans="1:10">
      <c r="A100" s="77" t="s">
        <v>174</v>
      </c>
      <c r="B100" s="83">
        <f>publ_fin!D107</f>
        <v>3919715.01</v>
      </c>
      <c r="C100" s="83">
        <f>publ_fin!E107</f>
        <v>0</v>
      </c>
      <c r="D100" s="83">
        <f>publ_fin!G107</f>
        <v>0</v>
      </c>
      <c r="E100" s="83">
        <f t="shared" si="6"/>
        <v>3919715.01</v>
      </c>
      <c r="F100" s="83">
        <f>publ_fin!F107</f>
        <v>0</v>
      </c>
      <c r="G100" s="42"/>
      <c r="H100" s="42"/>
      <c r="I100" s="81">
        <v>0</v>
      </c>
      <c r="J100" s="62">
        <f t="shared" si="7"/>
        <v>1</v>
      </c>
    </row>
    <row r="101" spans="1:10">
      <c r="A101" s="77" t="s">
        <v>328</v>
      </c>
      <c r="B101" s="83">
        <f>publ_fin!D108</f>
        <v>9526644.5600000005</v>
      </c>
      <c r="C101" s="83">
        <f>publ_fin!E108</f>
        <v>0</v>
      </c>
      <c r="D101" s="83">
        <f>publ_fin!G108</f>
        <v>0</v>
      </c>
      <c r="E101" s="83">
        <f t="shared" si="6"/>
        <v>9526644.5600000005</v>
      </c>
      <c r="F101" s="83">
        <f>publ_fin!F108</f>
        <v>1151760.82</v>
      </c>
      <c r="G101" s="42"/>
      <c r="H101" s="80">
        <v>3719970.39</v>
      </c>
      <c r="I101" s="81">
        <v>0</v>
      </c>
      <c r="J101" s="62">
        <f t="shared" si="7"/>
        <v>0.89214112229180043</v>
      </c>
    </row>
    <row r="102" spans="1:10">
      <c r="A102" s="77" t="s">
        <v>208</v>
      </c>
      <c r="B102" s="83">
        <f>publ_fin!D109</f>
        <v>120260175.04000001</v>
      </c>
      <c r="C102" s="83">
        <f>publ_fin!E109</f>
        <v>0</v>
      </c>
      <c r="D102" s="83">
        <f>publ_fin!G109</f>
        <v>0</v>
      </c>
      <c r="E102" s="83">
        <f t="shared" si="6"/>
        <v>120260175.04000001</v>
      </c>
      <c r="F102" s="83">
        <f>publ_fin!F109</f>
        <v>10700320.220000001</v>
      </c>
      <c r="G102" s="42"/>
      <c r="H102" s="80">
        <v>320863.76</v>
      </c>
      <c r="I102" s="81">
        <v>0</v>
      </c>
      <c r="J102" s="62">
        <f t="shared" si="7"/>
        <v>0.9182935266184179</v>
      </c>
    </row>
    <row r="103" spans="1:10">
      <c r="A103" s="77" t="s">
        <v>189</v>
      </c>
      <c r="B103" s="83">
        <f>publ_fin!D110</f>
        <v>8257192.8899999997</v>
      </c>
      <c r="C103" s="83">
        <f>publ_fin!E110</f>
        <v>0</v>
      </c>
      <c r="D103" s="83">
        <f>publ_fin!G110</f>
        <v>0</v>
      </c>
      <c r="E103" s="83">
        <f t="shared" si="6"/>
        <v>8257192.8899999997</v>
      </c>
      <c r="F103" s="83">
        <f>publ_fin!F110</f>
        <v>1457152.35</v>
      </c>
      <c r="G103" s="42"/>
      <c r="H103" s="42"/>
      <c r="I103" s="81">
        <v>626982.68999999994</v>
      </c>
      <c r="J103" s="62">
        <f t="shared" si="7"/>
        <v>0.84999994194153217</v>
      </c>
    </row>
    <row r="104" spans="1:10">
      <c r="A104" s="77" t="s">
        <v>197</v>
      </c>
      <c r="B104" s="83">
        <f>publ_fin!D111</f>
        <v>131276355.05</v>
      </c>
      <c r="C104" s="83">
        <f>publ_fin!E111</f>
        <v>0</v>
      </c>
      <c r="D104" s="83">
        <f>publ_fin!G111</f>
        <v>0</v>
      </c>
      <c r="E104" s="83">
        <f t="shared" si="6"/>
        <v>131276355.05</v>
      </c>
      <c r="F104" s="83">
        <f>publ_fin!F111</f>
        <v>23166415.800000001</v>
      </c>
      <c r="G104" s="42"/>
      <c r="H104" s="42"/>
      <c r="I104" s="81">
        <v>724376.57</v>
      </c>
      <c r="J104" s="62">
        <f t="shared" si="7"/>
        <v>0.84999999888308142</v>
      </c>
    </row>
    <row r="105" spans="1:10">
      <c r="A105" s="77" t="s">
        <v>157</v>
      </c>
      <c r="B105" s="83">
        <f>publ_fin!D112</f>
        <v>64233387.939999998</v>
      </c>
      <c r="C105" s="83">
        <f>publ_fin!E112</f>
        <v>0</v>
      </c>
      <c r="D105" s="83">
        <f>publ_fin!G112</f>
        <v>0</v>
      </c>
      <c r="E105" s="83">
        <f t="shared" si="6"/>
        <v>64233387.939999998</v>
      </c>
      <c r="F105" s="83">
        <f>publ_fin!F112</f>
        <v>0</v>
      </c>
      <c r="G105" s="42"/>
      <c r="H105" s="42"/>
      <c r="I105" s="81">
        <v>0</v>
      </c>
      <c r="J105" s="62">
        <f t="shared" si="7"/>
        <v>1</v>
      </c>
    </row>
    <row r="106" spans="1:10">
      <c r="A106" s="77" t="s">
        <v>159</v>
      </c>
      <c r="B106" s="83">
        <f>publ_fin!D113</f>
        <v>9343036.3200000003</v>
      </c>
      <c r="C106" s="83">
        <f>publ_fin!E113</f>
        <v>0</v>
      </c>
      <c r="D106" s="83">
        <f>publ_fin!G113</f>
        <v>0</v>
      </c>
      <c r="E106" s="83">
        <f t="shared" si="6"/>
        <v>9343036.3200000003</v>
      </c>
      <c r="F106" s="83">
        <f>publ_fin!F113</f>
        <v>0</v>
      </c>
      <c r="G106" s="42"/>
      <c r="H106" s="42"/>
      <c r="I106" s="81">
        <v>11018812.01</v>
      </c>
      <c r="J106" s="62">
        <f t="shared" si="7"/>
        <v>1</v>
      </c>
    </row>
    <row r="107" spans="1:10">
      <c r="A107" s="77" t="s">
        <v>160</v>
      </c>
      <c r="B107" s="83">
        <f>publ_fin!D114</f>
        <v>9000871.9700000007</v>
      </c>
      <c r="C107" s="83">
        <f>publ_fin!E114</f>
        <v>0</v>
      </c>
      <c r="D107" s="83">
        <f>publ_fin!G114</f>
        <v>0</v>
      </c>
      <c r="E107" s="83">
        <f t="shared" si="6"/>
        <v>9000871.9700000007</v>
      </c>
      <c r="F107" s="83">
        <f>publ_fin!F114</f>
        <v>0</v>
      </c>
      <c r="G107" s="42"/>
      <c r="H107" s="42"/>
      <c r="I107" s="81">
        <v>0</v>
      </c>
      <c r="J107" s="62">
        <f t="shared" si="7"/>
        <v>1</v>
      </c>
    </row>
    <row r="108" spans="1:10">
      <c r="A108" s="77" t="s">
        <v>336</v>
      </c>
      <c r="B108" s="83">
        <f>publ_fin!D115</f>
        <v>3473578.55</v>
      </c>
      <c r="C108" s="83">
        <f>publ_fin!E115</f>
        <v>0</v>
      </c>
      <c r="D108" s="83">
        <f>publ_fin!G115</f>
        <v>0</v>
      </c>
      <c r="E108" s="83">
        <f t="shared" si="6"/>
        <v>3473578.55</v>
      </c>
      <c r="F108" s="83">
        <f>publ_fin!F115</f>
        <v>0</v>
      </c>
      <c r="G108" s="42"/>
      <c r="H108" s="42"/>
      <c r="I108" s="81">
        <v>0</v>
      </c>
      <c r="J108" s="62">
        <f t="shared" si="7"/>
        <v>1</v>
      </c>
    </row>
    <row r="109" spans="1:10">
      <c r="A109" s="77" t="s">
        <v>198</v>
      </c>
      <c r="B109" s="83">
        <f>publ_fin!D116</f>
        <v>14056080</v>
      </c>
      <c r="C109" s="83">
        <f>publ_fin!E116</f>
        <v>0</v>
      </c>
      <c r="D109" s="83">
        <f>publ_fin!G116</f>
        <v>0</v>
      </c>
      <c r="E109" s="83">
        <f t="shared" si="6"/>
        <v>14056080</v>
      </c>
      <c r="F109" s="83">
        <f>publ_fin!F116</f>
        <v>0</v>
      </c>
      <c r="G109" s="42"/>
      <c r="H109" s="80">
        <v>10452950.08</v>
      </c>
      <c r="I109" s="81">
        <v>0</v>
      </c>
      <c r="J109" s="62">
        <f t="shared" si="7"/>
        <v>1</v>
      </c>
    </row>
    <row r="110" spans="1:10">
      <c r="A110" s="77" t="s">
        <v>339</v>
      </c>
      <c r="B110" s="83">
        <f>publ_fin!D117</f>
        <v>96944797.819999993</v>
      </c>
      <c r="C110" s="83">
        <f>publ_fin!E117</f>
        <v>0</v>
      </c>
      <c r="D110" s="83">
        <f>publ_fin!G117</f>
        <v>0</v>
      </c>
      <c r="E110" s="83">
        <f t="shared" si="6"/>
        <v>96944797.819999993</v>
      </c>
      <c r="F110" s="83">
        <f>publ_fin!F117</f>
        <v>0</v>
      </c>
      <c r="G110" s="42"/>
      <c r="H110" s="80">
        <v>1785304.19</v>
      </c>
      <c r="I110" s="81">
        <v>0</v>
      </c>
      <c r="J110" s="62">
        <f t="shared" si="7"/>
        <v>1</v>
      </c>
    </row>
    <row r="111" spans="1:10">
      <c r="A111" s="77" t="s">
        <v>97</v>
      </c>
      <c r="B111" s="83">
        <f>publ_fin!D118</f>
        <v>12200000.640000001</v>
      </c>
      <c r="C111" s="83">
        <f>publ_fin!E118</f>
        <v>0</v>
      </c>
      <c r="D111" s="83">
        <f>publ_fin!G118</f>
        <v>0</v>
      </c>
      <c r="E111" s="83">
        <f t="shared" si="6"/>
        <v>12200000.640000001</v>
      </c>
      <c r="F111" s="83">
        <f>publ_fin!F118</f>
        <v>0</v>
      </c>
      <c r="G111" s="42"/>
      <c r="H111" s="80">
        <v>1451856.02</v>
      </c>
      <c r="I111" s="81">
        <v>0</v>
      </c>
      <c r="J111" s="62">
        <f t="shared" si="7"/>
        <v>1</v>
      </c>
    </row>
    <row r="112" spans="1:10">
      <c r="A112" s="77" t="s">
        <v>342</v>
      </c>
      <c r="B112" s="83">
        <f>publ_fin!D119</f>
        <v>2550000.62</v>
      </c>
      <c r="C112" s="83">
        <f>publ_fin!E119</f>
        <v>0</v>
      </c>
      <c r="D112" s="83">
        <f>publ_fin!G119</f>
        <v>0</v>
      </c>
      <c r="E112" s="83">
        <f t="shared" si="6"/>
        <v>2550000.62</v>
      </c>
      <c r="F112" s="83">
        <f>publ_fin!F119</f>
        <v>0</v>
      </c>
      <c r="G112" s="42"/>
      <c r="H112" s="80">
        <v>0</v>
      </c>
      <c r="I112" s="81">
        <v>612984.94999999995</v>
      </c>
      <c r="J112" s="62">
        <f t="shared" si="7"/>
        <v>1</v>
      </c>
    </row>
    <row r="113" spans="1:11">
      <c r="A113" s="77" t="s">
        <v>98</v>
      </c>
      <c r="B113" s="83">
        <f>publ_fin!D120</f>
        <v>16188733.119999999</v>
      </c>
      <c r="C113" s="83">
        <f>publ_fin!E120</f>
        <v>0</v>
      </c>
      <c r="D113" s="83">
        <f>publ_fin!G120</f>
        <v>0</v>
      </c>
      <c r="E113" s="83">
        <f t="shared" si="6"/>
        <v>16188733.119999999</v>
      </c>
      <c r="F113" s="83">
        <f>publ_fin!F120</f>
        <v>0</v>
      </c>
      <c r="G113" s="42"/>
      <c r="H113" s="42"/>
      <c r="I113" s="81">
        <v>2480484.87</v>
      </c>
      <c r="J113" s="62">
        <f t="shared" si="7"/>
        <v>1</v>
      </c>
    </row>
    <row r="114" spans="1:11">
      <c r="A114" s="77" t="s">
        <v>156</v>
      </c>
      <c r="B114" s="83">
        <f>publ_fin!D121</f>
        <v>0</v>
      </c>
      <c r="C114" s="83">
        <f>publ_fin!E121</f>
        <v>0</v>
      </c>
      <c r="D114" s="83">
        <f>publ_fin!G121</f>
        <v>0</v>
      </c>
      <c r="E114" s="83">
        <f t="shared" si="6"/>
        <v>0</v>
      </c>
      <c r="F114" s="83">
        <f>publ_fin!F121</f>
        <v>0</v>
      </c>
      <c r="G114" s="42"/>
      <c r="H114" s="42"/>
      <c r="I114" s="81">
        <v>0</v>
      </c>
      <c r="J114" s="62" t="str">
        <f t="shared" si="7"/>
        <v/>
      </c>
    </row>
    <row r="115" spans="1:11">
      <c r="A115" s="77" t="s">
        <v>176</v>
      </c>
      <c r="B115" s="83">
        <f>publ_fin!D122</f>
        <v>0</v>
      </c>
      <c r="C115" s="83">
        <f>publ_fin!E122</f>
        <v>0</v>
      </c>
      <c r="D115" s="83">
        <f>publ_fin!G122</f>
        <v>0</v>
      </c>
      <c r="E115" s="83">
        <f t="shared" si="6"/>
        <v>0</v>
      </c>
      <c r="F115" s="83">
        <f>publ_fin!F122</f>
        <v>0</v>
      </c>
      <c r="G115" s="42"/>
      <c r="H115" s="42"/>
      <c r="I115" s="81">
        <v>0</v>
      </c>
      <c r="J115" s="62" t="str">
        <f t="shared" si="7"/>
        <v/>
      </c>
    </row>
    <row r="116" spans="1:11">
      <c r="A116" s="77" t="s">
        <v>101</v>
      </c>
      <c r="B116" s="83">
        <f>publ_fin!D123</f>
        <v>0</v>
      </c>
      <c r="C116" s="83">
        <f>publ_fin!E123</f>
        <v>0</v>
      </c>
      <c r="D116" s="83">
        <f>publ_fin!G123</f>
        <v>216739674.44</v>
      </c>
      <c r="E116" s="83">
        <f t="shared" si="6"/>
        <v>216739674.44</v>
      </c>
      <c r="F116" s="83">
        <f>publ_fin!F123</f>
        <v>38248177.100000001</v>
      </c>
      <c r="G116" s="42"/>
      <c r="H116" s="80">
        <v>449999.78</v>
      </c>
      <c r="I116" s="81">
        <v>0</v>
      </c>
      <c r="J116" s="62">
        <f t="shared" si="7"/>
        <v>0.8500000024746277</v>
      </c>
    </row>
    <row r="117" spans="1:11">
      <c r="A117" s="77" t="s">
        <v>102</v>
      </c>
      <c r="B117" s="83">
        <f>publ_fin!D124</f>
        <v>0</v>
      </c>
      <c r="C117" s="83">
        <f>publ_fin!E124</f>
        <v>0</v>
      </c>
      <c r="D117" s="83">
        <f>publ_fin!G124</f>
        <v>170292617.5</v>
      </c>
      <c r="E117" s="83">
        <f t="shared" si="6"/>
        <v>170292617.5</v>
      </c>
      <c r="F117" s="83">
        <f>publ_fin!F124</f>
        <v>4818270.3099999996</v>
      </c>
      <c r="G117" s="42"/>
      <c r="H117" s="80">
        <v>0</v>
      </c>
      <c r="I117" s="81">
        <v>2379878.48</v>
      </c>
      <c r="J117" s="62">
        <f t="shared" si="7"/>
        <v>0.97248446187293647</v>
      </c>
    </row>
    <row r="118" spans="1:11">
      <c r="A118" s="77" t="s">
        <v>104</v>
      </c>
      <c r="B118" s="83">
        <f>publ_fin!D125</f>
        <v>0</v>
      </c>
      <c r="C118" s="83">
        <f>publ_fin!E125</f>
        <v>0</v>
      </c>
      <c r="D118" s="83">
        <f>publ_fin!G125</f>
        <v>116805655.13</v>
      </c>
      <c r="E118" s="83">
        <f t="shared" si="6"/>
        <v>116805655.13</v>
      </c>
      <c r="F118" s="83">
        <f>publ_fin!F125</f>
        <v>0</v>
      </c>
      <c r="G118" s="42"/>
      <c r="H118" s="42"/>
      <c r="I118" s="81">
        <v>0</v>
      </c>
      <c r="J118" s="62">
        <f t="shared" si="7"/>
        <v>1</v>
      </c>
    </row>
    <row r="119" spans="1:11">
      <c r="A119" s="77" t="s">
        <v>105</v>
      </c>
      <c r="B119" s="83">
        <f>publ_fin!D126</f>
        <v>0</v>
      </c>
      <c r="C119" s="83">
        <f>publ_fin!E126</f>
        <v>0</v>
      </c>
      <c r="D119" s="83">
        <f>publ_fin!G126</f>
        <v>45423588.07</v>
      </c>
      <c r="E119" s="83">
        <f t="shared" si="6"/>
        <v>45423588.07</v>
      </c>
      <c r="F119" s="83">
        <f>publ_fin!F126</f>
        <v>8255847.0199999996</v>
      </c>
      <c r="G119" s="42"/>
      <c r="H119" s="80">
        <v>0</v>
      </c>
      <c r="I119" s="81">
        <v>0</v>
      </c>
      <c r="J119" s="62">
        <f t="shared" si="7"/>
        <v>0.84620093325948598</v>
      </c>
    </row>
    <row r="120" spans="1:11">
      <c r="A120" s="77" t="s">
        <v>200</v>
      </c>
      <c r="B120" s="83">
        <f>publ_fin!D127</f>
        <v>0</v>
      </c>
      <c r="C120" s="83">
        <f>publ_fin!E127</f>
        <v>0</v>
      </c>
      <c r="D120" s="83">
        <f>publ_fin!G127</f>
        <v>20448828.059999999</v>
      </c>
      <c r="E120" s="83">
        <f t="shared" si="6"/>
        <v>20448828.059999999</v>
      </c>
      <c r="F120" s="83">
        <f>publ_fin!F127</f>
        <v>0</v>
      </c>
      <c r="G120" s="42"/>
      <c r="H120" s="42"/>
      <c r="I120" s="81">
        <v>0</v>
      </c>
      <c r="J120" s="62">
        <f t="shared" si="7"/>
        <v>1</v>
      </c>
    </row>
    <row r="121" spans="1:11">
      <c r="A121" s="77" t="s">
        <v>106</v>
      </c>
      <c r="B121" s="83">
        <f>publ_fin!D128</f>
        <v>0</v>
      </c>
      <c r="C121" s="83">
        <f>publ_fin!E128</f>
        <v>0</v>
      </c>
      <c r="D121" s="83">
        <f>publ_fin!G128</f>
        <v>11069163</v>
      </c>
      <c r="E121" s="83">
        <f t="shared" si="6"/>
        <v>11069163</v>
      </c>
      <c r="F121" s="83">
        <f>publ_fin!F128</f>
        <v>0</v>
      </c>
      <c r="G121" s="42"/>
      <c r="H121" s="42"/>
      <c r="I121" s="81">
        <v>11366420.98</v>
      </c>
      <c r="J121" s="62">
        <f t="shared" si="7"/>
        <v>1</v>
      </c>
    </row>
    <row r="122" spans="1:11">
      <c r="A122" s="77" t="s">
        <v>144</v>
      </c>
      <c r="B122" s="83">
        <f>publ_fin!D129</f>
        <v>0</v>
      </c>
      <c r="C122" s="83">
        <f>publ_fin!E129</f>
        <v>0</v>
      </c>
      <c r="D122" s="83">
        <f>publ_fin!G129</f>
        <v>21499923.440000001</v>
      </c>
      <c r="E122" s="83">
        <f t="shared" si="6"/>
        <v>21499923.440000001</v>
      </c>
      <c r="F122" s="83">
        <f>publ_fin!F129</f>
        <v>0</v>
      </c>
      <c r="G122" s="42"/>
      <c r="H122" s="80">
        <v>2073271.8</v>
      </c>
      <c r="I122" s="81">
        <v>18539490.91</v>
      </c>
      <c r="J122" s="62">
        <f t="shared" si="7"/>
        <v>1</v>
      </c>
    </row>
    <row r="123" spans="1:11">
      <c r="A123" s="77" t="s">
        <v>107</v>
      </c>
      <c r="B123" s="83">
        <f>publ_fin!D130</f>
        <v>100848003.26000001</v>
      </c>
      <c r="C123" s="83">
        <f>publ_fin!E130</f>
        <v>0</v>
      </c>
      <c r="D123" s="83">
        <f>publ_fin!G130</f>
        <v>0</v>
      </c>
      <c r="E123" s="83">
        <f t="shared" si="6"/>
        <v>100848003.26000001</v>
      </c>
      <c r="F123" s="83">
        <f>publ_fin!F130</f>
        <v>2106997.2599999998</v>
      </c>
      <c r="G123" s="42"/>
      <c r="H123" s="42"/>
      <c r="I123" s="81">
        <v>12140056.380000001</v>
      </c>
      <c r="J123" s="62">
        <f t="shared" si="7"/>
        <v>0.97953477490789098</v>
      </c>
      <c r="K123" s="76">
        <v>1</v>
      </c>
    </row>
    <row r="124" spans="1:11">
      <c r="A124" s="77" t="s">
        <v>166</v>
      </c>
      <c r="B124" s="83">
        <f>publ_fin!D131</f>
        <v>2124999.58</v>
      </c>
      <c r="C124" s="83">
        <f>publ_fin!E131</f>
        <v>0</v>
      </c>
      <c r="D124" s="83">
        <f>publ_fin!G131</f>
        <v>0</v>
      </c>
      <c r="E124" s="83">
        <f t="shared" si="6"/>
        <v>2124999.58</v>
      </c>
      <c r="F124" s="83">
        <f>publ_fin!F131</f>
        <v>0</v>
      </c>
      <c r="G124" s="42"/>
      <c r="H124" s="80">
        <v>3608617.42</v>
      </c>
      <c r="I124" s="81">
        <v>0</v>
      </c>
      <c r="J124" s="62">
        <f t="shared" si="7"/>
        <v>1</v>
      </c>
    </row>
    <row r="125" spans="1:11">
      <c r="A125" s="77" t="s">
        <v>136</v>
      </c>
      <c r="B125" s="83">
        <f>publ_fin!D132</f>
        <v>22549732</v>
      </c>
      <c r="C125" s="83">
        <f>publ_fin!E132</f>
        <v>0</v>
      </c>
      <c r="D125" s="83">
        <f>publ_fin!G132</f>
        <v>0</v>
      </c>
      <c r="E125" s="83">
        <f t="shared" si="6"/>
        <v>22549732</v>
      </c>
      <c r="F125" s="83">
        <f>publ_fin!F132</f>
        <v>10014957</v>
      </c>
      <c r="G125" s="42"/>
      <c r="H125" s="42"/>
      <c r="I125" s="81">
        <v>1953381.87</v>
      </c>
      <c r="J125" s="62">
        <f t="shared" si="7"/>
        <v>0.6924596147686225</v>
      </c>
    </row>
    <row r="126" spans="1:11">
      <c r="A126" s="77" t="s">
        <v>109</v>
      </c>
      <c r="B126" s="83">
        <f>publ_fin!D133</f>
        <v>6881321.9299999997</v>
      </c>
      <c r="C126" s="83">
        <f>publ_fin!E133</f>
        <v>0</v>
      </c>
      <c r="D126" s="83">
        <f>publ_fin!G133</f>
        <v>0</v>
      </c>
      <c r="E126" s="83">
        <f t="shared" si="6"/>
        <v>6881321.9299999997</v>
      </c>
      <c r="F126" s="83">
        <f>publ_fin!F133</f>
        <v>0</v>
      </c>
      <c r="G126" s="42"/>
      <c r="H126" s="42"/>
      <c r="I126" s="81">
        <v>17661051.27</v>
      </c>
      <c r="J126" s="62">
        <f t="shared" si="7"/>
        <v>1</v>
      </c>
    </row>
    <row r="127" spans="1:11">
      <c r="A127" s="77" t="s">
        <v>353</v>
      </c>
      <c r="B127" s="83">
        <f>publ_fin!D134</f>
        <v>4332521</v>
      </c>
      <c r="C127" s="83">
        <f>publ_fin!E134</f>
        <v>0</v>
      </c>
      <c r="D127" s="83">
        <f>publ_fin!G134</f>
        <v>0</v>
      </c>
      <c r="E127" s="83">
        <f t="shared" si="6"/>
        <v>4332521</v>
      </c>
      <c r="F127" s="83">
        <f>publ_fin!F134</f>
        <v>0</v>
      </c>
      <c r="G127" s="80">
        <v>12013609.99</v>
      </c>
      <c r="H127" s="42"/>
      <c r="I127" s="81">
        <v>3676100.66</v>
      </c>
      <c r="J127" s="62">
        <f t="shared" si="7"/>
        <v>1</v>
      </c>
      <c r="K127" s="76">
        <v>0.87717858650842973</v>
      </c>
    </row>
    <row r="128" spans="1:11">
      <c r="A128" s="77" t="s">
        <v>112</v>
      </c>
      <c r="B128" s="83">
        <f>publ_fin!D135</f>
        <v>7765913.9199999999</v>
      </c>
      <c r="C128" s="83">
        <f>publ_fin!E135</f>
        <v>0</v>
      </c>
      <c r="D128" s="83">
        <f>publ_fin!G135</f>
        <v>0</v>
      </c>
      <c r="E128" s="83">
        <f t="shared" si="6"/>
        <v>7765913.9199999999</v>
      </c>
      <c r="F128" s="83">
        <f>publ_fin!F135</f>
        <v>0</v>
      </c>
      <c r="G128" s="42"/>
      <c r="H128" s="42"/>
      <c r="I128" s="81">
        <v>0</v>
      </c>
      <c r="J128" s="62">
        <f t="shared" si="7"/>
        <v>1</v>
      </c>
    </row>
    <row r="129" spans="1:11">
      <c r="A129" s="77" t="s">
        <v>113</v>
      </c>
      <c r="B129" s="83">
        <f>publ_fin!D136</f>
        <v>4343809.4400000004</v>
      </c>
      <c r="C129" s="83">
        <f>publ_fin!E136</f>
        <v>0</v>
      </c>
      <c r="D129" s="83">
        <f>publ_fin!G136</f>
        <v>0</v>
      </c>
      <c r="E129" s="83">
        <f t="shared" si="6"/>
        <v>4343809.4400000004</v>
      </c>
      <c r="F129" s="83">
        <f>publ_fin!F136</f>
        <v>0</v>
      </c>
      <c r="G129" s="42"/>
      <c r="H129" s="42"/>
      <c r="I129" s="81">
        <v>0</v>
      </c>
      <c r="J129" s="62">
        <f t="shared" si="7"/>
        <v>1</v>
      </c>
    </row>
    <row r="130" spans="1:11">
      <c r="A130" s="77" t="s">
        <v>209</v>
      </c>
      <c r="B130" s="83">
        <f>publ_fin!D137</f>
        <v>0</v>
      </c>
      <c r="C130" s="83">
        <f>publ_fin!E137</f>
        <v>0</v>
      </c>
      <c r="D130" s="83">
        <f>publ_fin!G137</f>
        <v>0</v>
      </c>
      <c r="E130" s="83">
        <f t="shared" si="6"/>
        <v>0</v>
      </c>
      <c r="F130" s="83">
        <f>publ_fin!F137</f>
        <v>0</v>
      </c>
      <c r="G130" s="42"/>
      <c r="H130" s="80">
        <v>578653.67000000004</v>
      </c>
      <c r="I130" s="81">
        <v>0</v>
      </c>
      <c r="J130" s="62" t="str">
        <f t="shared" si="7"/>
        <v/>
      </c>
    </row>
    <row r="131" spans="1:11">
      <c r="A131" s="77" t="s">
        <v>114</v>
      </c>
      <c r="B131" s="83">
        <f>publ_fin!D138</f>
        <v>0</v>
      </c>
      <c r="C131" s="83">
        <f>publ_fin!E138</f>
        <v>0</v>
      </c>
      <c r="D131" s="83">
        <f>publ_fin!G138</f>
        <v>0</v>
      </c>
      <c r="E131" s="83">
        <f t="shared" ref="E131:E156" si="8">SUM(B131:D131)</f>
        <v>0</v>
      </c>
      <c r="F131" s="83">
        <f>publ_fin!F138</f>
        <v>0</v>
      </c>
      <c r="G131" s="42"/>
      <c r="H131" s="42"/>
      <c r="I131" s="81">
        <v>0</v>
      </c>
      <c r="J131" s="62" t="str">
        <f t="shared" ref="J131:J156" si="9">IFERROR(E131/(F131+E131),"")</f>
        <v/>
      </c>
    </row>
    <row r="132" spans="1:11">
      <c r="A132" s="77" t="s">
        <v>182</v>
      </c>
      <c r="B132" s="83">
        <f>publ_fin!D139</f>
        <v>14890142.49</v>
      </c>
      <c r="C132" s="83">
        <f>publ_fin!E139</f>
        <v>0</v>
      </c>
      <c r="D132" s="83">
        <f>publ_fin!G139</f>
        <v>0</v>
      </c>
      <c r="E132" s="83">
        <f t="shared" si="8"/>
        <v>14890142.49</v>
      </c>
      <c r="F132" s="83">
        <f>publ_fin!F139</f>
        <v>0</v>
      </c>
      <c r="G132" s="42"/>
      <c r="H132" s="80">
        <v>1370455.15</v>
      </c>
      <c r="I132" s="81">
        <v>0</v>
      </c>
      <c r="J132" s="62">
        <f t="shared" si="9"/>
        <v>1</v>
      </c>
    </row>
    <row r="133" spans="1:11">
      <c r="A133" s="77" t="s">
        <v>164</v>
      </c>
      <c r="B133" s="83">
        <f>publ_fin!D140</f>
        <v>6445071.8099999996</v>
      </c>
      <c r="C133" s="83">
        <f>publ_fin!E140</f>
        <v>0</v>
      </c>
      <c r="D133" s="83">
        <f>publ_fin!G140</f>
        <v>0</v>
      </c>
      <c r="E133" s="83">
        <f t="shared" si="8"/>
        <v>6445071.8099999996</v>
      </c>
      <c r="F133" s="83">
        <f>publ_fin!F140</f>
        <v>0</v>
      </c>
      <c r="G133" s="42"/>
      <c r="H133" s="80">
        <v>766554.65</v>
      </c>
      <c r="I133" s="81">
        <v>0</v>
      </c>
      <c r="J133" s="62">
        <f t="shared" si="9"/>
        <v>1</v>
      </c>
    </row>
    <row r="134" spans="1:11">
      <c r="A134" s="77" t="s">
        <v>117</v>
      </c>
      <c r="B134" s="83">
        <f>publ_fin!D141</f>
        <v>3999999.13</v>
      </c>
      <c r="C134" s="83">
        <f>publ_fin!E141</f>
        <v>0</v>
      </c>
      <c r="D134" s="83">
        <f>publ_fin!G141</f>
        <v>0</v>
      </c>
      <c r="E134" s="83">
        <f t="shared" si="8"/>
        <v>3999999.13</v>
      </c>
      <c r="F134" s="83">
        <f>publ_fin!F141</f>
        <v>0</v>
      </c>
      <c r="G134" s="42"/>
      <c r="H134" s="80">
        <v>0</v>
      </c>
      <c r="I134" s="81">
        <v>0</v>
      </c>
      <c r="J134" s="62">
        <f t="shared" si="9"/>
        <v>1</v>
      </c>
    </row>
    <row r="135" spans="1:11">
      <c r="A135" s="77" t="s">
        <v>118</v>
      </c>
      <c r="B135" s="83">
        <f>publ_fin!D142</f>
        <v>47759948.920000002</v>
      </c>
      <c r="C135" s="83">
        <f>publ_fin!E142</f>
        <v>0</v>
      </c>
      <c r="D135" s="83">
        <f>publ_fin!G142</f>
        <v>0</v>
      </c>
      <c r="E135" s="83">
        <f t="shared" si="8"/>
        <v>47759948.920000002</v>
      </c>
      <c r="F135" s="83">
        <f>publ_fin!F142</f>
        <v>0</v>
      </c>
      <c r="G135" s="42"/>
      <c r="H135" s="80">
        <v>0</v>
      </c>
      <c r="I135" s="81">
        <v>0</v>
      </c>
      <c r="J135" s="62">
        <f t="shared" si="9"/>
        <v>1</v>
      </c>
    </row>
    <row r="136" spans="1:11">
      <c r="A136" s="77" t="s">
        <v>120</v>
      </c>
      <c r="B136" s="83">
        <f>publ_fin!D143</f>
        <v>4851702.7</v>
      </c>
      <c r="C136" s="83">
        <f>publ_fin!E143</f>
        <v>0</v>
      </c>
      <c r="D136" s="83">
        <f>publ_fin!G143</f>
        <v>0</v>
      </c>
      <c r="E136" s="83">
        <f t="shared" si="8"/>
        <v>4851702.7</v>
      </c>
      <c r="F136" s="83">
        <f>publ_fin!F143</f>
        <v>0</v>
      </c>
      <c r="G136" s="42"/>
      <c r="H136" s="80">
        <v>2627672.41</v>
      </c>
      <c r="I136" s="81">
        <v>0</v>
      </c>
      <c r="J136" s="62">
        <f t="shared" si="9"/>
        <v>1</v>
      </c>
    </row>
    <row r="137" spans="1:11">
      <c r="A137" s="77" t="s">
        <v>172</v>
      </c>
      <c r="B137" s="83">
        <f>publ_fin!D144</f>
        <v>0</v>
      </c>
      <c r="C137" s="83">
        <f>publ_fin!E144</f>
        <v>0</v>
      </c>
      <c r="D137" s="83">
        <f>publ_fin!G144</f>
        <v>308514675.55000001</v>
      </c>
      <c r="E137" s="83">
        <f t="shared" si="8"/>
        <v>308514675.55000001</v>
      </c>
      <c r="F137" s="83">
        <f>publ_fin!F144</f>
        <v>13751147.4</v>
      </c>
      <c r="G137" s="42"/>
      <c r="H137" s="80">
        <v>1137366.69</v>
      </c>
      <c r="I137" s="81">
        <v>0</v>
      </c>
      <c r="J137" s="62">
        <f t="shared" si="9"/>
        <v>0.95732979912631477</v>
      </c>
    </row>
    <row r="138" spans="1:11">
      <c r="A138" s="77" t="s">
        <v>161</v>
      </c>
      <c r="B138" s="83">
        <f>publ_fin!D145</f>
        <v>0</v>
      </c>
      <c r="C138" s="83">
        <f>publ_fin!E145</f>
        <v>0</v>
      </c>
      <c r="D138" s="83">
        <f>publ_fin!G145</f>
        <v>11830766.390000001</v>
      </c>
      <c r="E138" s="83">
        <f t="shared" si="8"/>
        <v>11830766.390000001</v>
      </c>
      <c r="F138" s="83">
        <f>publ_fin!F145</f>
        <v>0</v>
      </c>
      <c r="G138" s="42"/>
      <c r="H138" s="42"/>
      <c r="I138" s="81">
        <v>1999999.56</v>
      </c>
      <c r="J138" s="62">
        <f t="shared" si="9"/>
        <v>1</v>
      </c>
    </row>
    <row r="139" spans="1:11">
      <c r="A139" s="77" t="s">
        <v>196</v>
      </c>
      <c r="B139" s="83">
        <f>publ_fin!D146</f>
        <v>0</v>
      </c>
      <c r="C139" s="83">
        <f>publ_fin!E146</f>
        <v>0</v>
      </c>
      <c r="D139" s="83">
        <f>publ_fin!G146</f>
        <v>27987494.52</v>
      </c>
      <c r="E139" s="83">
        <f t="shared" si="8"/>
        <v>27987494.52</v>
      </c>
      <c r="F139" s="83">
        <f>publ_fin!F146</f>
        <v>0</v>
      </c>
      <c r="G139" s="42"/>
      <c r="H139" s="80">
        <v>0</v>
      </c>
      <c r="I139" s="81">
        <v>33388028.100000001</v>
      </c>
      <c r="J139" s="62">
        <f t="shared" si="9"/>
        <v>1</v>
      </c>
    </row>
    <row r="140" spans="1:11">
      <c r="A140" s="77" t="s">
        <v>365</v>
      </c>
      <c r="B140" s="83">
        <f>publ_fin!D147</f>
        <v>0</v>
      </c>
      <c r="C140" s="83">
        <f>publ_fin!E147</f>
        <v>0</v>
      </c>
      <c r="D140" s="83">
        <f>publ_fin!G147</f>
        <v>28889072.57</v>
      </c>
      <c r="E140" s="83">
        <f t="shared" si="8"/>
        <v>28889072.57</v>
      </c>
      <c r="F140" s="83">
        <f>publ_fin!F147</f>
        <v>0</v>
      </c>
      <c r="G140" s="42"/>
      <c r="H140" s="80">
        <v>1617234.23</v>
      </c>
      <c r="I140" s="81">
        <v>0</v>
      </c>
      <c r="J140" s="62">
        <f t="shared" si="9"/>
        <v>1</v>
      </c>
    </row>
    <row r="141" spans="1:11">
      <c r="A141" s="77" t="s">
        <v>167</v>
      </c>
      <c r="B141" s="83">
        <f>publ_fin!D148</f>
        <v>0</v>
      </c>
      <c r="C141" s="83">
        <f>publ_fin!E148</f>
        <v>0</v>
      </c>
      <c r="D141" s="83">
        <f>publ_fin!G148</f>
        <v>7064714.4199999999</v>
      </c>
      <c r="E141" s="83">
        <f t="shared" si="8"/>
        <v>7064714.4199999999</v>
      </c>
      <c r="F141" s="83">
        <f>publ_fin!F148</f>
        <v>0</v>
      </c>
      <c r="G141" s="80">
        <v>2556829.77</v>
      </c>
      <c r="H141" s="42"/>
      <c r="I141" s="81">
        <v>17549116.379999999</v>
      </c>
      <c r="J141" s="62">
        <f t="shared" si="9"/>
        <v>1</v>
      </c>
      <c r="K141" s="76">
        <v>0.94874435620960484</v>
      </c>
    </row>
    <row r="142" spans="1:11">
      <c r="A142" s="77" t="s">
        <v>368</v>
      </c>
      <c r="B142" s="83">
        <f>publ_fin!D149</f>
        <v>0</v>
      </c>
      <c r="C142" s="83">
        <f>publ_fin!E149</f>
        <v>0</v>
      </c>
      <c r="D142" s="83">
        <f>publ_fin!G149</f>
        <v>7168600.7999999998</v>
      </c>
      <c r="E142" s="83">
        <f t="shared" si="8"/>
        <v>7168600.7999999998</v>
      </c>
      <c r="F142" s="83">
        <f>publ_fin!F149</f>
        <v>798863.95</v>
      </c>
      <c r="G142" s="42"/>
      <c r="H142" s="80">
        <v>6482332.3700000001</v>
      </c>
      <c r="I142" s="81">
        <v>0</v>
      </c>
      <c r="J142" s="62">
        <f t="shared" si="9"/>
        <v>0.89973423478277703</v>
      </c>
    </row>
    <row r="143" spans="1:11">
      <c r="A143" s="77" t="s">
        <v>148</v>
      </c>
      <c r="B143" s="83">
        <f>publ_fin!D150</f>
        <v>0</v>
      </c>
      <c r="C143" s="83">
        <f>publ_fin!E150</f>
        <v>0</v>
      </c>
      <c r="D143" s="83">
        <f>publ_fin!G150</f>
        <v>59056401.549999997</v>
      </c>
      <c r="E143" s="83">
        <f t="shared" si="8"/>
        <v>59056401.549999997</v>
      </c>
      <c r="F143" s="83">
        <f>publ_fin!F150</f>
        <v>0</v>
      </c>
      <c r="G143" s="42"/>
      <c r="H143" s="42"/>
      <c r="I143" s="81">
        <v>4973372.12</v>
      </c>
      <c r="J143" s="62">
        <f t="shared" si="9"/>
        <v>1</v>
      </c>
    </row>
    <row r="144" spans="1:11">
      <c r="A144" s="77" t="s">
        <v>183</v>
      </c>
      <c r="B144" s="83">
        <f>publ_fin!D151</f>
        <v>0</v>
      </c>
      <c r="C144" s="83">
        <f>publ_fin!E151</f>
        <v>0</v>
      </c>
      <c r="D144" s="83">
        <f>publ_fin!G151</f>
        <v>0</v>
      </c>
      <c r="E144" s="83">
        <f t="shared" si="8"/>
        <v>0</v>
      </c>
      <c r="F144" s="83">
        <f>publ_fin!F151</f>
        <v>0</v>
      </c>
      <c r="G144" s="42"/>
      <c r="H144" s="42"/>
      <c r="I144" s="81">
        <v>39055719.270000003</v>
      </c>
      <c r="J144" s="62" t="str">
        <f t="shared" si="9"/>
        <v/>
      </c>
    </row>
    <row r="145" spans="1:10">
      <c r="A145" s="77" t="s">
        <v>169</v>
      </c>
      <c r="B145" s="83">
        <f>publ_fin!D152</f>
        <v>0</v>
      </c>
      <c r="C145" s="83">
        <f>publ_fin!E152</f>
        <v>0</v>
      </c>
      <c r="D145" s="83">
        <f>publ_fin!G152</f>
        <v>20795736.329999998</v>
      </c>
      <c r="E145" s="83">
        <f t="shared" si="8"/>
        <v>20795736.329999998</v>
      </c>
      <c r="F145" s="83">
        <f>publ_fin!F152</f>
        <v>0</v>
      </c>
      <c r="G145" s="42"/>
      <c r="H145" s="42"/>
      <c r="I145" s="81">
        <v>0</v>
      </c>
      <c r="J145" s="62">
        <f t="shared" si="9"/>
        <v>1</v>
      </c>
    </row>
    <row r="146" spans="1:10">
      <c r="A146" s="77" t="s">
        <v>184</v>
      </c>
      <c r="B146" s="83">
        <f>publ_fin!D153</f>
        <v>0</v>
      </c>
      <c r="C146" s="83">
        <f>publ_fin!E153</f>
        <v>0</v>
      </c>
      <c r="D146" s="83">
        <f>publ_fin!G153</f>
        <v>0</v>
      </c>
      <c r="E146" s="83">
        <f t="shared" si="8"/>
        <v>0</v>
      </c>
      <c r="F146" s="83">
        <f>publ_fin!F153</f>
        <v>0</v>
      </c>
      <c r="G146" s="42"/>
      <c r="H146" s="42"/>
      <c r="I146" s="81">
        <v>0</v>
      </c>
      <c r="J146" s="62" t="str">
        <f t="shared" si="9"/>
        <v/>
      </c>
    </row>
    <row r="147" spans="1:10">
      <c r="A147" s="77" t="s">
        <v>374</v>
      </c>
      <c r="B147" s="83">
        <f>publ_fin!D154</f>
        <v>0</v>
      </c>
      <c r="C147" s="83">
        <f>publ_fin!E154</f>
        <v>0</v>
      </c>
      <c r="D147" s="83">
        <f>publ_fin!G154</f>
        <v>0</v>
      </c>
      <c r="E147" s="83">
        <f t="shared" si="8"/>
        <v>0</v>
      </c>
      <c r="F147" s="83">
        <f>publ_fin!F154</f>
        <v>0</v>
      </c>
      <c r="G147" s="42"/>
      <c r="H147" s="42"/>
      <c r="I147" s="81">
        <v>55330599.289999999</v>
      </c>
      <c r="J147" s="62" t="str">
        <f t="shared" si="9"/>
        <v/>
      </c>
    </row>
    <row r="148" spans="1:10">
      <c r="A148" s="77" t="s">
        <v>158</v>
      </c>
      <c r="B148" s="83">
        <f>publ_fin!D155</f>
        <v>177834211.13999999</v>
      </c>
      <c r="C148" s="83">
        <f>publ_fin!E155</f>
        <v>0</v>
      </c>
      <c r="D148" s="83">
        <f>publ_fin!G155</f>
        <v>0</v>
      </c>
      <c r="E148" s="83">
        <f t="shared" si="8"/>
        <v>177834211.13999999</v>
      </c>
      <c r="F148" s="83">
        <f>publ_fin!F155</f>
        <v>0</v>
      </c>
      <c r="G148" s="42"/>
      <c r="H148" s="80">
        <v>0</v>
      </c>
      <c r="I148" s="81">
        <v>0</v>
      </c>
      <c r="J148" s="62">
        <f t="shared" si="9"/>
        <v>1</v>
      </c>
    </row>
    <row r="149" spans="1:10">
      <c r="A149" s="77" t="s">
        <v>143</v>
      </c>
      <c r="B149" s="83">
        <f>publ_fin!D156</f>
        <v>7028040</v>
      </c>
      <c r="C149" s="83">
        <f>publ_fin!E156</f>
        <v>0</v>
      </c>
      <c r="D149" s="83">
        <f>publ_fin!G156</f>
        <v>0</v>
      </c>
      <c r="E149" s="83">
        <f t="shared" si="8"/>
        <v>7028040</v>
      </c>
      <c r="F149" s="83">
        <f>publ_fin!F156</f>
        <v>0</v>
      </c>
      <c r="G149" s="42"/>
      <c r="H149" s="42"/>
      <c r="I149" s="81">
        <v>21365500.23</v>
      </c>
      <c r="J149" s="62">
        <f t="shared" si="9"/>
        <v>1</v>
      </c>
    </row>
    <row r="150" spans="1:10">
      <c r="A150" s="77" t="s">
        <v>126</v>
      </c>
      <c r="B150" s="83">
        <f>publ_fin!D157</f>
        <v>8061738.8799999999</v>
      </c>
      <c r="C150" s="83">
        <f>publ_fin!E157</f>
        <v>0</v>
      </c>
      <c r="D150" s="83">
        <f>publ_fin!G157</f>
        <v>0</v>
      </c>
      <c r="E150" s="83">
        <f t="shared" si="8"/>
        <v>8061738.8799999999</v>
      </c>
      <c r="F150" s="83">
        <f>publ_fin!F157</f>
        <v>0</v>
      </c>
      <c r="G150" s="42"/>
      <c r="H150" s="80">
        <v>0</v>
      </c>
      <c r="I150" s="81">
        <v>0</v>
      </c>
      <c r="J150" s="62">
        <f t="shared" si="9"/>
        <v>1</v>
      </c>
    </row>
    <row r="151" spans="1:10">
      <c r="A151" s="77" t="s">
        <v>127</v>
      </c>
      <c r="B151" s="83">
        <f>publ_fin!D158</f>
        <v>40488570.07</v>
      </c>
      <c r="C151" s="83">
        <f>publ_fin!E158</f>
        <v>0</v>
      </c>
      <c r="D151" s="83">
        <f>publ_fin!G158</f>
        <v>0</v>
      </c>
      <c r="E151" s="83">
        <f t="shared" si="8"/>
        <v>40488570.07</v>
      </c>
      <c r="F151" s="83">
        <f>publ_fin!F158</f>
        <v>0</v>
      </c>
      <c r="G151" s="42"/>
      <c r="H151" s="80">
        <v>0</v>
      </c>
      <c r="I151" s="81">
        <v>0</v>
      </c>
      <c r="J151" s="62">
        <f t="shared" si="9"/>
        <v>1</v>
      </c>
    </row>
    <row r="152" spans="1:10">
      <c r="A152" s="77" t="s">
        <v>377</v>
      </c>
      <c r="B152" s="83">
        <f>publ_fin!D159</f>
        <v>0</v>
      </c>
      <c r="C152" s="83">
        <f>publ_fin!E159</f>
        <v>0</v>
      </c>
      <c r="D152" s="83">
        <f>publ_fin!G159</f>
        <v>8574208.8000000007</v>
      </c>
      <c r="E152" s="83">
        <f t="shared" si="8"/>
        <v>8574208.8000000007</v>
      </c>
      <c r="F152" s="83">
        <f>publ_fin!F159</f>
        <v>0</v>
      </c>
      <c r="G152" s="42"/>
      <c r="H152" s="80">
        <v>31382508.719999999</v>
      </c>
      <c r="I152" s="81">
        <v>0</v>
      </c>
      <c r="J152" s="62">
        <f t="shared" si="9"/>
        <v>1</v>
      </c>
    </row>
    <row r="153" spans="1:10">
      <c r="A153" s="77" t="s">
        <v>130</v>
      </c>
      <c r="B153" s="83">
        <f>publ_fin!D160</f>
        <v>1691901255.6500001</v>
      </c>
      <c r="C153" s="83">
        <f>publ_fin!E160</f>
        <v>409807624.75</v>
      </c>
      <c r="D153" s="83">
        <f>publ_fin!G160</f>
        <v>1082161120.5699999</v>
      </c>
      <c r="E153" s="83">
        <f t="shared" si="8"/>
        <v>3183870000.9700003</v>
      </c>
      <c r="F153" s="83">
        <f>publ_fin!F160</f>
        <v>199101829.03999999</v>
      </c>
      <c r="G153" s="42"/>
      <c r="H153" s="80">
        <v>1240241.73</v>
      </c>
      <c r="I153" s="81">
        <v>0</v>
      </c>
      <c r="J153" s="62">
        <f t="shared" si="9"/>
        <v>0.94114588029560642</v>
      </c>
    </row>
    <row r="154" spans="1:10">
      <c r="A154" s="77" t="s">
        <v>133</v>
      </c>
      <c r="B154" s="83">
        <f>publ_fin!D161</f>
        <v>0</v>
      </c>
      <c r="C154" s="83">
        <f>publ_fin!E161</f>
        <v>0</v>
      </c>
      <c r="D154" s="83">
        <f>publ_fin!G161</f>
        <v>0</v>
      </c>
      <c r="E154" s="83">
        <f t="shared" si="8"/>
        <v>0</v>
      </c>
      <c r="F154" s="83">
        <f>publ_fin!F161</f>
        <v>0</v>
      </c>
      <c r="G154" s="42"/>
      <c r="H154" s="80">
        <v>1422660.84</v>
      </c>
      <c r="I154" s="81">
        <v>0</v>
      </c>
      <c r="J154" s="62" t="str">
        <f t="shared" si="9"/>
        <v/>
      </c>
    </row>
    <row r="155" spans="1:10">
      <c r="A155" s="77" t="s">
        <v>193</v>
      </c>
      <c r="B155" s="83">
        <f>publ_fin!D162</f>
        <v>0</v>
      </c>
      <c r="C155" s="83">
        <f>publ_fin!E162</f>
        <v>0</v>
      </c>
      <c r="D155" s="83">
        <f>publ_fin!G162</f>
        <v>0</v>
      </c>
      <c r="E155" s="83">
        <f t="shared" si="8"/>
        <v>0</v>
      </c>
      <c r="F155" s="83">
        <f>publ_fin!F162</f>
        <v>0</v>
      </c>
      <c r="G155" s="42"/>
      <c r="H155" s="42"/>
      <c r="I155" s="81">
        <v>0</v>
      </c>
      <c r="J155" s="62" t="str">
        <f t="shared" si="9"/>
        <v/>
      </c>
    </row>
    <row r="156" spans="1:10">
      <c r="A156" s="77" t="s">
        <v>195</v>
      </c>
      <c r="B156" s="83">
        <f>publ_fin!D163</f>
        <v>0</v>
      </c>
      <c r="C156" s="83">
        <f>publ_fin!E163</f>
        <v>0</v>
      </c>
      <c r="D156" s="83">
        <f>publ_fin!G163</f>
        <v>0</v>
      </c>
      <c r="E156" s="83">
        <f t="shared" si="8"/>
        <v>0</v>
      </c>
      <c r="F156" s="83">
        <f>publ_fin!F163</f>
        <v>0</v>
      </c>
      <c r="G156" s="42"/>
      <c r="H156" s="42"/>
      <c r="I156" s="81">
        <v>0</v>
      </c>
      <c r="J156" s="62" t="str">
        <f t="shared" si="9"/>
        <v/>
      </c>
    </row>
  </sheetData>
  <mergeCells count="3">
    <mergeCell ref="J1:J2"/>
    <mergeCell ref="A1:A2"/>
    <mergeCell ref="B1:I1"/>
  </mergeCells>
  <pageMargins left="0.75" right="0.75" top="1" bottom="1" header="0.5" footer="0.5"/>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S93"/>
  <sheetViews>
    <sheetView tabSelected="1" view="pageLayout" topLeftCell="A56" zoomScale="70" zoomScaleNormal="70" zoomScaleSheetLayoutView="70" zoomScalePageLayoutView="70" workbookViewId="0">
      <selection activeCell="J62" sqref="J62:S62"/>
    </sheetView>
  </sheetViews>
  <sheetFormatPr defaultColWidth="9.140625" defaultRowHeight="17.25"/>
  <cols>
    <col min="1" max="1" width="13" style="283" customWidth="1"/>
    <col min="2" max="2" width="31.140625" style="361" customWidth="1"/>
    <col min="3" max="3" width="14.28515625" style="283" customWidth="1"/>
    <col min="4" max="4" width="19.140625" style="283" customWidth="1"/>
    <col min="5" max="5" width="19.28515625" style="320" customWidth="1"/>
    <col min="6" max="7" width="19.28515625" style="299" customWidth="1"/>
    <col min="8" max="8" width="19.28515625" style="305" customWidth="1"/>
    <col min="9" max="9" width="19.28515625" style="299" customWidth="1"/>
    <col min="10" max="10" width="22.5703125" style="305" customWidth="1"/>
    <col min="11" max="12" width="19.28515625" style="299" customWidth="1"/>
    <col min="13" max="13" width="19.28515625" style="952" hidden="1" customWidth="1"/>
    <col min="14" max="14" width="19.28515625" style="305" customWidth="1"/>
    <col min="15" max="15" width="19.28515625" style="952" hidden="1" customWidth="1"/>
    <col min="16" max="17" width="19.28515625" style="305" customWidth="1"/>
    <col min="18" max="18" width="52.140625" style="299" customWidth="1"/>
    <col min="19" max="16384" width="9.140625" style="283"/>
  </cols>
  <sheetData>
    <row r="1" spans="1:18" ht="20.25">
      <c r="A1" s="277"/>
      <c r="B1" s="277"/>
      <c r="C1" s="277"/>
      <c r="D1" s="277"/>
      <c r="E1" s="278"/>
      <c r="F1" s="362"/>
      <c r="G1" s="362"/>
      <c r="H1" s="279"/>
      <c r="I1" s="362"/>
      <c r="J1" s="279"/>
      <c r="K1" s="362"/>
      <c r="L1" s="362"/>
      <c r="M1" s="942"/>
      <c r="N1" s="1062" t="s">
        <v>1429</v>
      </c>
      <c r="O1" s="1063"/>
      <c r="P1" s="1063"/>
      <c r="Q1" s="1063"/>
      <c r="R1" s="1063"/>
    </row>
    <row r="2" spans="1:18" ht="36.75" customHeight="1">
      <c r="A2" s="1023"/>
      <c r="B2" s="1023"/>
      <c r="C2" s="1023"/>
      <c r="D2" s="1023"/>
      <c r="E2" s="1023"/>
      <c r="F2" s="1023"/>
      <c r="G2" s="1023"/>
      <c r="H2" s="1023"/>
      <c r="I2" s="1023"/>
      <c r="J2" s="1023"/>
      <c r="K2" s="1023"/>
      <c r="L2" s="1023"/>
      <c r="M2" s="1023"/>
      <c r="N2" s="1063"/>
      <c r="O2" s="1063"/>
      <c r="P2" s="1063"/>
      <c r="Q2" s="1063"/>
      <c r="R2" s="1063"/>
    </row>
    <row r="3" spans="1:18" ht="20.25" customHeight="1">
      <c r="A3" s="277"/>
      <c r="B3" s="277"/>
      <c r="C3" s="277"/>
      <c r="D3" s="277"/>
      <c r="E3" s="1064" t="s">
        <v>1428</v>
      </c>
      <c r="F3" s="1064"/>
      <c r="G3" s="1064"/>
      <c r="H3" s="1064"/>
      <c r="I3" s="1064"/>
      <c r="J3" s="1064"/>
      <c r="K3" s="362"/>
      <c r="L3" s="362"/>
      <c r="M3" s="942"/>
      <c r="N3" s="1063"/>
      <c r="O3" s="1063"/>
      <c r="P3" s="1063"/>
      <c r="Q3" s="1063"/>
      <c r="R3" s="1063"/>
    </row>
    <row r="4" spans="1:18" ht="20.25">
      <c r="A4" s="284"/>
      <c r="B4" s="277"/>
      <c r="C4" s="277"/>
      <c r="D4" s="277"/>
      <c r="E4" s="1064"/>
      <c r="F4" s="1064"/>
      <c r="G4" s="1064"/>
      <c r="H4" s="1064"/>
      <c r="I4" s="1064"/>
      <c r="J4" s="1064"/>
      <c r="K4" s="362"/>
      <c r="L4" s="362"/>
      <c r="M4" s="942"/>
      <c r="N4" s="1063"/>
      <c r="O4" s="1063"/>
      <c r="P4" s="1063"/>
      <c r="Q4" s="1063"/>
      <c r="R4" s="1063"/>
    </row>
    <row r="5" spans="1:18" ht="21" thickBot="1">
      <c r="A5" s="277"/>
      <c r="B5" s="277"/>
      <c r="C5" s="277"/>
      <c r="D5" s="277"/>
      <c r="E5" s="368"/>
      <c r="F5" s="869"/>
      <c r="G5" s="362"/>
      <c r="H5" s="894"/>
      <c r="I5" s="362"/>
      <c r="J5" s="894"/>
      <c r="K5" s="869"/>
      <c r="L5" s="869"/>
      <c r="M5" s="943"/>
      <c r="N5" s="894"/>
      <c r="O5" s="943"/>
      <c r="P5" s="894"/>
      <c r="Q5" s="894"/>
      <c r="R5" s="869"/>
    </row>
    <row r="6" spans="1:18" s="287" customFormat="1" ht="201.75" customHeight="1" thickTop="1">
      <c r="A6" s="5" t="s">
        <v>833</v>
      </c>
      <c r="B6" s="78" t="s">
        <v>834</v>
      </c>
      <c r="C6" s="78" t="s">
        <v>835</v>
      </c>
      <c r="D6" s="78" t="s">
        <v>836</v>
      </c>
      <c r="E6" s="78" t="s">
        <v>880</v>
      </c>
      <c r="F6" s="78" t="s">
        <v>1374</v>
      </c>
      <c r="G6" s="78" t="s">
        <v>883</v>
      </c>
      <c r="H6" s="78" t="s">
        <v>1356</v>
      </c>
      <c r="I6" s="78" t="s">
        <v>886</v>
      </c>
      <c r="J6" s="78" t="s">
        <v>919</v>
      </c>
      <c r="K6" s="78" t="s">
        <v>1389</v>
      </c>
      <c r="L6" s="78" t="s">
        <v>1390</v>
      </c>
      <c r="M6" s="944" t="s">
        <v>1379</v>
      </c>
      <c r="N6" s="955" t="s">
        <v>1365</v>
      </c>
      <c r="O6" s="956" t="s">
        <v>1380</v>
      </c>
      <c r="P6" s="955" t="s">
        <v>1385</v>
      </c>
      <c r="Q6" s="955" t="s">
        <v>1388</v>
      </c>
      <c r="R6" s="78" t="s">
        <v>1362</v>
      </c>
    </row>
    <row r="7" spans="1:18" s="292" customFormat="1">
      <c r="A7" s="390">
        <v>1</v>
      </c>
      <c r="B7" s="288">
        <v>2</v>
      </c>
      <c r="C7" s="288">
        <v>3</v>
      </c>
      <c r="D7" s="288">
        <v>4</v>
      </c>
      <c r="E7" s="288">
        <v>5</v>
      </c>
      <c r="F7" s="289" t="s">
        <v>1391</v>
      </c>
      <c r="G7" s="288">
        <v>7</v>
      </c>
      <c r="H7" s="288" t="s">
        <v>1392</v>
      </c>
      <c r="I7" s="288">
        <v>9</v>
      </c>
      <c r="J7" s="288">
        <v>10</v>
      </c>
      <c r="K7" s="288">
        <v>11</v>
      </c>
      <c r="L7" s="288">
        <v>12</v>
      </c>
      <c r="M7" s="945" t="s">
        <v>1384</v>
      </c>
      <c r="N7" s="957" t="s">
        <v>1384</v>
      </c>
      <c r="O7" s="945" t="s">
        <v>1395</v>
      </c>
      <c r="P7" s="288" t="s">
        <v>1395</v>
      </c>
      <c r="Q7" s="288">
        <v>15</v>
      </c>
      <c r="R7" s="288">
        <v>16</v>
      </c>
    </row>
    <row r="8" spans="1:18" s="293" customFormat="1" ht="34.5">
      <c r="A8" s="924"/>
      <c r="B8" s="26" t="s">
        <v>396</v>
      </c>
      <c r="C8" s="268"/>
      <c r="E8" s="294">
        <f>E17+E23+E30+E33+E40+E45+E48</f>
        <v>284321063</v>
      </c>
      <c r="F8" s="294">
        <f>F17+F23+F30+F33+F40+F45+F48</f>
        <v>-34068478.312560268</v>
      </c>
      <c r="G8" s="294">
        <f>G17+G23+G30+G33+G40+G45+G48</f>
        <v>-28577804.602560267</v>
      </c>
      <c r="H8" s="294">
        <f>H17+H30+H33+H40+H48</f>
        <v>-5490673.71</v>
      </c>
      <c r="I8" s="294">
        <f>I17+I23+I30+I33+I40+I45+I48</f>
        <v>184053690.73377001</v>
      </c>
      <c r="J8" s="294">
        <f>J17+J23+J30+J33+J40+J45+J48</f>
        <v>189796880.03999999</v>
      </c>
      <c r="K8" s="294">
        <f t="shared" ref="K8:P8" si="0">K17+K23+K30+K33+K40+K45+K48</f>
        <v>192030836.05000001</v>
      </c>
      <c r="L8" s="294">
        <f t="shared" si="0"/>
        <v>219607858.05000001</v>
      </c>
      <c r="M8" s="296">
        <f t="shared" si="0"/>
        <v>27574612.576230001</v>
      </c>
      <c r="N8" s="294">
        <f t="shared" si="0"/>
        <v>-1498723.0700000003</v>
      </c>
      <c r="O8" s="296">
        <f t="shared" si="0"/>
        <v>-64713200.410000004</v>
      </c>
      <c r="P8" s="294">
        <f t="shared" si="0"/>
        <v>-65554275.410000004</v>
      </c>
      <c r="Q8" s="294">
        <f>Q17+Q23+Q30+Q33+Q40+Q45+Q48</f>
        <v>-26450481</v>
      </c>
      <c r="R8" s="917" t="s">
        <v>1360</v>
      </c>
    </row>
    <row r="9" spans="1:18" s="293" customFormat="1" ht="17.25" customHeight="1">
      <c r="A9" s="925"/>
      <c r="B9" s="300"/>
      <c r="C9" s="266"/>
      <c r="D9" s="266"/>
      <c r="E9" s="300"/>
      <c r="F9" s="300"/>
      <c r="G9" s="300"/>
      <c r="H9" s="3"/>
      <c r="I9" s="300"/>
      <c r="J9" s="3"/>
      <c r="K9" s="300"/>
      <c r="L9" s="300"/>
      <c r="M9" s="946"/>
      <c r="N9" s="3"/>
      <c r="O9" s="946"/>
      <c r="P9" s="3"/>
      <c r="Q9" s="3"/>
      <c r="R9" s="300"/>
    </row>
    <row r="10" spans="1:18" s="59" customFormat="1" ht="17.25" customHeight="1">
      <c r="A10" s="926"/>
      <c r="B10" s="26" t="s">
        <v>397</v>
      </c>
      <c r="C10" s="27"/>
      <c r="D10" s="27"/>
      <c r="E10" s="294">
        <f>E18+E19+E24+E25+E26+E34+E35+E36+E37+E38+E46</f>
        <v>52671887</v>
      </c>
      <c r="F10" s="966"/>
      <c r="G10" s="964"/>
      <c r="H10" s="294">
        <f t="shared" ref="H10" si="1">H18+H19+H24+H25+H26+H34+H35+H36+H37+H38+H46</f>
        <v>2175912.6462300005</v>
      </c>
      <c r="I10" s="294">
        <f t="shared" ref="I10:O10" si="2">I18+I19+I24+I25+I26+I34+I35+I36+I37+I38+I46</f>
        <v>43467829.743770003</v>
      </c>
      <c r="J10" s="294">
        <f t="shared" si="2"/>
        <v>45643741.390000001</v>
      </c>
      <c r="K10" s="294">
        <f t="shared" si="2"/>
        <v>47026137.390000001</v>
      </c>
      <c r="L10" s="294">
        <f t="shared" si="2"/>
        <v>51747844.390000001</v>
      </c>
      <c r="M10" s="296">
        <f t="shared" si="2"/>
        <v>8280015.646230001</v>
      </c>
      <c r="N10" s="294">
        <f t="shared" ref="N10" si="3">N18+N19+N24+N25+N26+N34+N35+N36+N37+N38+N46</f>
        <v>0</v>
      </c>
      <c r="O10" s="296">
        <f t="shared" si="2"/>
        <v>-924041.60999999987</v>
      </c>
      <c r="P10" s="294">
        <f t="shared" ref="P10" si="4">P18+P19+P24+P25+P26+P34+P35+P36+P37+P38+P46</f>
        <v>-924042.0700000003</v>
      </c>
      <c r="Q10" s="965"/>
      <c r="R10" s="885"/>
    </row>
    <row r="11" spans="1:18" s="59" customFormat="1" ht="17.25" customHeight="1">
      <c r="A11" s="926"/>
      <c r="B11" s="26" t="s">
        <v>398</v>
      </c>
      <c r="C11" s="27"/>
      <c r="D11" s="294"/>
      <c r="E11" s="294">
        <f>E20+E21+E22+E28+E29+E31+E32+E39+E41+E42+E47+E49+E50+E51+E56</f>
        <v>187439677</v>
      </c>
      <c r="F11" s="966"/>
      <c r="G11" s="964"/>
      <c r="H11" s="294">
        <f t="shared" ref="H11" si="5">H20+H21+H22+H28+H29+H31+H32+H39+H41+H42+H47+H49+H50+H51+H56</f>
        <v>7128343.6600000095</v>
      </c>
      <c r="I11" s="294">
        <f t="shared" ref="I11:O11" si="6">I20+I21+I22+I28+I29+I31+I32+I39+I41+I42+I47+I49+I50+I51+I56</f>
        <v>109289608.98999999</v>
      </c>
      <c r="J11" s="294">
        <f t="shared" si="6"/>
        <v>116417948.65000001</v>
      </c>
      <c r="K11" s="294">
        <f t="shared" si="6"/>
        <v>117111589.66</v>
      </c>
      <c r="L11" s="294">
        <f t="shared" si="6"/>
        <v>135773484.66</v>
      </c>
      <c r="M11" s="296">
        <f t="shared" si="6"/>
        <v>26483879.670000009</v>
      </c>
      <c r="N11" s="294">
        <f t="shared" ref="N11" si="7">N20+N21+N22+N28+N29+N31+N32+N39+N41+N42+N47+N49+N50+N51+N56</f>
        <v>-1498723.0700000003</v>
      </c>
      <c r="O11" s="296">
        <f t="shared" si="6"/>
        <v>-51666188.340000004</v>
      </c>
      <c r="P11" s="294">
        <f t="shared" ref="P11" si="8">P20+P21+P22+P28+P29+P31+P32+P39+P41+P42+P47+P49+P50+P51+P56</f>
        <v>-51666188.340000004</v>
      </c>
      <c r="Q11" s="965"/>
      <c r="R11" s="885"/>
    </row>
    <row r="12" spans="1:18" s="293" customFormat="1" ht="17.25" customHeight="1">
      <c r="A12" s="924"/>
      <c r="B12" s="26" t="s">
        <v>399</v>
      </c>
      <c r="C12" s="306"/>
      <c r="D12" s="306"/>
      <c r="E12" s="294">
        <f>E43+E44+E54+E55</f>
        <v>34967484</v>
      </c>
      <c r="F12" s="966"/>
      <c r="G12" s="964"/>
      <c r="H12" s="294">
        <f t="shared" ref="H12" si="9">H43+H44+H54+H55</f>
        <v>-3403143</v>
      </c>
      <c r="I12" s="294">
        <f t="shared" ref="I12:O12" si="10">I43+I44+I54+I55</f>
        <v>31138333</v>
      </c>
      <c r="J12" s="294">
        <f t="shared" si="10"/>
        <v>27735190</v>
      </c>
      <c r="K12" s="294">
        <f t="shared" si="10"/>
        <v>27735190</v>
      </c>
      <c r="L12" s="294">
        <f t="shared" si="10"/>
        <v>31928610</v>
      </c>
      <c r="M12" s="296">
        <f t="shared" si="10"/>
        <v>790277</v>
      </c>
      <c r="N12" s="294">
        <f t="shared" ref="N12" si="11">N43+N44+N54+N55</f>
        <v>0</v>
      </c>
      <c r="O12" s="296">
        <f t="shared" si="10"/>
        <v>-3038874</v>
      </c>
      <c r="P12" s="294">
        <f t="shared" ref="P12" si="12">P43+P44+P54+P55</f>
        <v>-3879949</v>
      </c>
      <c r="Q12" s="965"/>
      <c r="R12" s="885"/>
    </row>
    <row r="13" spans="1:18" s="293" customFormat="1">
      <c r="A13" s="925"/>
      <c r="B13" s="300"/>
      <c r="C13" s="266"/>
      <c r="D13" s="266"/>
      <c r="E13" s="266"/>
      <c r="F13" s="266"/>
      <c r="G13" s="266"/>
      <c r="H13" s="1"/>
      <c r="I13" s="266"/>
      <c r="J13" s="1"/>
      <c r="K13" s="266"/>
      <c r="L13" s="266"/>
      <c r="M13" s="947"/>
      <c r="N13" s="1"/>
      <c r="O13" s="947"/>
      <c r="P13" s="1"/>
      <c r="Q13" s="1"/>
      <c r="R13" s="266"/>
    </row>
    <row r="14" spans="1:18" s="59" customFormat="1">
      <c r="A14" s="926"/>
      <c r="B14" s="26" t="s">
        <v>400</v>
      </c>
      <c r="C14" s="29"/>
      <c r="D14" s="29"/>
      <c r="E14" s="294">
        <f>E18+E19+E24+E25+E26+E34+E35+E36+E37+E38+E46</f>
        <v>52671887</v>
      </c>
      <c r="F14" s="966"/>
      <c r="G14" s="965"/>
      <c r="H14" s="294">
        <f t="shared" ref="H14" si="13">H18+H19+H24+H25+H26+H34+H35+H36+H37+H38+H46</f>
        <v>2175912.6462300005</v>
      </c>
      <c r="I14" s="294">
        <f t="shared" ref="I14:O14" si="14">I18+I19+I24+I25+I26+I34+I35+I36+I37+I38+I46</f>
        <v>43467829.743770003</v>
      </c>
      <c r="J14" s="294">
        <f t="shared" si="14"/>
        <v>45643741.390000001</v>
      </c>
      <c r="K14" s="294">
        <f t="shared" si="14"/>
        <v>47026137.390000001</v>
      </c>
      <c r="L14" s="294">
        <f t="shared" si="14"/>
        <v>51747844.390000001</v>
      </c>
      <c r="M14" s="296">
        <f t="shared" si="14"/>
        <v>8280015.646230001</v>
      </c>
      <c r="N14" s="294">
        <f t="shared" ref="N14" si="15">N18+N19+N24+N25+N26+N34+N35+N36+N37+N38+N46</f>
        <v>0</v>
      </c>
      <c r="O14" s="296">
        <f t="shared" si="14"/>
        <v>-924041.60999999987</v>
      </c>
      <c r="P14" s="294">
        <f t="shared" ref="P14" si="16">P18+P19+P24+P25+P26+P34+P35+P36+P37+P38+P46</f>
        <v>-924042.0700000003</v>
      </c>
      <c r="Q14" s="965"/>
      <c r="R14" s="885"/>
    </row>
    <row r="15" spans="1:18" s="59" customFormat="1">
      <c r="A15" s="926"/>
      <c r="B15" s="26" t="s">
        <v>401</v>
      </c>
      <c r="C15" s="27"/>
      <c r="D15" s="294"/>
      <c r="E15" s="294">
        <f>E20+E21+E28</f>
        <v>46814550</v>
      </c>
      <c r="F15" s="966"/>
      <c r="G15" s="965"/>
      <c r="H15" s="294">
        <f t="shared" ref="H15" si="17">H20+H21+H28</f>
        <v>596751.66000000015</v>
      </c>
      <c r="I15" s="294">
        <f t="shared" ref="I15:O15" si="18">I20+I21+I28</f>
        <v>7232354</v>
      </c>
      <c r="J15" s="294">
        <f t="shared" si="18"/>
        <v>7829105.6600000001</v>
      </c>
      <c r="K15" s="294">
        <f t="shared" si="18"/>
        <v>7829105.6600000001</v>
      </c>
      <c r="L15" s="294">
        <f t="shared" si="18"/>
        <v>7829105.6600000001</v>
      </c>
      <c r="M15" s="296">
        <f t="shared" si="18"/>
        <v>596751.66000000015</v>
      </c>
      <c r="N15" s="294">
        <f t="shared" ref="N15" si="19">N20+N21+N28</f>
        <v>0</v>
      </c>
      <c r="O15" s="296">
        <f t="shared" si="18"/>
        <v>-38985444.340000004</v>
      </c>
      <c r="P15" s="294">
        <f t="shared" ref="P15" si="20">P20+P21+P28</f>
        <v>-38985444.340000004</v>
      </c>
      <c r="Q15" s="965"/>
      <c r="R15" s="885"/>
    </row>
    <row r="16" spans="1:18" s="59" customFormat="1">
      <c r="A16" s="926"/>
      <c r="B16" s="26" t="s">
        <v>402</v>
      </c>
      <c r="C16" s="29"/>
      <c r="D16" s="294"/>
      <c r="E16" s="294">
        <f>E8-E14-E15</f>
        <v>184834626</v>
      </c>
      <c r="F16" s="966"/>
      <c r="G16" s="965"/>
      <c r="H16" s="294">
        <f t="shared" ref="H16" si="21">H8-H14-H15</f>
        <v>-8263338.0162300002</v>
      </c>
      <c r="I16" s="294">
        <f t="shared" ref="I16:O16" si="22">I8-I14-I15</f>
        <v>133353506.99000001</v>
      </c>
      <c r="J16" s="294">
        <f t="shared" si="22"/>
        <v>136324032.98999998</v>
      </c>
      <c r="K16" s="294">
        <f t="shared" si="22"/>
        <v>137175593.00000003</v>
      </c>
      <c r="L16" s="294">
        <f t="shared" si="22"/>
        <v>160030908.00000003</v>
      </c>
      <c r="M16" s="296">
        <f t="shared" si="22"/>
        <v>18697845.27</v>
      </c>
      <c r="N16" s="294">
        <f t="shared" ref="N16" si="23">N8-N14-N15</f>
        <v>-1498723.0700000003</v>
      </c>
      <c r="O16" s="296">
        <f t="shared" si="22"/>
        <v>-24803714.460000001</v>
      </c>
      <c r="P16" s="294">
        <f t="shared" ref="P16" si="24">P8-P14-P15</f>
        <v>-25644789</v>
      </c>
      <c r="Q16" s="965"/>
      <c r="R16" s="885"/>
    </row>
    <row r="17" spans="1:18" s="883" customFormat="1" ht="18.75">
      <c r="A17" s="1065" t="s">
        <v>847</v>
      </c>
      <c r="B17" s="1066"/>
      <c r="C17" s="1066"/>
      <c r="D17" s="1067"/>
      <c r="E17" s="884">
        <f>SUM(E18:E22)</f>
        <v>56835208</v>
      </c>
      <c r="F17" s="884">
        <f>G17+H17</f>
        <v>-7037997.8813999966</v>
      </c>
      <c r="G17" s="932">
        <f>'Mērķu izpilde'!BF24</f>
        <v>-7037997.8813999966</v>
      </c>
      <c r="H17" s="884">
        <v>0</v>
      </c>
      <c r="I17" s="884">
        <f>SUM(I18:I22)</f>
        <v>9393672.3099999893</v>
      </c>
      <c r="J17" s="884">
        <f>SUM(J18:J22)</f>
        <v>17373231.120000001</v>
      </c>
      <c r="K17" s="884">
        <f>SUM(K18:K22)</f>
        <v>17373231.120000001</v>
      </c>
      <c r="L17" s="884">
        <f>SUM(L18:L22)</f>
        <v>17373231.120000001</v>
      </c>
      <c r="M17" s="948">
        <v>0</v>
      </c>
      <c r="N17" s="884">
        <f>SUM(N18:N22)</f>
        <v>0</v>
      </c>
      <c r="O17" s="948">
        <f>O18+O20+O21</f>
        <v>-39461976.340000004</v>
      </c>
      <c r="P17" s="884">
        <f>SUM(P18:P22)</f>
        <v>-39461976.340000004</v>
      </c>
      <c r="Q17" s="884">
        <f>SUM(Q18:Q22)</f>
        <v>-6000000</v>
      </c>
      <c r="R17" s="884"/>
    </row>
    <row r="18" spans="1:18" ht="99">
      <c r="A18" s="314" t="s">
        <v>243</v>
      </c>
      <c r="B18" s="315" t="s">
        <v>444</v>
      </c>
      <c r="C18" s="316" t="s">
        <v>0</v>
      </c>
      <c r="D18" s="316" t="s">
        <v>137</v>
      </c>
      <c r="E18" s="317">
        <f>VLOOKUP(A18,Virssaistības_progress!A:H,8,0)</f>
        <v>481950</v>
      </c>
      <c r="F18" s="940"/>
      <c r="G18" s="958"/>
      <c r="H18" s="962">
        <f>J18-I18</f>
        <v>0</v>
      </c>
      <c r="I18" s="318">
        <f>VLOOKUP(A18,Ligumu_plani_apst_MKZ!A:O,15,0)</f>
        <v>0</v>
      </c>
      <c r="J18" s="318">
        <f>VLOOKUP('Neizpildes, LVL'!A18,Virssaistības_progress!A:Y,25,0)</f>
        <v>0</v>
      </c>
      <c r="K18" s="318">
        <v>0</v>
      </c>
      <c r="L18" s="318">
        <v>0</v>
      </c>
      <c r="M18" s="949">
        <f>L18-I18</f>
        <v>0</v>
      </c>
      <c r="N18" s="930">
        <f>IF(M18&gt;0,0,M18)</f>
        <v>0</v>
      </c>
      <c r="O18" s="949">
        <f>L18-E18</f>
        <v>-481950</v>
      </c>
      <c r="P18" s="923">
        <f>IF(O18&gt;0,0,O18)</f>
        <v>-481950</v>
      </c>
      <c r="Q18" s="969"/>
      <c r="R18" s="923"/>
    </row>
    <row r="19" spans="1:18" s="320" customFormat="1" ht="33">
      <c r="A19" s="314" t="s">
        <v>384</v>
      </c>
      <c r="B19" s="315" t="s">
        <v>448</v>
      </c>
      <c r="C19" s="316" t="s">
        <v>0</v>
      </c>
      <c r="D19" s="316" t="s">
        <v>137</v>
      </c>
      <c r="E19" s="317">
        <f>VLOOKUP(A19,Virssaistības_progress!A:H,8,0)</f>
        <v>1544126</v>
      </c>
      <c r="F19" s="940"/>
      <c r="G19" s="959"/>
      <c r="H19" s="962">
        <f>J19-I19+1</f>
        <v>0.46000000042840838</v>
      </c>
      <c r="I19" s="318">
        <f>VLOOKUP(A19,Ligumu_plani_apst_MKZ!A:O,15,0)</f>
        <v>1544126</v>
      </c>
      <c r="J19" s="318">
        <f>VLOOKUP('Neizpildes, LVL'!A19,Virssaistības_progress!A:Y,25,0)</f>
        <v>1544125.4600000004</v>
      </c>
      <c r="K19" s="318">
        <f>J19</f>
        <v>1544125.4600000004</v>
      </c>
      <c r="L19" s="318">
        <f>K19</f>
        <v>1544125.4600000004</v>
      </c>
      <c r="M19" s="949">
        <f>L19-I19+1</f>
        <v>0.46000000042840838</v>
      </c>
      <c r="N19" s="930">
        <f t="shared" ref="N19:N22" si="25">IF(M19&gt;0,0,M19)</f>
        <v>0</v>
      </c>
      <c r="O19" s="949">
        <f>L19-E19+1</f>
        <v>0.46000000042840838</v>
      </c>
      <c r="P19" s="930">
        <f t="shared" ref="P19:P22" si="26">IF(O19&gt;0,0,O19)</f>
        <v>0</v>
      </c>
      <c r="Q19" s="967"/>
      <c r="R19" s="318" t="s">
        <v>1366</v>
      </c>
    </row>
    <row r="20" spans="1:18" s="321" customFormat="1" ht="198">
      <c r="A20" s="314" t="s">
        <v>300</v>
      </c>
      <c r="B20" s="315" t="s">
        <v>512</v>
      </c>
      <c r="C20" s="316" t="s">
        <v>55</v>
      </c>
      <c r="D20" s="316" t="s">
        <v>137</v>
      </c>
      <c r="E20" s="317">
        <f>VLOOKUP(A20,Virssaistības_progress!A:H,8,0)</f>
        <v>40809132</v>
      </c>
      <c r="F20" s="940"/>
      <c r="G20" s="960"/>
      <c r="H20" s="962">
        <f>J20-I20</f>
        <v>596751.66000000015</v>
      </c>
      <c r="I20" s="318">
        <f>VLOOKUP(A20,Ligumu_plani_apst_MKZ!A:O,15,0)</f>
        <v>7232354</v>
      </c>
      <c r="J20" s="318">
        <f>VLOOKUP('Neizpildes, LVL'!A20,Virssaistības_progress!A:Y,25,0)</f>
        <v>7829105.6600000001</v>
      </c>
      <c r="K20" s="318">
        <v>7829105.6600000001</v>
      </c>
      <c r="L20" s="318">
        <f>K20</f>
        <v>7829105.6600000001</v>
      </c>
      <c r="M20" s="949">
        <f>L20-I20</f>
        <v>596751.66000000015</v>
      </c>
      <c r="N20" s="930">
        <f t="shared" si="25"/>
        <v>0</v>
      </c>
      <c r="O20" s="949">
        <f>L20-E20</f>
        <v>-32980026.34</v>
      </c>
      <c r="P20" s="930">
        <f t="shared" si="26"/>
        <v>-32980026.34</v>
      </c>
      <c r="Q20" s="967"/>
      <c r="R20" s="318" t="s">
        <v>1363</v>
      </c>
    </row>
    <row r="21" spans="1:18" ht="66">
      <c r="A21" s="314" t="s">
        <v>381</v>
      </c>
      <c r="B21" s="315" t="s">
        <v>532</v>
      </c>
      <c r="C21" s="316" t="s">
        <v>55</v>
      </c>
      <c r="D21" s="316" t="s">
        <v>137</v>
      </c>
      <c r="E21" s="317">
        <f>VLOOKUP(A21,Virssaistības_progress!A:H,8,0)</f>
        <v>6000000</v>
      </c>
      <c r="F21" s="940"/>
      <c r="G21" s="959"/>
      <c r="H21" s="962">
        <f t="shared" ref="H21:H56" si="27">J21-I21</f>
        <v>0</v>
      </c>
      <c r="I21" s="318">
        <f>VLOOKUP(A21,Ligumu_plani_apst_MKZ!A:O,15,0)</f>
        <v>0</v>
      </c>
      <c r="J21" s="318">
        <f>VLOOKUP('Neizpildes, LVL'!A21,Virssaistības_progress!A:Y,25,0)</f>
        <v>0</v>
      </c>
      <c r="K21" s="318">
        <v>0</v>
      </c>
      <c r="L21" s="318">
        <v>0</v>
      </c>
      <c r="M21" s="949">
        <f>L21-I21</f>
        <v>0</v>
      </c>
      <c r="N21" s="930">
        <f t="shared" si="25"/>
        <v>0</v>
      </c>
      <c r="O21" s="949">
        <f>L21-E21</f>
        <v>-6000000</v>
      </c>
      <c r="P21" s="923">
        <f t="shared" si="26"/>
        <v>-6000000</v>
      </c>
      <c r="Q21" s="923">
        <f>P21</f>
        <v>-6000000</v>
      </c>
      <c r="R21" s="923" t="s">
        <v>1364</v>
      </c>
    </row>
    <row r="22" spans="1:18" ht="49.5">
      <c r="A22" s="314" t="s">
        <v>196</v>
      </c>
      <c r="B22" s="315" t="s">
        <v>599</v>
      </c>
      <c r="C22" s="316" t="s">
        <v>55</v>
      </c>
      <c r="D22" s="316" t="s">
        <v>137</v>
      </c>
      <c r="E22" s="317">
        <f>VLOOKUP(A22,Virssaistības_progress!A:H,8,0)</f>
        <v>8000000</v>
      </c>
      <c r="F22" s="940"/>
      <c r="G22" s="959"/>
      <c r="H22" s="962">
        <f t="shared" si="27"/>
        <v>7382807.6900000097</v>
      </c>
      <c r="I22" s="318">
        <f>VLOOKUP(A22,Ligumu_plani_apst_MKZ!A:O,15,0)</f>
        <v>617192.30999999004</v>
      </c>
      <c r="J22" s="318">
        <f>VLOOKUP('Neizpildes, LVL'!A22,Virssaistības_progress!A:Y,25,0)</f>
        <v>8000000</v>
      </c>
      <c r="K22" s="318">
        <f>J22</f>
        <v>8000000</v>
      </c>
      <c r="L22" s="318">
        <f>K22</f>
        <v>8000000</v>
      </c>
      <c r="M22" s="949">
        <f>L22-I22</f>
        <v>7382807.6900000097</v>
      </c>
      <c r="N22" s="930">
        <f t="shared" si="25"/>
        <v>0</v>
      </c>
      <c r="O22" s="949">
        <f>L22-E22</f>
        <v>0</v>
      </c>
      <c r="P22" s="930">
        <f t="shared" si="26"/>
        <v>0</v>
      </c>
      <c r="Q22" s="967"/>
      <c r="R22" s="318" t="s">
        <v>1367</v>
      </c>
    </row>
    <row r="23" spans="1:18" s="883" customFormat="1" ht="17.25" customHeight="1">
      <c r="A23" s="1065" t="s">
        <v>851</v>
      </c>
      <c r="B23" s="1066"/>
      <c r="C23" s="1066"/>
      <c r="D23" s="1067"/>
      <c r="E23" s="884">
        <f>SUM(E24:E29)</f>
        <v>36037210</v>
      </c>
      <c r="F23" s="884">
        <f>G23+H23</f>
        <v>0</v>
      </c>
      <c r="G23" s="884">
        <v>0</v>
      </c>
      <c r="H23" s="885">
        <v>0</v>
      </c>
      <c r="I23" s="885">
        <f>SUM(I24:I29)</f>
        <v>14149065</v>
      </c>
      <c r="J23" s="885">
        <f>SUM(J24:J29)</f>
        <v>15702084</v>
      </c>
      <c r="K23" s="885">
        <f t="shared" ref="K23:Q23" si="28">SUM(K24:K29)</f>
        <v>17084480</v>
      </c>
      <c r="L23" s="885">
        <f t="shared" si="28"/>
        <v>35746375</v>
      </c>
      <c r="M23" s="950">
        <f t="shared" si="28"/>
        <v>21597310</v>
      </c>
      <c r="N23" s="950">
        <f t="shared" si="28"/>
        <v>0</v>
      </c>
      <c r="O23" s="950">
        <f t="shared" si="28"/>
        <v>-290835</v>
      </c>
      <c r="P23" s="885">
        <f t="shared" si="28"/>
        <v>-290835</v>
      </c>
      <c r="Q23" s="885">
        <f t="shared" si="28"/>
        <v>0</v>
      </c>
      <c r="R23" s="885"/>
    </row>
    <row r="24" spans="1:18" s="323" customFormat="1" ht="115.5">
      <c r="A24" s="314" t="s">
        <v>170</v>
      </c>
      <c r="B24" s="315" t="s">
        <v>852</v>
      </c>
      <c r="C24" s="316" t="s">
        <v>0</v>
      </c>
      <c r="D24" s="316" t="s">
        <v>5</v>
      </c>
      <c r="E24" s="317">
        <f>VLOOKUP(A24,Virssaistības_progress!A:H,8,0)</f>
        <v>10753421</v>
      </c>
      <c r="F24" s="939"/>
      <c r="G24" s="934"/>
      <c r="H24" s="962">
        <f t="shared" si="27"/>
        <v>1553019</v>
      </c>
      <c r="I24" s="318">
        <f>VLOOKUP(A24,Ligumu_plani_apst_MKZ!A:O,15,0)</f>
        <v>7532589</v>
      </c>
      <c r="J24" s="318">
        <f>VLOOKUP('Neizpildes, LVL'!A24,Virssaistības_progress!A:Y,25,0)</f>
        <v>9085608</v>
      </c>
      <c r="K24" s="318">
        <f>J24+1382396</f>
        <v>10468004</v>
      </c>
      <c r="L24" s="318">
        <f>K24</f>
        <v>10468004</v>
      </c>
      <c r="M24" s="949">
        <f t="shared" ref="M24:M29" si="29">L24-I24</f>
        <v>2935415</v>
      </c>
      <c r="N24" s="930">
        <f>IF(M24&gt;0,0,M24)</f>
        <v>0</v>
      </c>
      <c r="O24" s="949">
        <f t="shared" ref="O24:O29" si="30">L24-E24</f>
        <v>-285417</v>
      </c>
      <c r="P24" s="930">
        <f>IF(O24&gt;0,0,O24)</f>
        <v>-285417</v>
      </c>
      <c r="Q24" s="967"/>
      <c r="R24" s="318" t="s">
        <v>1378</v>
      </c>
    </row>
    <row r="25" spans="1:18" s="323" customFormat="1" ht="82.5">
      <c r="A25" s="314" t="s">
        <v>220</v>
      </c>
      <c r="B25" s="315" t="s">
        <v>421</v>
      </c>
      <c r="C25" s="316" t="s">
        <v>0</v>
      </c>
      <c r="D25" s="316" t="s">
        <v>5</v>
      </c>
      <c r="E25" s="317">
        <f>VLOOKUP(A25,Virssaistības_progress!A:H,8,0)</f>
        <v>509500</v>
      </c>
      <c r="F25" s="939"/>
      <c r="G25" s="935"/>
      <c r="H25" s="962">
        <f t="shared" si="27"/>
        <v>0</v>
      </c>
      <c r="I25" s="318">
        <f>VLOOKUP(A25,Ligumu_plani_apst_MKZ!A:O,15,0)</f>
        <v>509500</v>
      </c>
      <c r="J25" s="318">
        <f>VLOOKUP('Neizpildes, LVL'!A25,Virssaistības_progress!A:Y,25,0)</f>
        <v>509500</v>
      </c>
      <c r="K25" s="318">
        <f>J25</f>
        <v>509500</v>
      </c>
      <c r="L25" s="930">
        <f t="shared" ref="L25:L28" si="31">K25</f>
        <v>509500</v>
      </c>
      <c r="M25" s="949">
        <f t="shared" si="29"/>
        <v>0</v>
      </c>
      <c r="N25" s="930">
        <f t="shared" ref="N25:N56" si="32">IF(M25&gt;0,0,M25)</f>
        <v>0</v>
      </c>
      <c r="O25" s="949">
        <f t="shared" si="30"/>
        <v>0</v>
      </c>
      <c r="P25" s="930">
        <f t="shared" ref="P25:P44" si="33">IF(O25&gt;0,0,O25)</f>
        <v>0</v>
      </c>
      <c r="Q25" s="967"/>
      <c r="R25" s="318"/>
    </row>
    <row r="26" spans="1:18" s="325" customFormat="1" ht="115.5">
      <c r="A26" s="314" t="s">
        <v>187</v>
      </c>
      <c r="B26" s="315" t="s">
        <v>422</v>
      </c>
      <c r="C26" s="316" t="s">
        <v>0</v>
      </c>
      <c r="D26" s="316" t="s">
        <v>5</v>
      </c>
      <c r="E26" s="317">
        <f>VLOOKUP(A26,Virssaistības_progress!A:H,8,0)</f>
        <v>6106976</v>
      </c>
      <c r="F26" s="939"/>
      <c r="G26" s="935"/>
      <c r="H26" s="962">
        <f t="shared" si="27"/>
        <v>0</v>
      </c>
      <c r="I26" s="318">
        <f>VLOOKUP(A26,Ligumu_plani_apst_MKZ!A:O,15,0)</f>
        <v>6106976</v>
      </c>
      <c r="J26" s="318">
        <f>VLOOKUP('Neizpildes, LVL'!A26,Virssaistības_progress!A:Y,25,0)</f>
        <v>6106976</v>
      </c>
      <c r="K26" s="930">
        <f>J26</f>
        <v>6106976</v>
      </c>
      <c r="L26" s="930">
        <f t="shared" si="31"/>
        <v>6106976</v>
      </c>
      <c r="M26" s="949">
        <f t="shared" si="29"/>
        <v>0</v>
      </c>
      <c r="N26" s="930">
        <f t="shared" si="32"/>
        <v>0</v>
      </c>
      <c r="O26" s="949">
        <f t="shared" si="30"/>
        <v>0</v>
      </c>
      <c r="P26" s="930">
        <f t="shared" si="33"/>
        <v>0</v>
      </c>
      <c r="Q26" s="967"/>
      <c r="R26" s="318" t="s">
        <v>1375</v>
      </c>
    </row>
    <row r="27" spans="1:18" s="305" customFormat="1" ht="66">
      <c r="A27" s="314" t="s">
        <v>22</v>
      </c>
      <c r="B27" s="315" t="s">
        <v>434</v>
      </c>
      <c r="C27" s="316" t="s">
        <v>0</v>
      </c>
      <c r="D27" s="316" t="s">
        <v>5</v>
      </c>
      <c r="E27" s="317">
        <f>VLOOKUP(A27,Virssaistības_progress!A:H,8,0)</f>
        <v>0</v>
      </c>
      <c r="F27" s="939"/>
      <c r="G27" s="935"/>
      <c r="H27" s="962">
        <f t="shared" si="27"/>
        <v>0</v>
      </c>
      <c r="I27" s="318">
        <f>VLOOKUP(A27,Ligumu_plani_apst_MKZ!A:O,15,0)</f>
        <v>0</v>
      </c>
      <c r="J27" s="318">
        <f>VLOOKUP('Neizpildes, LVL'!A27,Virssaistības_progress!A:Y,25,0)</f>
        <v>0</v>
      </c>
      <c r="K27" s="930">
        <f>J27</f>
        <v>0</v>
      </c>
      <c r="L27" s="930">
        <f t="shared" si="31"/>
        <v>0</v>
      </c>
      <c r="M27" s="949">
        <f t="shared" si="29"/>
        <v>0</v>
      </c>
      <c r="N27" s="930">
        <f t="shared" si="32"/>
        <v>0</v>
      </c>
      <c r="O27" s="949">
        <f t="shared" si="30"/>
        <v>0</v>
      </c>
      <c r="P27" s="930">
        <f t="shared" si="33"/>
        <v>0</v>
      </c>
      <c r="Q27" s="967"/>
      <c r="R27" s="318"/>
    </row>
    <row r="28" spans="1:18" s="299" customFormat="1" ht="33">
      <c r="A28" s="314" t="s">
        <v>287</v>
      </c>
      <c r="B28" s="315" t="s">
        <v>495</v>
      </c>
      <c r="C28" s="316" t="s">
        <v>55</v>
      </c>
      <c r="D28" s="316" t="s">
        <v>5</v>
      </c>
      <c r="E28" s="317">
        <f>VLOOKUP(A28,Virssaistības_progress!A:H,8,0)</f>
        <v>5418</v>
      </c>
      <c r="F28" s="939"/>
      <c r="G28" s="935"/>
      <c r="H28" s="962">
        <f t="shared" si="27"/>
        <v>0</v>
      </c>
      <c r="I28" s="318">
        <f>VLOOKUP(A28,Ligumu_plani_apst_MKZ!A:O,15,0)</f>
        <v>0</v>
      </c>
      <c r="J28" s="318">
        <f>VLOOKUP('Neizpildes, LVL'!A28,Virssaistības_progress!A:Y,25,0)</f>
        <v>0</v>
      </c>
      <c r="K28" s="930">
        <f>J28</f>
        <v>0</v>
      </c>
      <c r="L28" s="930">
        <f t="shared" si="31"/>
        <v>0</v>
      </c>
      <c r="M28" s="949">
        <f t="shared" si="29"/>
        <v>0</v>
      </c>
      <c r="N28" s="930">
        <f t="shared" si="32"/>
        <v>0</v>
      </c>
      <c r="O28" s="949">
        <f t="shared" si="30"/>
        <v>-5418</v>
      </c>
      <c r="P28" s="930">
        <f t="shared" si="33"/>
        <v>-5418</v>
      </c>
      <c r="Q28" s="967"/>
      <c r="R28" s="318"/>
    </row>
    <row r="29" spans="1:18" s="323" customFormat="1" ht="181.5">
      <c r="A29" s="314" t="s">
        <v>315</v>
      </c>
      <c r="B29" s="315" t="s">
        <v>857</v>
      </c>
      <c r="C29" s="316" t="s">
        <v>55</v>
      </c>
      <c r="D29" s="316" t="s">
        <v>5</v>
      </c>
      <c r="E29" s="317">
        <f>VLOOKUP(A29,Virssaistības_progress!A:H,8,0)</f>
        <v>18661895</v>
      </c>
      <c r="F29" s="939"/>
      <c r="G29" s="935"/>
      <c r="H29" s="962">
        <f t="shared" si="27"/>
        <v>0</v>
      </c>
      <c r="I29" s="318">
        <f>VLOOKUP(A29,Ligumu_plani_apst_MKZ!A:O,15,0)</f>
        <v>0</v>
      </c>
      <c r="J29" s="318">
        <f>VLOOKUP('Neizpildes, LVL'!A29,Virssaistības_progress!A:Y,25,0)</f>
        <v>0</v>
      </c>
      <c r="K29" s="930">
        <f>J29</f>
        <v>0</v>
      </c>
      <c r="L29" s="318">
        <v>18661895</v>
      </c>
      <c r="M29" s="949">
        <f t="shared" si="29"/>
        <v>18661895</v>
      </c>
      <c r="N29" s="930">
        <f t="shared" si="32"/>
        <v>0</v>
      </c>
      <c r="O29" s="949">
        <f t="shared" si="30"/>
        <v>0</v>
      </c>
      <c r="P29" s="930">
        <f t="shared" si="33"/>
        <v>0</v>
      </c>
      <c r="Q29" s="967"/>
      <c r="R29" s="318" t="s">
        <v>1376</v>
      </c>
    </row>
    <row r="30" spans="1:18" s="323" customFormat="1" ht="17.25" customHeight="1">
      <c r="A30" s="1065" t="s">
        <v>859</v>
      </c>
      <c r="B30" s="1066"/>
      <c r="C30" s="1066"/>
      <c r="D30" s="1067"/>
      <c r="E30" s="884">
        <f>SUM(E31:E32)</f>
        <v>12000000</v>
      </c>
      <c r="F30" s="884">
        <f>G30+H30</f>
        <v>-588807.71</v>
      </c>
      <c r="G30" s="884">
        <v>0</v>
      </c>
      <c r="H30" s="885">
        <f>SUM(H31:H32)</f>
        <v>-588807.71</v>
      </c>
      <c r="I30" s="885">
        <f>SUM(I31:I32)</f>
        <v>11894225.699999999</v>
      </c>
      <c r="J30" s="885">
        <f>SUM(J31:J32)</f>
        <v>11305417.99</v>
      </c>
      <c r="K30" s="885">
        <f>K31+K32</f>
        <v>11999059</v>
      </c>
      <c r="L30" s="885">
        <f>L31+L32</f>
        <v>11999059</v>
      </c>
      <c r="M30" s="950">
        <f>M32</f>
        <v>104833.37000000011</v>
      </c>
      <c r="N30" s="885">
        <f>SUM(N31:N32)</f>
        <v>-7.0000000298023224E-2</v>
      </c>
      <c r="O30" s="950">
        <f>O31+O32</f>
        <v>-941</v>
      </c>
      <c r="P30" s="885">
        <f>SUM(P31:P32)</f>
        <v>-941</v>
      </c>
      <c r="Q30" s="885">
        <f>SUM(Q31:Q32)</f>
        <v>0</v>
      </c>
      <c r="R30" s="885"/>
    </row>
    <row r="31" spans="1:18" s="335" customFormat="1" ht="49.5">
      <c r="A31" s="327" t="s">
        <v>172</v>
      </c>
      <c r="B31" s="328" t="s">
        <v>860</v>
      </c>
      <c r="C31" s="329" t="s">
        <v>55</v>
      </c>
      <c r="D31" s="329" t="s">
        <v>141</v>
      </c>
      <c r="E31" s="317">
        <f>VLOOKUP(A31,Virssaistības_progress!A:H,8,0)</f>
        <v>8000000</v>
      </c>
      <c r="F31" s="940"/>
      <c r="G31" s="936"/>
      <c r="H31" s="962">
        <f t="shared" si="27"/>
        <v>611.77000000048429</v>
      </c>
      <c r="I31" s="318">
        <f>VLOOKUP(A31,Ligumu_plani_apst_MKZ!A:O,15,0)</f>
        <v>7999059.0700000003</v>
      </c>
      <c r="J31" s="318">
        <f>VLOOKUP('Neizpildes, LVL'!A31,Virssaistības_progress!A:Y,25,0)</f>
        <v>7999670.8400000008</v>
      </c>
      <c r="K31" s="318">
        <v>7999059</v>
      </c>
      <c r="L31" s="318">
        <f>K31</f>
        <v>7999059</v>
      </c>
      <c r="M31" s="949">
        <f>L31-I31</f>
        <v>-7.0000000298023224E-2</v>
      </c>
      <c r="N31" s="930">
        <f t="shared" si="32"/>
        <v>-7.0000000298023224E-2</v>
      </c>
      <c r="O31" s="949">
        <f>L31-E31</f>
        <v>-941</v>
      </c>
      <c r="P31" s="930">
        <f t="shared" si="33"/>
        <v>-941</v>
      </c>
      <c r="Q31" s="967"/>
      <c r="R31" s="930" t="s">
        <v>1366</v>
      </c>
    </row>
    <row r="32" spans="1:18" s="336" customFormat="1" ht="99">
      <c r="A32" s="314" t="s">
        <v>161</v>
      </c>
      <c r="B32" s="315" t="s">
        <v>597</v>
      </c>
      <c r="C32" s="316" t="s">
        <v>55</v>
      </c>
      <c r="D32" s="316" t="s">
        <v>141</v>
      </c>
      <c r="E32" s="317">
        <f>VLOOKUP(A32,Virssaistības_progress!A:H,8,0)</f>
        <v>4000000</v>
      </c>
      <c r="F32" s="940"/>
      <c r="G32" s="936"/>
      <c r="H32" s="962">
        <f t="shared" si="27"/>
        <v>-589419.48000000045</v>
      </c>
      <c r="I32" s="962">
        <f>VLOOKUP(A32,Ligumu_plani_apst_MKZ!A:O,15,0)</f>
        <v>3895166.63</v>
      </c>
      <c r="J32" s="962">
        <f>VLOOKUP('Neizpildes, LVL'!A32,Virssaistības_progress!A:Y,25,0)</f>
        <v>3305747.1499999994</v>
      </c>
      <c r="K32" s="962">
        <v>4000000</v>
      </c>
      <c r="L32" s="962">
        <f>K32</f>
        <v>4000000</v>
      </c>
      <c r="M32" s="949">
        <f>L32-I32</f>
        <v>104833.37000000011</v>
      </c>
      <c r="N32" s="962">
        <f t="shared" si="32"/>
        <v>0</v>
      </c>
      <c r="O32" s="949">
        <f>L32-E32</f>
        <v>0</v>
      </c>
      <c r="P32" s="962">
        <f t="shared" si="33"/>
        <v>0</v>
      </c>
      <c r="Q32" s="967"/>
      <c r="R32" s="962" t="s">
        <v>1377</v>
      </c>
    </row>
    <row r="33" spans="1:18" s="323" customFormat="1" ht="17.25" customHeight="1">
      <c r="A33" s="1065" t="s">
        <v>863</v>
      </c>
      <c r="B33" s="1066"/>
      <c r="C33" s="1066"/>
      <c r="D33" s="1067"/>
      <c r="E33" s="884">
        <f>SUM(E34:E39)</f>
        <v>32513923</v>
      </c>
      <c r="F33" s="884">
        <f>G33+H33</f>
        <v>0</v>
      </c>
      <c r="G33" s="884">
        <v>0</v>
      </c>
      <c r="H33" s="885">
        <f>H39</f>
        <v>0</v>
      </c>
      <c r="I33" s="885">
        <f>SUM(I34:I39)</f>
        <v>27012647.74377</v>
      </c>
      <c r="J33" s="885">
        <f>SUM(J34:J39)</f>
        <v>27635540.93</v>
      </c>
      <c r="K33" s="885">
        <f t="shared" ref="K33:Q33" si="34">SUM(K34:K39)</f>
        <v>27635540.93</v>
      </c>
      <c r="L33" s="885">
        <f t="shared" si="34"/>
        <v>32357247.93</v>
      </c>
      <c r="M33" s="950">
        <f t="shared" si="34"/>
        <v>5344600.1862300001</v>
      </c>
      <c r="N33" s="885">
        <f t="shared" si="34"/>
        <v>0</v>
      </c>
      <c r="O33" s="950">
        <f t="shared" si="34"/>
        <v>-156675.0700000003</v>
      </c>
      <c r="P33" s="885">
        <f t="shared" si="34"/>
        <v>-156675.0700000003</v>
      </c>
      <c r="Q33" s="885">
        <f t="shared" si="34"/>
        <v>0</v>
      </c>
      <c r="R33" s="885"/>
    </row>
    <row r="34" spans="1:18" s="336" customFormat="1" ht="99">
      <c r="A34" s="314" t="s">
        <v>19</v>
      </c>
      <c r="B34" s="315" t="s">
        <v>430</v>
      </c>
      <c r="C34" s="316" t="s">
        <v>0</v>
      </c>
      <c r="D34" s="316" t="s">
        <v>138</v>
      </c>
      <c r="E34" s="317">
        <f>VLOOKUP(A34,Virssaistības_progress!A:H,8,0)</f>
        <v>1622893</v>
      </c>
      <c r="F34" s="940"/>
      <c r="G34" s="937"/>
      <c r="H34" s="962">
        <f t="shared" si="27"/>
        <v>622893</v>
      </c>
      <c r="I34" s="318">
        <f>VLOOKUP(A34,Ligumu_plani_apst_MKZ!A:O,15,0)</f>
        <v>1000000</v>
      </c>
      <c r="J34" s="318">
        <v>1622893</v>
      </c>
      <c r="K34" s="318">
        <f>J34</f>
        <v>1622893</v>
      </c>
      <c r="L34" s="318">
        <f>K34</f>
        <v>1622893</v>
      </c>
      <c r="M34" s="949">
        <f t="shared" ref="M34:M39" si="35">L34-I34</f>
        <v>622893</v>
      </c>
      <c r="N34" s="930">
        <f t="shared" si="32"/>
        <v>0</v>
      </c>
      <c r="O34" s="949">
        <f t="shared" ref="O34:O39" si="36">L34-E34</f>
        <v>0</v>
      </c>
      <c r="P34" s="930">
        <f t="shared" si="33"/>
        <v>0</v>
      </c>
      <c r="Q34" s="967"/>
      <c r="R34" s="930" t="s">
        <v>1373</v>
      </c>
    </row>
    <row r="35" spans="1:18" s="336" customFormat="1" ht="49.5">
      <c r="A35" s="314" t="s">
        <v>171</v>
      </c>
      <c r="B35" s="315" t="s">
        <v>445</v>
      </c>
      <c r="C35" s="316" t="s">
        <v>0</v>
      </c>
      <c r="D35" s="316" t="s">
        <v>138</v>
      </c>
      <c r="E35" s="317">
        <f>VLOOKUP(A35,Virssaistības_progress!A:H,8,0)</f>
        <v>8238007</v>
      </c>
      <c r="F35" s="940"/>
      <c r="G35" s="937"/>
      <c r="H35" s="962">
        <f t="shared" si="27"/>
        <v>0.18623000010848045</v>
      </c>
      <c r="I35" s="318">
        <f>VLOOKUP(A35,Ligumu_plani_apst_MKZ!A:O,15,0)</f>
        <v>7571088.8137699999</v>
      </c>
      <c r="J35" s="318">
        <v>7571089</v>
      </c>
      <c r="K35" s="318">
        <f>J35</f>
        <v>7571089</v>
      </c>
      <c r="L35" s="318">
        <f>K35+666918</f>
        <v>8238007</v>
      </c>
      <c r="M35" s="949">
        <f t="shared" si="35"/>
        <v>666918.18623000011</v>
      </c>
      <c r="N35" s="930">
        <f t="shared" si="32"/>
        <v>0</v>
      </c>
      <c r="O35" s="949">
        <f t="shared" si="36"/>
        <v>0</v>
      </c>
      <c r="P35" s="930">
        <f t="shared" si="33"/>
        <v>0</v>
      </c>
      <c r="Q35" s="967"/>
      <c r="R35" s="930" t="s">
        <v>1366</v>
      </c>
    </row>
    <row r="36" spans="1:18" s="335" customFormat="1" ht="66">
      <c r="A36" s="314" t="s">
        <v>256</v>
      </c>
      <c r="B36" s="315" t="s">
        <v>454</v>
      </c>
      <c r="C36" s="316" t="s">
        <v>0</v>
      </c>
      <c r="D36" s="316" t="s">
        <v>138</v>
      </c>
      <c r="E36" s="317">
        <f>VLOOKUP(A36,Virssaistības_progress!A:H,8,0)</f>
        <v>18889354</v>
      </c>
      <c r="F36" s="940"/>
      <c r="G36" s="937"/>
      <c r="H36" s="962">
        <f t="shared" si="27"/>
        <v>0</v>
      </c>
      <c r="I36" s="318">
        <f>VLOOKUP(A36,Ligumu_plani_apst_MKZ!A:O,15,0)</f>
        <v>15553378.93</v>
      </c>
      <c r="J36" s="318">
        <v>15553378.93</v>
      </c>
      <c r="K36" s="318">
        <f>J36</f>
        <v>15553378.93</v>
      </c>
      <c r="L36" s="318">
        <f>K36+3236445-54870</f>
        <v>18734953.93</v>
      </c>
      <c r="M36" s="949">
        <f t="shared" si="35"/>
        <v>3181575</v>
      </c>
      <c r="N36" s="930">
        <f t="shared" si="32"/>
        <v>0</v>
      </c>
      <c r="O36" s="949">
        <f t="shared" si="36"/>
        <v>-154400.0700000003</v>
      </c>
      <c r="P36" s="930">
        <f t="shared" si="33"/>
        <v>-154400.0700000003</v>
      </c>
      <c r="Q36" s="967"/>
      <c r="R36" s="318" t="s">
        <v>1368</v>
      </c>
    </row>
    <row r="37" spans="1:18" s="335" customFormat="1" ht="49.5">
      <c r="A37" s="314" t="s">
        <v>177</v>
      </c>
      <c r="B37" s="315" t="s">
        <v>466</v>
      </c>
      <c r="C37" s="316" t="s">
        <v>0</v>
      </c>
      <c r="D37" s="316" t="s">
        <v>138</v>
      </c>
      <c r="E37" s="317">
        <f>VLOOKUP(A37,Virssaistības_progress!A:H,8,0)</f>
        <v>1519461</v>
      </c>
      <c r="F37" s="940"/>
      <c r="G37" s="937"/>
      <c r="H37" s="962">
        <f t="shared" si="27"/>
        <v>0</v>
      </c>
      <c r="I37" s="318">
        <f>VLOOKUP(A37,Ligumu_plani_apst_MKZ!A:O,15,0)</f>
        <v>1519461</v>
      </c>
      <c r="J37" s="318">
        <v>1519461</v>
      </c>
      <c r="K37" s="318">
        <f>J37</f>
        <v>1519461</v>
      </c>
      <c r="L37" s="318">
        <f>K37</f>
        <v>1519461</v>
      </c>
      <c r="M37" s="949">
        <f t="shared" si="35"/>
        <v>0</v>
      </c>
      <c r="N37" s="930">
        <f t="shared" si="32"/>
        <v>0</v>
      </c>
      <c r="O37" s="949">
        <f t="shared" si="36"/>
        <v>0</v>
      </c>
      <c r="P37" s="930">
        <f t="shared" si="33"/>
        <v>0</v>
      </c>
      <c r="Q37" s="967"/>
      <c r="R37" s="318" t="s">
        <v>1366</v>
      </c>
    </row>
    <row r="38" spans="1:18" s="336" customFormat="1" ht="49.5">
      <c r="A38" s="314" t="s">
        <v>203</v>
      </c>
      <c r="B38" s="315" t="s">
        <v>467</v>
      </c>
      <c r="C38" s="316" t="s">
        <v>0</v>
      </c>
      <c r="D38" s="316" t="s">
        <v>138</v>
      </c>
      <c r="E38" s="317">
        <f>VLOOKUP(A38,Virssaistības_progress!A:H,8,0)</f>
        <v>1806199</v>
      </c>
      <c r="F38" s="940"/>
      <c r="G38" s="937"/>
      <c r="H38" s="962">
        <f t="shared" si="27"/>
        <v>0</v>
      </c>
      <c r="I38" s="318">
        <f>VLOOKUP(A38,Ligumu_plani_apst_MKZ!A:O,15,0)</f>
        <v>930710</v>
      </c>
      <c r="J38" s="318">
        <v>930710</v>
      </c>
      <c r="K38" s="318">
        <f>J38</f>
        <v>930710</v>
      </c>
      <c r="L38" s="318">
        <f>K38+173214+700000</f>
        <v>1803924</v>
      </c>
      <c r="M38" s="949">
        <f t="shared" si="35"/>
        <v>873214</v>
      </c>
      <c r="N38" s="930">
        <f t="shared" si="32"/>
        <v>0</v>
      </c>
      <c r="O38" s="949">
        <f t="shared" si="36"/>
        <v>-2275</v>
      </c>
      <c r="P38" s="930">
        <f t="shared" si="33"/>
        <v>-2275</v>
      </c>
      <c r="Q38" s="967"/>
      <c r="R38" s="318" t="s">
        <v>1368</v>
      </c>
    </row>
    <row r="39" spans="1:18" s="323" customFormat="1" ht="99">
      <c r="A39" s="314" t="s">
        <v>168</v>
      </c>
      <c r="B39" s="315" t="s">
        <v>867</v>
      </c>
      <c r="C39" s="316" t="s">
        <v>55</v>
      </c>
      <c r="D39" s="316" t="s">
        <v>138</v>
      </c>
      <c r="E39" s="317">
        <f>VLOOKUP(A39,Virssaistības_progress!A:H,8,0)</f>
        <v>438009</v>
      </c>
      <c r="F39" s="940"/>
      <c r="G39" s="937"/>
      <c r="H39" s="962">
        <f t="shared" si="27"/>
        <v>0</v>
      </c>
      <c r="I39" s="318">
        <f>VLOOKUP(A39,Ligumu_plani_apst_MKZ!A:O,15,0)</f>
        <v>438009</v>
      </c>
      <c r="J39" s="318">
        <v>438009</v>
      </c>
      <c r="K39" s="318">
        <f>J39</f>
        <v>438009</v>
      </c>
      <c r="L39" s="318">
        <f>K39</f>
        <v>438009</v>
      </c>
      <c r="M39" s="949">
        <f t="shared" si="35"/>
        <v>0</v>
      </c>
      <c r="N39" s="930">
        <f t="shared" si="32"/>
        <v>0</v>
      </c>
      <c r="O39" s="949">
        <f t="shared" si="36"/>
        <v>0</v>
      </c>
      <c r="P39" s="930">
        <f t="shared" si="33"/>
        <v>0</v>
      </c>
      <c r="Q39" s="967"/>
      <c r="R39" s="318" t="s">
        <v>1366</v>
      </c>
    </row>
    <row r="40" spans="1:18" s="323" customFormat="1" ht="17.25" customHeight="1">
      <c r="A40" s="1065" t="s">
        <v>869</v>
      </c>
      <c r="B40" s="1066"/>
      <c r="C40" s="1066"/>
      <c r="D40" s="1067"/>
      <c r="E40" s="884">
        <f>SUM(E41:E44)</f>
        <v>52382961</v>
      </c>
      <c r="F40" s="884">
        <f>G40+H40</f>
        <v>-4901637</v>
      </c>
      <c r="G40" s="884">
        <v>0</v>
      </c>
      <c r="H40" s="885">
        <f>H41+H43+H44</f>
        <v>-4901637</v>
      </c>
      <c r="I40" s="885">
        <f>SUM(I41:I44)</f>
        <v>52853162</v>
      </c>
      <c r="J40" s="885">
        <f>SUM(J41:J44)</f>
        <v>47951524</v>
      </c>
      <c r="K40" s="885">
        <f t="shared" ref="K40:Q40" si="37">SUM(K41:K44)</f>
        <v>47951524</v>
      </c>
      <c r="L40" s="885">
        <f t="shared" si="37"/>
        <v>52144944</v>
      </c>
      <c r="M40" s="950">
        <f t="shared" si="37"/>
        <v>-708217</v>
      </c>
      <c r="N40" s="885">
        <f t="shared" si="37"/>
        <v>-1498494</v>
      </c>
      <c r="O40" s="950">
        <f t="shared" si="37"/>
        <v>-238016</v>
      </c>
      <c r="P40" s="885">
        <f t="shared" si="37"/>
        <v>-1079091</v>
      </c>
      <c r="Q40" s="885">
        <f t="shared" si="37"/>
        <v>-1079091</v>
      </c>
      <c r="R40" s="885"/>
    </row>
    <row r="41" spans="1:18" s="299" customFormat="1" ht="99">
      <c r="A41" s="327" t="s">
        <v>198</v>
      </c>
      <c r="B41" s="328" t="s">
        <v>562</v>
      </c>
      <c r="C41" s="329" t="s">
        <v>55</v>
      </c>
      <c r="D41" s="329" t="s">
        <v>140</v>
      </c>
      <c r="E41" s="317">
        <f>VLOOKUP(A41,Virssaistības_progress!A:H,8,0)</f>
        <v>20616189</v>
      </c>
      <c r="F41" s="963"/>
      <c r="G41" s="938"/>
      <c r="H41" s="962">
        <f t="shared" si="27"/>
        <v>-1498494</v>
      </c>
      <c r="I41" s="962">
        <f>VLOOKUP(A41,Ligumu_plani_apst_MKZ!A:O,15,0)</f>
        <v>21035592</v>
      </c>
      <c r="J41" s="962">
        <v>19537098</v>
      </c>
      <c r="K41" s="962">
        <f>J41</f>
        <v>19537098</v>
      </c>
      <c r="L41" s="962">
        <f>K41</f>
        <v>19537098</v>
      </c>
      <c r="M41" s="962">
        <f>L41-I41</f>
        <v>-1498494</v>
      </c>
      <c r="N41" s="962">
        <f t="shared" si="32"/>
        <v>-1498494</v>
      </c>
      <c r="O41" s="962">
        <f>L41-E41</f>
        <v>-1079091</v>
      </c>
      <c r="P41" s="962">
        <f t="shared" si="33"/>
        <v>-1079091</v>
      </c>
      <c r="Q41" s="923">
        <f>P41</f>
        <v>-1079091</v>
      </c>
      <c r="R41" s="962" t="s">
        <v>1399</v>
      </c>
    </row>
    <row r="42" spans="1:18" s="299" customFormat="1" ht="33">
      <c r="A42" s="342" t="s">
        <v>97</v>
      </c>
      <c r="B42" s="319" t="s">
        <v>564</v>
      </c>
      <c r="C42" s="317" t="s">
        <v>55</v>
      </c>
      <c r="D42" s="317" t="s">
        <v>140</v>
      </c>
      <c r="E42" s="317">
        <f>VLOOKUP(A42,Virssaistības_progress!A:H,8,0)</f>
        <v>679237</v>
      </c>
      <c r="F42" s="963"/>
      <c r="G42" s="938"/>
      <c r="H42" s="962">
        <f>J42-I42+1</f>
        <v>0</v>
      </c>
      <c r="I42" s="962">
        <f>VLOOKUP(A42,Ligumu_plani_apst_MKZ!A:O,15,0)</f>
        <v>679237</v>
      </c>
      <c r="J42" s="962">
        <v>679236</v>
      </c>
      <c r="K42" s="962">
        <f>J42</f>
        <v>679236</v>
      </c>
      <c r="L42" s="962">
        <f>K42</f>
        <v>679236</v>
      </c>
      <c r="M42" s="962">
        <f>L42-I42+1</f>
        <v>0</v>
      </c>
      <c r="N42" s="962">
        <f t="shared" si="32"/>
        <v>0</v>
      </c>
      <c r="O42" s="962">
        <f>L42-E42+1</f>
        <v>0</v>
      </c>
      <c r="P42" s="962">
        <f t="shared" si="33"/>
        <v>0</v>
      </c>
      <c r="Q42" s="967"/>
      <c r="R42" s="962"/>
    </row>
    <row r="43" spans="1:18" s="335" customFormat="1" ht="82.5">
      <c r="A43" s="342" t="s">
        <v>200</v>
      </c>
      <c r="B43" s="319" t="s">
        <v>578</v>
      </c>
      <c r="C43" s="317" t="s">
        <v>142</v>
      </c>
      <c r="D43" s="317" t="s">
        <v>140</v>
      </c>
      <c r="E43" s="317">
        <f>VLOOKUP(A43,Virssaistības_progress!A:H,8,0)</f>
        <v>30209297</v>
      </c>
      <c r="F43" s="963"/>
      <c r="G43" s="938"/>
      <c r="H43" s="962">
        <f t="shared" si="27"/>
        <v>-2524905</v>
      </c>
      <c r="I43" s="962">
        <f>VLOOKUP(A43,Ligumu_plani_apst_MKZ!A:O,15,0)</f>
        <v>30260095</v>
      </c>
      <c r="J43" s="962">
        <v>27735190</v>
      </c>
      <c r="K43" s="962">
        <f>J43</f>
        <v>27735190</v>
      </c>
      <c r="L43" s="962">
        <f>K43+2524905</f>
        <v>30260095</v>
      </c>
      <c r="M43" s="962">
        <f>L43-I43</f>
        <v>0</v>
      </c>
      <c r="N43" s="962">
        <f t="shared" si="32"/>
        <v>0</v>
      </c>
      <c r="O43" s="962">
        <f>L43-E43</f>
        <v>50798</v>
      </c>
      <c r="P43" s="962">
        <f t="shared" si="33"/>
        <v>0</v>
      </c>
      <c r="Q43" s="967"/>
      <c r="R43" s="962" t="s">
        <v>1370</v>
      </c>
    </row>
    <row r="44" spans="1:18" s="335" customFormat="1" ht="132">
      <c r="A44" s="315" t="s">
        <v>144</v>
      </c>
      <c r="B44" s="315" t="s">
        <v>580</v>
      </c>
      <c r="C44" s="316" t="s">
        <v>142</v>
      </c>
      <c r="D44" s="316" t="s">
        <v>140</v>
      </c>
      <c r="E44" s="317">
        <f>VLOOKUP(A44,Virssaistības_progress!A:H,8,0)</f>
        <v>878238</v>
      </c>
      <c r="F44" s="963"/>
      <c r="G44" s="938"/>
      <c r="H44" s="962">
        <f t="shared" si="27"/>
        <v>-878238</v>
      </c>
      <c r="I44" s="962">
        <f>VLOOKUP(A44,Ligumu_plani_apst_MKZ!A:O,15,0)</f>
        <v>878238</v>
      </c>
      <c r="J44" s="962">
        <v>0</v>
      </c>
      <c r="K44" s="962">
        <f>J44</f>
        <v>0</v>
      </c>
      <c r="L44" s="962">
        <f>K44+1668515</f>
        <v>1668515</v>
      </c>
      <c r="M44" s="962">
        <f>L44-I44</f>
        <v>790277</v>
      </c>
      <c r="N44" s="962">
        <f t="shared" si="32"/>
        <v>0</v>
      </c>
      <c r="O44" s="962">
        <f>L44-E44</f>
        <v>790277</v>
      </c>
      <c r="P44" s="962">
        <f t="shared" si="33"/>
        <v>0</v>
      </c>
      <c r="Q44" s="967"/>
      <c r="R44" s="962" t="s">
        <v>1371</v>
      </c>
    </row>
    <row r="45" spans="1:18" s="299" customFormat="1">
      <c r="A45" s="1065" t="s">
        <v>873</v>
      </c>
      <c r="B45" s="1066"/>
      <c r="C45" s="1066"/>
      <c r="D45" s="1067"/>
      <c r="E45" s="884">
        <f t="shared" ref="E45:Q45" si="38">SUM(E46:E47)</f>
        <v>11800000</v>
      </c>
      <c r="F45" s="884">
        <f>G45+H45</f>
        <v>0</v>
      </c>
      <c r="G45" s="884">
        <v>0</v>
      </c>
      <c r="H45" s="884">
        <f t="shared" ref="H45" si="39">SUM(H46:H47)</f>
        <v>0</v>
      </c>
      <c r="I45" s="884">
        <f t="shared" si="38"/>
        <v>11800000</v>
      </c>
      <c r="J45" s="884">
        <f t="shared" si="38"/>
        <v>11800000</v>
      </c>
      <c r="K45" s="884">
        <f t="shared" si="38"/>
        <v>11800000</v>
      </c>
      <c r="L45" s="884">
        <f t="shared" si="38"/>
        <v>11800000</v>
      </c>
      <c r="M45" s="948">
        <f t="shared" si="38"/>
        <v>0</v>
      </c>
      <c r="N45" s="884">
        <f t="shared" si="38"/>
        <v>0</v>
      </c>
      <c r="O45" s="948">
        <f t="shared" si="38"/>
        <v>0</v>
      </c>
      <c r="P45" s="884">
        <f t="shared" si="38"/>
        <v>0</v>
      </c>
      <c r="Q45" s="884">
        <f t="shared" si="38"/>
        <v>0</v>
      </c>
      <c r="R45" s="884"/>
    </row>
    <row r="46" spans="1:18" s="336" customFormat="1" ht="99">
      <c r="A46" s="314" t="s">
        <v>39</v>
      </c>
      <c r="B46" s="315" t="s">
        <v>462</v>
      </c>
      <c r="C46" s="316" t="s">
        <v>0</v>
      </c>
      <c r="D46" s="316" t="s">
        <v>626</v>
      </c>
      <c r="E46" s="317">
        <f>VLOOKUP(A46,Virssaistības_progress!A:H,8,0)</f>
        <v>1200000</v>
      </c>
      <c r="F46" s="940"/>
      <c r="G46" s="938"/>
      <c r="H46" s="962">
        <f t="shared" si="27"/>
        <v>0</v>
      </c>
      <c r="I46" s="318">
        <f>VLOOKUP(A46,Ligumu_plani_apst_MKZ!A:O,15,0)</f>
        <v>1200000</v>
      </c>
      <c r="J46" s="318">
        <f>VLOOKUP('Neizpildes, LVL'!A46,Virssaistības_progress!A:Y,25,0)</f>
        <v>1200000</v>
      </c>
      <c r="K46" s="318">
        <f>J46</f>
        <v>1200000</v>
      </c>
      <c r="L46" s="318">
        <f>K46</f>
        <v>1200000</v>
      </c>
      <c r="M46" s="949">
        <f>L46-I46</f>
        <v>0</v>
      </c>
      <c r="N46" s="930">
        <f t="shared" si="32"/>
        <v>0</v>
      </c>
      <c r="O46" s="949">
        <f>L46-E46</f>
        <v>0</v>
      </c>
      <c r="P46" s="930">
        <f t="shared" ref="P46:P56" si="40">IF(O46&gt;0,0,O46)</f>
        <v>0</v>
      </c>
      <c r="Q46" s="967"/>
      <c r="R46" s="318" t="s">
        <v>1369</v>
      </c>
    </row>
    <row r="47" spans="1:18" s="335" customFormat="1" ht="49.5">
      <c r="A47" s="314" t="s">
        <v>157</v>
      </c>
      <c r="B47" s="315" t="s">
        <v>875</v>
      </c>
      <c r="C47" s="316" t="s">
        <v>55</v>
      </c>
      <c r="D47" s="316" t="s">
        <v>626</v>
      </c>
      <c r="E47" s="317">
        <f>VLOOKUP(A47,Virssaistības_progress!A:H,8,0)</f>
        <v>10600000</v>
      </c>
      <c r="F47" s="940"/>
      <c r="G47" s="938"/>
      <c r="H47" s="962">
        <f t="shared" si="27"/>
        <v>0</v>
      </c>
      <c r="I47" s="318">
        <f>VLOOKUP(A47,Ligumu_plani_apst_MKZ!A:O,15,0)</f>
        <v>10600000</v>
      </c>
      <c r="J47" s="318">
        <f>VLOOKUP('Neizpildes, LVL'!A47,Virssaistības_progress!A:Y,25,0)</f>
        <v>10600000</v>
      </c>
      <c r="K47" s="318">
        <f>J47</f>
        <v>10600000</v>
      </c>
      <c r="L47" s="318">
        <f>K47</f>
        <v>10600000</v>
      </c>
      <c r="M47" s="949">
        <f>L47-I47</f>
        <v>0</v>
      </c>
      <c r="N47" s="930">
        <f t="shared" si="32"/>
        <v>0</v>
      </c>
      <c r="O47" s="949">
        <f>L47-E47</f>
        <v>0</v>
      </c>
      <c r="P47" s="930">
        <f t="shared" si="40"/>
        <v>0</v>
      </c>
      <c r="Q47" s="967"/>
      <c r="R47" s="318" t="s">
        <v>1369</v>
      </c>
    </row>
    <row r="48" spans="1:18" s="299" customFormat="1" ht="16.5" customHeight="1">
      <c r="A48" s="1065" t="s">
        <v>876</v>
      </c>
      <c r="B48" s="1066"/>
      <c r="C48" s="1066"/>
      <c r="D48" s="1067"/>
      <c r="E48" s="884">
        <f>SUM(E49:E56)</f>
        <v>82751761</v>
      </c>
      <c r="F48" s="884">
        <f>G48+H48</f>
        <v>-21540035.72116027</v>
      </c>
      <c r="G48" s="933">
        <f>'Mērķu izpilde'!BF27</f>
        <v>-21539806.72116027</v>
      </c>
      <c r="H48" s="885">
        <f>H50+H56</f>
        <v>-229</v>
      </c>
      <c r="I48" s="885">
        <f>SUM(I49:I56)</f>
        <v>56950917.980000004</v>
      </c>
      <c r="J48" s="885">
        <f>SUM(J49:J56)</f>
        <v>58029082</v>
      </c>
      <c r="K48" s="885">
        <f t="shared" ref="K48:P48" si="41">SUM(K49:K56)</f>
        <v>58187001</v>
      </c>
      <c r="L48" s="885">
        <f t="shared" si="41"/>
        <v>58187001</v>
      </c>
      <c r="M48" s="950">
        <f t="shared" si="41"/>
        <v>1236086.0199999996</v>
      </c>
      <c r="N48" s="885">
        <f t="shared" si="41"/>
        <v>-229</v>
      </c>
      <c r="O48" s="950">
        <f t="shared" si="41"/>
        <v>-24564757</v>
      </c>
      <c r="P48" s="885">
        <f t="shared" si="41"/>
        <v>-24564757</v>
      </c>
      <c r="Q48" s="885">
        <f>SUM(Q49:Q56)</f>
        <v>-19371390</v>
      </c>
      <c r="R48" s="968"/>
    </row>
    <row r="49" spans="1:19" s="335" customFormat="1" ht="82.5">
      <c r="A49" s="314" t="s">
        <v>328</v>
      </c>
      <c r="B49" s="315" t="s">
        <v>555</v>
      </c>
      <c r="C49" s="316" t="s">
        <v>55</v>
      </c>
      <c r="D49" s="316" t="s">
        <v>628</v>
      </c>
      <c r="E49" s="317">
        <f>VLOOKUP(A49,Virssaistības_progress!A:H,8,0)</f>
        <v>9171643</v>
      </c>
      <c r="F49" s="940"/>
      <c r="G49" s="938"/>
      <c r="H49" s="962">
        <f t="shared" si="27"/>
        <v>117370</v>
      </c>
      <c r="I49" s="318">
        <f>VLOOKUP(A49,Ligumu_plani_apst_MKZ!A:O,15,0)</f>
        <v>7740855</v>
      </c>
      <c r="J49" s="318">
        <f>VLOOKUP('Neizpildes, LVL'!A49,Virssaistības_progress!A:Y,25,0)</f>
        <v>7858225</v>
      </c>
      <c r="K49" s="930">
        <f t="shared" ref="K49:L51" si="42">J49</f>
        <v>7858225</v>
      </c>
      <c r="L49" s="318">
        <f t="shared" si="42"/>
        <v>7858225</v>
      </c>
      <c r="M49" s="949">
        <f t="shared" ref="M49:M56" si="43">L49-I49</f>
        <v>117370</v>
      </c>
      <c r="N49" s="930">
        <f t="shared" si="32"/>
        <v>0</v>
      </c>
      <c r="O49" s="949">
        <f t="shared" ref="O49:O56" si="44">L49-E49</f>
        <v>-1313418</v>
      </c>
      <c r="P49" s="930">
        <f t="shared" si="40"/>
        <v>-1313418</v>
      </c>
      <c r="Q49" s="962"/>
      <c r="R49" s="930" t="s">
        <v>1381</v>
      </c>
    </row>
    <row r="50" spans="1:19" s="335" customFormat="1" ht="379.5">
      <c r="A50" s="314" t="s">
        <v>156</v>
      </c>
      <c r="B50" s="315" t="s">
        <v>569</v>
      </c>
      <c r="C50" s="316" t="s">
        <v>55</v>
      </c>
      <c r="D50" s="316" t="s">
        <v>628</v>
      </c>
      <c r="E50" s="317">
        <f>VLOOKUP(A50,Virssaistības_progress!A:H,8,0)</f>
        <v>9670591</v>
      </c>
      <c r="F50" s="940"/>
      <c r="G50" s="938"/>
      <c r="H50" s="962">
        <f>J50-I50+3</f>
        <v>0</v>
      </c>
      <c r="I50" s="318">
        <f>VLOOKUP(A50,Ligumu_plani_apst_MKZ!A:O,15,0)</f>
        <v>9670591</v>
      </c>
      <c r="J50" s="318">
        <f>VLOOKUP('Neizpildes, LVL'!A50,Virssaistības_progress!A:Y,25,0)</f>
        <v>9670588</v>
      </c>
      <c r="K50" s="930">
        <f t="shared" si="42"/>
        <v>9670588</v>
      </c>
      <c r="L50" s="930">
        <f t="shared" si="42"/>
        <v>9670588</v>
      </c>
      <c r="M50" s="949">
        <f>L50-I50+3</f>
        <v>0</v>
      </c>
      <c r="N50" s="930">
        <f t="shared" si="32"/>
        <v>0</v>
      </c>
      <c r="O50" s="949">
        <f>L50-E50+3</f>
        <v>0</v>
      </c>
      <c r="P50" s="930">
        <f t="shared" si="40"/>
        <v>0</v>
      </c>
      <c r="Q50" s="967"/>
      <c r="R50" s="930" t="s">
        <v>1382</v>
      </c>
    </row>
    <row r="51" spans="1:19" s="299" customFormat="1" ht="115.5">
      <c r="A51" s="314" t="s">
        <v>377</v>
      </c>
      <c r="B51" s="315" t="s">
        <v>618</v>
      </c>
      <c r="C51" s="316" t="s">
        <v>55</v>
      </c>
      <c r="D51" s="316" t="s">
        <v>628</v>
      </c>
      <c r="E51" s="317">
        <f>VLOOKUP(A51,Virssaistības_progress!A:H,8,0)</f>
        <v>29935543</v>
      </c>
      <c r="F51" s="940"/>
      <c r="G51" s="938"/>
      <c r="H51" s="962">
        <f t="shared" si="27"/>
        <v>1118945.0199999996</v>
      </c>
      <c r="I51" s="318">
        <f>VLOOKUP(A51,Ligumu_plani_apst_MKZ!A:O,15,0)</f>
        <v>21505552.98</v>
      </c>
      <c r="J51" s="318">
        <f>VLOOKUP('Neizpildes, LVL'!A51,Virssaistības_progress!A:Y,25,0)</f>
        <v>22624498</v>
      </c>
      <c r="K51" s="962">
        <f t="shared" si="42"/>
        <v>22624498</v>
      </c>
      <c r="L51" s="318">
        <f t="shared" si="42"/>
        <v>22624498</v>
      </c>
      <c r="M51" s="949">
        <f t="shared" si="43"/>
        <v>1118945.0199999996</v>
      </c>
      <c r="N51" s="930">
        <f t="shared" si="32"/>
        <v>0</v>
      </c>
      <c r="O51" s="949">
        <f t="shared" si="44"/>
        <v>-7311045</v>
      </c>
      <c r="P51" s="930">
        <f t="shared" si="40"/>
        <v>-7311045</v>
      </c>
      <c r="Q51" s="923">
        <f>P51</f>
        <v>-7311045</v>
      </c>
      <c r="R51" s="930" t="s">
        <v>1398</v>
      </c>
    </row>
    <row r="52" spans="1:19" s="299" customFormat="1" ht="181.5">
      <c r="A52" s="314" t="s">
        <v>353</v>
      </c>
      <c r="B52" s="315" t="s">
        <v>586</v>
      </c>
      <c r="C52" s="316" t="s">
        <v>55</v>
      </c>
      <c r="D52" s="316" t="s">
        <v>628</v>
      </c>
      <c r="E52" s="317">
        <f>VLOOKUP(A52,Virssaistības_progress!A:H,8,0)</f>
        <v>157919</v>
      </c>
      <c r="F52" s="940"/>
      <c r="G52" s="938"/>
      <c r="H52" s="962">
        <f t="shared" si="27"/>
        <v>-157919</v>
      </c>
      <c r="I52" s="318">
        <f>VLOOKUP(A52,Ligumu_plani_apst_MKZ!A:O,15,0)</f>
        <v>157919</v>
      </c>
      <c r="J52" s="318">
        <f>VLOOKUP('Neizpildes, LVL'!A52,Virssaistības_progress!A:Y,25,0)</f>
        <v>0</v>
      </c>
      <c r="K52" s="961">
        <v>157919</v>
      </c>
      <c r="L52" s="962">
        <v>157919</v>
      </c>
      <c r="M52" s="949">
        <f t="shared" si="43"/>
        <v>0</v>
      </c>
      <c r="N52" s="930">
        <f t="shared" si="32"/>
        <v>0</v>
      </c>
      <c r="O52" s="949">
        <f t="shared" si="44"/>
        <v>0</v>
      </c>
      <c r="P52" s="930">
        <f t="shared" si="40"/>
        <v>0</v>
      </c>
      <c r="Q52" s="967"/>
      <c r="R52" s="930" t="s">
        <v>1383</v>
      </c>
    </row>
    <row r="53" spans="1:19" s="299" customFormat="1" ht="66">
      <c r="A53" s="314" t="s">
        <v>113</v>
      </c>
      <c r="B53" s="315" t="s">
        <v>588</v>
      </c>
      <c r="C53" s="316" t="s">
        <v>55</v>
      </c>
      <c r="D53" s="316" t="s">
        <v>628</v>
      </c>
      <c r="E53" s="317">
        <f>VLOOKUP(A53,Virssaistības_progress!A:H,8,0)</f>
        <v>9084096</v>
      </c>
      <c r="F53" s="940"/>
      <c r="G53" s="938"/>
      <c r="H53" s="962">
        <f t="shared" si="27"/>
        <v>0</v>
      </c>
      <c r="I53" s="318">
        <f>VLOOKUP(A53,Ligumu_plani_apst_MKZ!A:O,15,0)</f>
        <v>0</v>
      </c>
      <c r="J53" s="318">
        <f>VLOOKUP('Neizpildes, LVL'!A53,Virssaistības_progress!A:Y,25,0)</f>
        <v>0</v>
      </c>
      <c r="K53" s="962">
        <f>J53</f>
        <v>0</v>
      </c>
      <c r="L53" s="318">
        <f>K53</f>
        <v>0</v>
      </c>
      <c r="M53" s="949">
        <f t="shared" si="43"/>
        <v>0</v>
      </c>
      <c r="N53" s="930">
        <f t="shared" si="32"/>
        <v>0</v>
      </c>
      <c r="O53" s="949">
        <f t="shared" si="44"/>
        <v>-9084096</v>
      </c>
      <c r="P53" s="930">
        <f t="shared" si="40"/>
        <v>-9084096</v>
      </c>
      <c r="Q53" s="923">
        <f>P53</f>
        <v>-9084096</v>
      </c>
      <c r="R53" s="930" t="s">
        <v>1401</v>
      </c>
    </row>
    <row r="54" spans="1:19" s="299" customFormat="1" ht="82.5">
      <c r="A54" s="314" t="s">
        <v>167</v>
      </c>
      <c r="B54" s="315" t="s">
        <v>602</v>
      </c>
      <c r="C54" s="316" t="s">
        <v>142</v>
      </c>
      <c r="D54" s="316" t="s">
        <v>628</v>
      </c>
      <c r="E54" s="317">
        <f>VLOOKUP(A54,Virssaistības_progress!A:H,8,0)</f>
        <v>3749949</v>
      </c>
      <c r="F54" s="940"/>
      <c r="G54" s="938"/>
      <c r="H54" s="962">
        <f t="shared" si="27"/>
        <v>0</v>
      </c>
      <c r="I54" s="318">
        <f>VLOOKUP(A54,Ligumu_plani_apst_MKZ!A:O,15,0)</f>
        <v>0</v>
      </c>
      <c r="J54" s="318">
        <f>VLOOKUP('Neizpildes, LVL'!A54,Virssaistības_progress!A:Y,25,0)</f>
        <v>0</v>
      </c>
      <c r="K54" s="962">
        <f>J54</f>
        <v>0</v>
      </c>
      <c r="L54" s="962">
        <f t="shared" ref="L54:L56" si="45">K54</f>
        <v>0</v>
      </c>
      <c r="M54" s="949">
        <f t="shared" si="43"/>
        <v>0</v>
      </c>
      <c r="N54" s="930">
        <f t="shared" si="32"/>
        <v>0</v>
      </c>
      <c r="O54" s="949">
        <f t="shared" si="44"/>
        <v>-3749949</v>
      </c>
      <c r="P54" s="930">
        <f t="shared" si="40"/>
        <v>-3749949</v>
      </c>
      <c r="Q54" s="962"/>
      <c r="R54" s="930"/>
    </row>
    <row r="55" spans="1:19" s="299" customFormat="1" ht="49.5">
      <c r="A55" s="314" t="s">
        <v>184</v>
      </c>
      <c r="B55" s="315" t="s">
        <v>608</v>
      </c>
      <c r="C55" s="316" t="s">
        <v>142</v>
      </c>
      <c r="D55" s="316" t="s">
        <v>628</v>
      </c>
      <c r="E55" s="317">
        <f>VLOOKUP(A55,Virssaistības_progress!A:H,8,0)</f>
        <v>130000</v>
      </c>
      <c r="F55" s="940"/>
      <c r="G55" s="938"/>
      <c r="H55" s="962">
        <f t="shared" si="27"/>
        <v>0</v>
      </c>
      <c r="I55" s="318">
        <f>VLOOKUP(A55,Ligumu_plani_apst_MKZ!A:O,15,0)</f>
        <v>0</v>
      </c>
      <c r="J55" s="318">
        <f>VLOOKUP('Neizpildes, LVL'!A55,Virssaistības_progress!A:Y,25,0)</f>
        <v>0</v>
      </c>
      <c r="K55" s="962">
        <f>J55</f>
        <v>0</v>
      </c>
      <c r="L55" s="962">
        <f t="shared" si="45"/>
        <v>0</v>
      </c>
      <c r="M55" s="949">
        <f t="shared" si="43"/>
        <v>0</v>
      </c>
      <c r="N55" s="930">
        <f t="shared" si="32"/>
        <v>0</v>
      </c>
      <c r="O55" s="949">
        <f t="shared" si="44"/>
        <v>-130000</v>
      </c>
      <c r="P55" s="930">
        <f t="shared" si="40"/>
        <v>-130000</v>
      </c>
      <c r="Q55" s="962"/>
      <c r="R55" s="930"/>
    </row>
    <row r="56" spans="1:19" s="335" customFormat="1" ht="148.5">
      <c r="A56" s="314" t="s">
        <v>133</v>
      </c>
      <c r="B56" s="315" t="s">
        <v>620</v>
      </c>
      <c r="C56" s="316" t="s">
        <v>55</v>
      </c>
      <c r="D56" s="316" t="s">
        <v>628</v>
      </c>
      <c r="E56" s="317">
        <f>VLOOKUP(A56,Virssaistības_progress!A:H,8,0)</f>
        <v>20852020</v>
      </c>
      <c r="F56" s="940"/>
      <c r="G56" s="938"/>
      <c r="H56" s="962">
        <f t="shared" si="27"/>
        <v>-229</v>
      </c>
      <c r="I56" s="318">
        <f>VLOOKUP(A56,Ligumu_plani_apst_MKZ!A:O,15,0)</f>
        <v>17876000</v>
      </c>
      <c r="J56" s="318">
        <f>VLOOKUP('Neizpildes, LVL'!A56,Virssaistības_progress!A:Y,25,0)</f>
        <v>17875771</v>
      </c>
      <c r="K56" s="962">
        <f>J56</f>
        <v>17875771</v>
      </c>
      <c r="L56" s="930">
        <f t="shared" si="45"/>
        <v>17875771</v>
      </c>
      <c r="M56" s="949">
        <f t="shared" si="43"/>
        <v>-229</v>
      </c>
      <c r="N56" s="930">
        <f t="shared" si="32"/>
        <v>-229</v>
      </c>
      <c r="O56" s="949">
        <f t="shared" si="44"/>
        <v>-2976249</v>
      </c>
      <c r="P56" s="930">
        <f t="shared" si="40"/>
        <v>-2976249</v>
      </c>
      <c r="Q56" s="923">
        <f>P56</f>
        <v>-2976249</v>
      </c>
      <c r="R56" s="930" t="s">
        <v>1400</v>
      </c>
    </row>
    <row r="57" spans="1:19" s="335" customFormat="1" ht="20.25">
      <c r="A57" s="320"/>
      <c r="B57" s="348"/>
      <c r="C57" s="343"/>
      <c r="D57" s="349"/>
      <c r="E57" s="350"/>
      <c r="F57" s="338"/>
      <c r="G57" s="299"/>
      <c r="H57" s="941"/>
      <c r="I57" s="299"/>
      <c r="J57" s="305"/>
      <c r="K57" s="338"/>
      <c r="L57" s="338"/>
      <c r="M57" s="951"/>
      <c r="N57" s="941"/>
      <c r="O57" s="951"/>
      <c r="P57" s="941"/>
      <c r="Q57" s="941"/>
      <c r="R57" s="338"/>
    </row>
    <row r="58" spans="1:19" s="335" customFormat="1" ht="20.25">
      <c r="A58" s="320"/>
      <c r="B58" s="343"/>
      <c r="C58" s="343"/>
      <c r="D58" s="283"/>
      <c r="E58" s="320"/>
      <c r="F58" s="338"/>
      <c r="G58" s="299"/>
      <c r="H58" s="941"/>
      <c r="I58" s="299"/>
      <c r="J58" s="305"/>
      <c r="K58" s="338"/>
      <c r="L58" s="338"/>
      <c r="M58" s="951"/>
      <c r="N58" s="941"/>
      <c r="O58" s="951"/>
      <c r="P58" s="941"/>
      <c r="Q58" s="941"/>
      <c r="R58" s="338"/>
    </row>
    <row r="59" spans="1:19" s="299" customFormat="1">
      <c r="A59" s="320" t="s">
        <v>1386</v>
      </c>
      <c r="B59" s="442" t="s">
        <v>1387</v>
      </c>
      <c r="C59" s="320"/>
      <c r="D59" s="320"/>
      <c r="E59" s="320"/>
      <c r="H59" s="305"/>
    </row>
    <row r="60" spans="1:19" s="299" customFormat="1">
      <c r="A60" s="320"/>
      <c r="B60" s="320"/>
      <c r="C60" s="320"/>
      <c r="D60" s="320"/>
      <c r="E60" s="320"/>
      <c r="H60" s="305"/>
      <c r="J60" s="305"/>
      <c r="M60" s="952"/>
      <c r="N60" s="305"/>
      <c r="O60" s="952"/>
      <c r="P60" s="305"/>
      <c r="Q60" s="305"/>
    </row>
    <row r="61" spans="1:19" s="323" customFormat="1">
      <c r="A61" s="1095" t="s">
        <v>1432</v>
      </c>
      <c r="B61" s="1096"/>
      <c r="C61" s="320"/>
      <c r="D61" s="320"/>
      <c r="E61" s="320"/>
      <c r="F61" s="299"/>
      <c r="G61" s="299"/>
      <c r="H61" s="305"/>
      <c r="I61" s="299"/>
      <c r="J61" s="305"/>
      <c r="K61" s="299"/>
      <c r="L61" s="299"/>
      <c r="M61" s="952"/>
      <c r="N61" s="305"/>
      <c r="O61" s="952"/>
      <c r="P61" s="305"/>
      <c r="Q61" s="305"/>
      <c r="R61" s="299"/>
    </row>
    <row r="62" spans="1:19" s="335" customFormat="1" ht="30.75">
      <c r="A62" s="1095" t="s">
        <v>915</v>
      </c>
      <c r="B62" s="1096"/>
      <c r="C62" s="351"/>
      <c r="D62" s="352"/>
      <c r="E62" s="352"/>
      <c r="F62" s="363"/>
      <c r="G62" s="363"/>
      <c r="H62" s="353"/>
      <c r="I62" s="363"/>
      <c r="J62" s="449" t="s">
        <v>1430</v>
      </c>
      <c r="K62" s="449"/>
      <c r="L62" s="1092"/>
      <c r="M62" s="1092"/>
      <c r="N62" s="1093"/>
      <c r="O62" s="1093"/>
      <c r="P62" s="1093"/>
      <c r="Q62" s="1093"/>
      <c r="R62" s="1094" t="s">
        <v>1431</v>
      </c>
      <c r="S62" s="1094"/>
    </row>
    <row r="63" spans="1:19" s="335" customFormat="1">
      <c r="A63" s="1095" t="s">
        <v>1433</v>
      </c>
      <c r="B63" s="1096"/>
      <c r="C63" s="320"/>
      <c r="D63" s="320"/>
      <c r="E63" s="320"/>
      <c r="F63" s="299"/>
      <c r="G63" s="299"/>
      <c r="H63" s="305"/>
      <c r="I63" s="299"/>
      <c r="J63" s="305"/>
      <c r="K63" s="299"/>
      <c r="L63" s="299"/>
      <c r="M63" s="952"/>
      <c r="N63" s="305"/>
      <c r="O63" s="952"/>
      <c r="P63" s="305"/>
      <c r="Q63" s="305"/>
      <c r="R63" s="299"/>
    </row>
    <row r="64" spans="1:19" s="335" customFormat="1" ht="18.75">
      <c r="A64" s="320"/>
      <c r="B64" s="351"/>
      <c r="C64" s="354"/>
      <c r="D64" s="352"/>
      <c r="E64" s="352"/>
      <c r="F64" s="363"/>
      <c r="G64" s="363"/>
      <c r="H64" s="353"/>
      <c r="I64" s="363"/>
      <c r="J64" s="353"/>
      <c r="K64" s="363"/>
      <c r="L64" s="363"/>
      <c r="M64" s="953"/>
      <c r="N64" s="353"/>
      <c r="O64" s="953"/>
      <c r="P64" s="353"/>
      <c r="Q64" s="353"/>
      <c r="R64" s="363"/>
    </row>
    <row r="65" spans="1:18" s="335" customFormat="1" ht="18.75">
      <c r="A65" s="320"/>
      <c r="B65" s="355"/>
      <c r="C65" s="354"/>
      <c r="D65" s="352"/>
      <c r="E65" s="352"/>
      <c r="F65" s="363"/>
      <c r="G65" s="363"/>
      <c r="H65" s="353"/>
      <c r="I65" s="363"/>
      <c r="J65" s="353"/>
      <c r="K65" s="363"/>
      <c r="L65" s="363"/>
      <c r="M65" s="953"/>
      <c r="N65" s="353"/>
      <c r="O65" s="953"/>
      <c r="P65" s="353"/>
      <c r="Q65" s="353"/>
      <c r="R65" s="363"/>
    </row>
    <row r="66" spans="1:18" s="335" customFormat="1" ht="18.75">
      <c r="A66" s="320"/>
      <c r="B66" s="356"/>
      <c r="C66" s="354"/>
      <c r="D66" s="352"/>
      <c r="E66" s="352"/>
      <c r="F66" s="363"/>
      <c r="G66" s="363"/>
      <c r="H66" s="353"/>
      <c r="I66" s="363"/>
      <c r="J66" s="353"/>
      <c r="K66" s="363"/>
      <c r="L66" s="363"/>
      <c r="M66" s="953"/>
      <c r="N66" s="353"/>
      <c r="O66" s="953"/>
      <c r="P66" s="353"/>
      <c r="Q66" s="353"/>
      <c r="R66" s="363"/>
    </row>
    <row r="67" spans="1:18" s="335" customFormat="1" ht="18.75">
      <c r="A67" s="320"/>
      <c r="B67" s="357"/>
      <c r="C67" s="354"/>
      <c r="D67" s="352"/>
      <c r="E67" s="352"/>
      <c r="F67" s="363"/>
      <c r="G67" s="363"/>
      <c r="H67" s="353"/>
      <c r="I67" s="363"/>
      <c r="J67" s="353"/>
      <c r="K67" s="363"/>
      <c r="L67" s="363"/>
      <c r="M67" s="953"/>
      <c r="N67" s="353"/>
      <c r="O67" s="953"/>
      <c r="P67" s="353"/>
      <c r="Q67" s="353"/>
      <c r="R67" s="363"/>
    </row>
    <row r="68" spans="1:18" s="335" customFormat="1" ht="18.75">
      <c r="A68" s="320"/>
      <c r="B68" s="358"/>
      <c r="C68" s="354"/>
      <c r="D68" s="352"/>
      <c r="E68" s="352"/>
      <c r="F68" s="363"/>
      <c r="G68" s="363"/>
      <c r="H68" s="353"/>
      <c r="I68" s="363"/>
      <c r="J68" s="353"/>
      <c r="K68" s="363"/>
      <c r="L68" s="363"/>
      <c r="M68" s="953"/>
      <c r="N68" s="353"/>
      <c r="O68" s="953"/>
      <c r="P68" s="353"/>
      <c r="Q68" s="353"/>
      <c r="R68" s="363"/>
    </row>
    <row r="69" spans="1:18" s="335" customFormat="1">
      <c r="A69" s="320"/>
      <c r="B69" s="348"/>
      <c r="C69" s="320"/>
      <c r="D69" s="320"/>
      <c r="E69" s="320"/>
      <c r="F69" s="299"/>
      <c r="G69" s="299"/>
      <c r="H69" s="305"/>
      <c r="I69" s="299"/>
      <c r="J69" s="305"/>
      <c r="K69" s="299"/>
      <c r="L69" s="299"/>
      <c r="M69" s="952"/>
      <c r="N69" s="305"/>
      <c r="O69" s="952"/>
      <c r="P69" s="305"/>
      <c r="Q69" s="305"/>
      <c r="R69" s="299"/>
    </row>
    <row r="70" spans="1:18" s="333" customFormat="1">
      <c r="A70" s="320"/>
      <c r="B70" s="348"/>
      <c r="C70" s="320"/>
      <c r="D70" s="320"/>
      <c r="E70" s="320"/>
      <c r="F70" s="299"/>
      <c r="G70" s="299"/>
      <c r="H70" s="305"/>
      <c r="I70" s="299"/>
      <c r="J70" s="305"/>
      <c r="K70" s="299"/>
      <c r="L70" s="299"/>
      <c r="M70" s="952"/>
      <c r="N70" s="305"/>
      <c r="O70" s="952"/>
      <c r="P70" s="305"/>
      <c r="Q70" s="305"/>
      <c r="R70" s="299"/>
    </row>
    <row r="71" spans="1:18" s="299" customFormat="1">
      <c r="A71" s="320"/>
      <c r="B71" s="348"/>
      <c r="C71" s="320"/>
      <c r="D71" s="320"/>
      <c r="E71" s="320"/>
      <c r="H71" s="305"/>
      <c r="J71" s="305"/>
      <c r="M71" s="952"/>
      <c r="N71" s="305"/>
      <c r="O71" s="952"/>
      <c r="P71" s="305"/>
      <c r="Q71" s="305"/>
    </row>
    <row r="72" spans="1:18" s="299" customFormat="1">
      <c r="A72" s="320"/>
      <c r="B72" s="348"/>
      <c r="C72" s="320"/>
      <c r="D72" s="320"/>
      <c r="E72" s="320"/>
      <c r="H72" s="305"/>
      <c r="J72" s="305"/>
      <c r="M72" s="952"/>
      <c r="N72" s="305"/>
      <c r="O72" s="952"/>
      <c r="P72" s="305"/>
      <c r="Q72" s="305"/>
    </row>
    <row r="73" spans="1:18" s="299" customFormat="1">
      <c r="A73" s="320"/>
      <c r="B73" s="348"/>
      <c r="C73" s="320"/>
      <c r="D73" s="320"/>
      <c r="E73" s="320"/>
      <c r="H73" s="305"/>
      <c r="J73" s="305"/>
      <c r="M73" s="952"/>
      <c r="N73" s="305"/>
      <c r="O73" s="952"/>
      <c r="P73" s="305"/>
      <c r="Q73" s="305"/>
    </row>
    <row r="74" spans="1:18" s="320" customFormat="1">
      <c r="B74" s="348"/>
      <c r="F74" s="299"/>
      <c r="G74" s="299"/>
      <c r="H74" s="305"/>
      <c r="I74" s="299"/>
      <c r="J74" s="305"/>
      <c r="K74" s="299"/>
      <c r="L74" s="299"/>
      <c r="M74" s="952"/>
      <c r="N74" s="305"/>
      <c r="O74" s="952"/>
      <c r="P74" s="305"/>
      <c r="Q74" s="305"/>
      <c r="R74" s="299"/>
    </row>
    <row r="75" spans="1:18" s="320" customFormat="1">
      <c r="B75" s="348"/>
      <c r="F75" s="299"/>
      <c r="G75" s="299"/>
      <c r="H75" s="305"/>
      <c r="I75" s="299"/>
      <c r="J75" s="305"/>
      <c r="K75" s="299"/>
      <c r="L75" s="299"/>
      <c r="M75" s="952"/>
      <c r="N75" s="305"/>
      <c r="O75" s="952"/>
      <c r="P75" s="305"/>
      <c r="Q75" s="305"/>
      <c r="R75" s="299"/>
    </row>
    <row r="76" spans="1:18" s="320" customFormat="1">
      <c r="A76" s="283"/>
      <c r="F76" s="299"/>
      <c r="G76" s="299"/>
      <c r="H76" s="305"/>
      <c r="I76" s="299"/>
      <c r="J76" s="305"/>
      <c r="K76" s="299"/>
      <c r="L76" s="299"/>
      <c r="M76" s="952"/>
      <c r="N76" s="305"/>
      <c r="O76" s="952"/>
      <c r="P76" s="305"/>
      <c r="Q76" s="305"/>
      <c r="R76" s="299"/>
    </row>
    <row r="77" spans="1:18" s="320" customFormat="1">
      <c r="A77" s="283"/>
      <c r="F77" s="364"/>
      <c r="G77" s="364"/>
      <c r="H77" s="360"/>
      <c r="I77" s="364"/>
      <c r="J77" s="360"/>
      <c r="K77" s="364"/>
      <c r="L77" s="364"/>
      <c r="M77" s="954"/>
      <c r="N77" s="360"/>
      <c r="O77" s="954"/>
      <c r="P77" s="360"/>
      <c r="Q77" s="360"/>
      <c r="R77" s="364"/>
    </row>
    <row r="78" spans="1:18" s="320" customFormat="1">
      <c r="A78" s="283"/>
      <c r="F78" s="299"/>
      <c r="G78" s="299"/>
      <c r="H78" s="305"/>
      <c r="I78" s="299"/>
      <c r="J78" s="305"/>
      <c r="K78" s="299"/>
      <c r="L78" s="299"/>
      <c r="M78" s="952"/>
      <c r="N78" s="305"/>
      <c r="O78" s="952"/>
      <c r="P78" s="305"/>
      <c r="Q78" s="305"/>
      <c r="R78" s="299"/>
    </row>
    <row r="79" spans="1:18" s="320" customFormat="1">
      <c r="A79" s="283"/>
      <c r="B79" s="361"/>
      <c r="C79" s="283"/>
      <c r="D79" s="283"/>
      <c r="F79" s="299"/>
      <c r="G79" s="299"/>
      <c r="H79" s="305"/>
      <c r="I79" s="299"/>
      <c r="J79" s="305"/>
      <c r="K79" s="299"/>
      <c r="L79" s="299"/>
      <c r="M79" s="952"/>
      <c r="N79" s="305"/>
      <c r="O79" s="952"/>
      <c r="P79" s="305"/>
      <c r="Q79" s="305"/>
      <c r="R79" s="299"/>
    </row>
    <row r="80" spans="1:18" s="320" customFormat="1">
      <c r="A80" s="283"/>
      <c r="B80" s="361"/>
      <c r="C80" s="283"/>
      <c r="D80" s="283"/>
      <c r="F80" s="299"/>
      <c r="G80" s="299"/>
      <c r="H80" s="305"/>
      <c r="I80" s="299"/>
      <c r="J80" s="305"/>
      <c r="K80" s="299"/>
      <c r="L80" s="299"/>
      <c r="M80" s="952"/>
      <c r="N80" s="305"/>
      <c r="O80" s="952"/>
      <c r="P80" s="305"/>
      <c r="Q80" s="305"/>
      <c r="R80" s="299"/>
    </row>
    <row r="81" spans="1:18" s="320" customFormat="1">
      <c r="A81" s="283"/>
      <c r="B81" s="361"/>
      <c r="C81" s="283"/>
      <c r="D81" s="283"/>
      <c r="F81" s="299"/>
      <c r="G81" s="299"/>
      <c r="H81" s="305"/>
      <c r="I81" s="299"/>
      <c r="J81" s="305"/>
      <c r="K81" s="299"/>
      <c r="L81" s="299"/>
      <c r="M81" s="952"/>
      <c r="N81" s="305"/>
      <c r="O81" s="952"/>
      <c r="P81" s="305"/>
      <c r="Q81" s="305"/>
      <c r="R81" s="299"/>
    </row>
    <row r="82" spans="1:18" s="320" customFormat="1">
      <c r="A82" s="283"/>
      <c r="B82" s="361"/>
      <c r="C82" s="283"/>
      <c r="D82" s="283"/>
      <c r="F82" s="299"/>
      <c r="G82" s="299"/>
      <c r="H82" s="305"/>
      <c r="I82" s="299"/>
      <c r="J82" s="305"/>
      <c r="K82" s="299"/>
      <c r="L82" s="299"/>
      <c r="M82" s="952"/>
      <c r="N82" s="305"/>
      <c r="O82" s="952"/>
      <c r="P82" s="305"/>
      <c r="Q82" s="305"/>
      <c r="R82" s="299"/>
    </row>
    <row r="83" spans="1:18" s="320" customFormat="1">
      <c r="A83" s="283"/>
      <c r="B83" s="361"/>
      <c r="C83" s="283"/>
      <c r="D83" s="283"/>
      <c r="F83" s="299"/>
      <c r="G83" s="299"/>
      <c r="H83" s="305"/>
      <c r="I83" s="299"/>
      <c r="J83" s="305"/>
      <c r="K83" s="299"/>
      <c r="L83" s="299"/>
      <c r="M83" s="952"/>
      <c r="N83" s="305"/>
      <c r="O83" s="952"/>
      <c r="P83" s="305"/>
      <c r="Q83" s="305"/>
      <c r="R83" s="299"/>
    </row>
    <row r="84" spans="1:18" s="320" customFormat="1">
      <c r="A84" s="283"/>
      <c r="B84" s="361"/>
      <c r="C84" s="283"/>
      <c r="D84" s="283"/>
      <c r="F84" s="299"/>
      <c r="G84" s="299"/>
      <c r="H84" s="305"/>
      <c r="I84" s="299"/>
      <c r="J84" s="305"/>
      <c r="K84" s="299"/>
      <c r="L84" s="299"/>
      <c r="M84" s="952"/>
      <c r="N84" s="305"/>
      <c r="O84" s="952"/>
      <c r="P84" s="305"/>
      <c r="Q84" s="305"/>
      <c r="R84" s="299"/>
    </row>
    <row r="85" spans="1:18" s="320" customFormat="1">
      <c r="A85" s="283"/>
      <c r="B85" s="361"/>
      <c r="C85" s="283"/>
      <c r="D85" s="283"/>
      <c r="F85" s="299"/>
      <c r="G85" s="299"/>
      <c r="H85" s="305"/>
      <c r="I85" s="299"/>
      <c r="J85" s="305"/>
      <c r="K85" s="299"/>
      <c r="L85" s="299"/>
      <c r="M85" s="952"/>
      <c r="N85" s="305"/>
      <c r="O85" s="952"/>
      <c r="P85" s="305"/>
      <c r="Q85" s="305"/>
      <c r="R85" s="299"/>
    </row>
    <row r="86" spans="1:18" s="320" customFormat="1">
      <c r="A86" s="283"/>
      <c r="B86" s="361"/>
      <c r="C86" s="283"/>
      <c r="D86" s="283"/>
      <c r="F86" s="299"/>
      <c r="G86" s="299"/>
      <c r="H86" s="305"/>
      <c r="I86" s="299"/>
      <c r="J86" s="305"/>
      <c r="K86" s="299"/>
      <c r="L86" s="299"/>
      <c r="M86" s="952"/>
      <c r="N86" s="305"/>
      <c r="O86" s="952"/>
      <c r="P86" s="305"/>
      <c r="Q86" s="305"/>
      <c r="R86" s="299"/>
    </row>
    <row r="87" spans="1:18" s="320" customFormat="1">
      <c r="A87" s="283"/>
      <c r="B87" s="361"/>
      <c r="C87" s="283"/>
      <c r="D87" s="283"/>
      <c r="F87" s="299"/>
      <c r="G87" s="299"/>
      <c r="H87" s="305"/>
      <c r="I87" s="299"/>
      <c r="J87" s="305"/>
      <c r="K87" s="299"/>
      <c r="L87" s="299"/>
      <c r="M87" s="952"/>
      <c r="N87" s="305"/>
      <c r="O87" s="952"/>
      <c r="P87" s="305"/>
      <c r="Q87" s="305"/>
      <c r="R87" s="299"/>
    </row>
    <row r="88" spans="1:18" s="320" customFormat="1">
      <c r="A88" s="283"/>
      <c r="B88" s="361"/>
      <c r="C88" s="283"/>
      <c r="D88" s="283"/>
      <c r="F88" s="299"/>
      <c r="G88" s="299"/>
      <c r="H88" s="305"/>
      <c r="I88" s="299"/>
      <c r="J88" s="305"/>
      <c r="K88" s="299"/>
      <c r="L88" s="299"/>
      <c r="M88" s="952"/>
      <c r="N88" s="305"/>
      <c r="O88" s="952"/>
      <c r="P88" s="305"/>
      <c r="Q88" s="305"/>
      <c r="R88" s="299"/>
    </row>
    <row r="89" spans="1:18" s="320" customFormat="1">
      <c r="A89" s="283"/>
      <c r="B89" s="361"/>
      <c r="C89" s="283"/>
      <c r="D89" s="283"/>
      <c r="F89" s="299"/>
      <c r="G89" s="299"/>
      <c r="H89" s="305"/>
      <c r="I89" s="299"/>
      <c r="J89" s="305"/>
      <c r="K89" s="299"/>
      <c r="L89" s="299"/>
      <c r="M89" s="952"/>
      <c r="N89" s="305"/>
      <c r="O89" s="952"/>
      <c r="P89" s="305"/>
      <c r="Q89" s="305"/>
      <c r="R89" s="299"/>
    </row>
    <row r="90" spans="1:18" s="320" customFormat="1">
      <c r="A90" s="283"/>
      <c r="B90" s="361"/>
      <c r="C90" s="283"/>
      <c r="D90" s="283"/>
      <c r="F90" s="299"/>
      <c r="G90" s="299"/>
      <c r="H90" s="305"/>
      <c r="I90" s="299"/>
      <c r="J90" s="305"/>
      <c r="K90" s="299"/>
      <c r="L90" s="299"/>
      <c r="M90" s="952"/>
      <c r="N90" s="305"/>
      <c r="O90" s="952"/>
      <c r="P90" s="305"/>
      <c r="Q90" s="305"/>
      <c r="R90" s="299"/>
    </row>
    <row r="91" spans="1:18" s="320" customFormat="1">
      <c r="A91" s="283"/>
      <c r="B91" s="361"/>
      <c r="C91" s="283"/>
      <c r="D91" s="283"/>
      <c r="F91" s="299"/>
      <c r="G91" s="299"/>
      <c r="H91" s="305"/>
      <c r="I91" s="299"/>
      <c r="J91" s="305"/>
      <c r="K91" s="299"/>
      <c r="L91" s="299"/>
      <c r="M91" s="952"/>
      <c r="N91" s="305"/>
      <c r="O91" s="952"/>
      <c r="P91" s="305"/>
      <c r="Q91" s="305"/>
      <c r="R91" s="299"/>
    </row>
    <row r="92" spans="1:18" s="320" customFormat="1">
      <c r="A92" s="283"/>
      <c r="B92" s="361"/>
      <c r="C92" s="283"/>
      <c r="D92" s="283"/>
      <c r="F92" s="299"/>
      <c r="G92" s="299"/>
      <c r="H92" s="305"/>
      <c r="I92" s="299"/>
      <c r="J92" s="305"/>
      <c r="K92" s="299"/>
      <c r="L92" s="299"/>
      <c r="M92" s="952"/>
      <c r="N92" s="305"/>
      <c r="O92" s="952"/>
      <c r="P92" s="305"/>
      <c r="Q92" s="305"/>
      <c r="R92" s="299"/>
    </row>
    <row r="93" spans="1:18" s="320" customFormat="1">
      <c r="A93" s="283"/>
      <c r="B93" s="361"/>
      <c r="C93" s="283"/>
      <c r="D93" s="283"/>
      <c r="F93" s="299"/>
      <c r="G93" s="299"/>
      <c r="H93" s="305"/>
      <c r="I93" s="299"/>
      <c r="J93" s="305"/>
      <c r="K93" s="299"/>
      <c r="L93" s="299"/>
      <c r="M93" s="952"/>
      <c r="N93" s="305"/>
      <c r="O93" s="952"/>
      <c r="P93" s="305"/>
      <c r="Q93" s="305"/>
      <c r="R93" s="299"/>
    </row>
  </sheetData>
  <protectedRanges>
    <protectedRange sqref="A264:XFD418" name="footnote"/>
    <protectedRange sqref="B7:B262" name="Aktivitātes nosaukums"/>
  </protectedRanges>
  <autoFilter ref="A17:R17">
    <filterColumn colId="0" showButton="0"/>
    <filterColumn colId="1" showButton="0"/>
    <filterColumn colId="2" showButton="0"/>
  </autoFilter>
  <mergeCells count="10">
    <mergeCell ref="R62:S62"/>
    <mergeCell ref="N1:R4"/>
    <mergeCell ref="E3:J4"/>
    <mergeCell ref="A45:D45"/>
    <mergeCell ref="A48:D48"/>
    <mergeCell ref="A17:D17"/>
    <mergeCell ref="A23:D23"/>
    <mergeCell ref="A30:D30"/>
    <mergeCell ref="A33:D33"/>
    <mergeCell ref="A40:D40"/>
  </mergeCells>
  <printOptions horizontalCentered="1"/>
  <pageMargins left="0.23622047244094491" right="0.23622047244094491" top="0.74803149606299213" bottom="0.74803149606299213" header="0.31496062992125984" footer="0.31496062992125984"/>
  <pageSetup paperSize="9" scale="41" orientation="landscape" r:id="rId1"/>
  <headerFooter>
    <oddFooter>Page &amp;P</oddFooter>
  </headerFooter>
  <colBreaks count="1" manualBreakCount="1">
    <brk id="18" max="64" man="1"/>
  </colBreaks>
  <legacyDrawing r:id="rId2"/>
  <extLst>
    <ext xmlns:x14="http://schemas.microsoft.com/office/spreadsheetml/2009/9/main" uri="{78C0D931-6437-407d-A8EE-F0AAD7539E65}">
      <x14:conditionalFormattings>
        <x14:conditionalFormatting xmlns:xm="http://schemas.microsoft.com/office/excel/2006/main">
          <x14:cfRule type="iconSet" priority="24" id="{C48CD6ED-2E23-4773-B13D-272D48F01C0C}">
            <x14:iconSet iconSet="3Flags" custom="1">
              <x14:cfvo type="percent">
                <xm:f>0</xm:f>
              </x14:cfvo>
              <x14:cfvo type="percent">
                <xm:f>33</xm:f>
              </x14:cfvo>
              <x14:cfvo type="percent">
                <xm:f>67</xm:f>
              </x14:cfvo>
              <x14:cfIcon iconSet="NoIcons" iconId="0"/>
              <x14:cfIcon iconSet="NoIcons" iconId="0"/>
              <x14:cfIcon iconSet="3Flags" iconId="0"/>
            </x14:iconSet>
          </x14:cfRule>
          <x14:cfRule type="iconSet" priority="25" id="{03369637-0B0A-42B3-B938-72F65BDE97BC}">
            <x14:iconSet custom="1">
              <x14:cfvo type="percent">
                <xm:f>0</xm:f>
              </x14:cfvo>
              <x14:cfvo type="num">
                <xm:f>0</xm:f>
              </x14:cfvo>
              <x14:cfvo type="num">
                <xm:f>0</xm:f>
              </x14:cfvo>
              <x14:cfIcon iconSet="NoIcons" iconId="0"/>
              <x14:cfIcon iconSet="NoIcons" iconId="0"/>
              <x14:cfIcon iconSet="3Flags" iconId="0"/>
            </x14:iconSet>
          </x14:cfRule>
          <x14:cfRule type="iconSet" priority="26" id="{B93AFC05-EE84-47E4-8FEA-3F6BA394EB6F}">
            <x14:iconSet iconSet="3Flags" custom="1">
              <x14:cfvo type="percent">
                <xm:f>0</xm:f>
              </x14:cfvo>
              <x14:cfvo type="num" gte="0">
                <xm:f>0</xm:f>
              </x14:cfvo>
              <x14:cfvo type="num">
                <xm:f>0</xm:f>
              </x14:cfvo>
              <x14:cfIcon iconSet="NoIcons" iconId="0"/>
              <x14:cfIcon iconSet="NoIcons" iconId="0"/>
              <x14:cfIcon iconSet="3Flags" iconId="0"/>
            </x14:iconSet>
          </x14:cfRule>
          <xm:sqref>G17</xm:sqref>
        </x14:conditionalFormatting>
        <x14:conditionalFormatting xmlns:xm="http://schemas.microsoft.com/office/excel/2006/main">
          <x14:cfRule type="iconSet" priority="23" id="{D29D80E2-583C-4AFD-AA7D-245349F45928}">
            <x14:iconSet iconSet="3Flags" custom="1">
              <x14:cfvo type="percent">
                <xm:f>0</xm:f>
              </x14:cfvo>
              <x14:cfvo type="percent">
                <xm:f>33</xm:f>
              </x14:cfvo>
              <x14:cfvo type="percent">
                <xm:f>67</xm:f>
              </x14:cfvo>
              <x14:cfIcon iconSet="NoIcons" iconId="0"/>
              <x14:cfIcon iconSet="NoIcons" iconId="0"/>
              <x14:cfIcon iconSet="3Flags" iconId="0"/>
            </x14:iconSet>
          </x14:cfRule>
          <xm:sqref>F17</xm:sqref>
        </x14:conditionalFormatting>
        <x14:conditionalFormatting xmlns:xm="http://schemas.microsoft.com/office/excel/2006/main">
          <x14:cfRule type="iconSet" priority="22" id="{AC3C0B56-C350-42A0-9DC9-13587D5EC89E}">
            <x14:iconSet iconSet="3Flags" custom="1">
              <x14:cfvo type="percent">
                <xm:f>0</xm:f>
              </x14:cfvo>
              <x14:cfvo type="percent">
                <xm:f>33</xm:f>
              </x14:cfvo>
              <x14:cfvo type="percent">
                <xm:f>67</xm:f>
              </x14:cfvo>
              <x14:cfIcon iconSet="NoIcons" iconId="0"/>
              <x14:cfIcon iconSet="NoIcons" iconId="0"/>
              <x14:cfIcon iconSet="3Flags" iconId="0"/>
            </x14:iconSet>
          </x14:cfRule>
          <xm:sqref>P18:Q18</xm:sqref>
        </x14:conditionalFormatting>
        <x14:conditionalFormatting xmlns:xm="http://schemas.microsoft.com/office/excel/2006/main">
          <x14:cfRule type="iconSet" priority="21" id="{DAB5C57F-7F9B-43FF-AA84-B97512407512}">
            <x14:iconSet iconSet="3Flags" custom="1">
              <x14:cfvo type="percent">
                <xm:f>0</xm:f>
              </x14:cfvo>
              <x14:cfvo type="percent">
                <xm:f>33</xm:f>
              </x14:cfvo>
              <x14:cfvo type="percent">
                <xm:f>67</xm:f>
              </x14:cfvo>
              <x14:cfIcon iconSet="NoIcons" iconId="0"/>
              <x14:cfIcon iconSet="NoIcons" iconId="0"/>
              <x14:cfIcon iconSet="3Flags" iconId="0"/>
            </x14:iconSet>
          </x14:cfRule>
          <xm:sqref>P21:Q21</xm:sqref>
        </x14:conditionalFormatting>
        <x14:conditionalFormatting xmlns:xm="http://schemas.microsoft.com/office/excel/2006/main">
          <x14:cfRule type="iconSet" priority="18" id="{DEB1F636-8927-4BF4-9476-E425AEFFF7DE}">
            <x14:iconSet custom="1">
              <x14:cfvo type="percent">
                <xm:f>0</xm:f>
              </x14:cfvo>
              <x14:cfvo type="num">
                <xm:f>0</xm:f>
              </x14:cfvo>
              <x14:cfvo type="num">
                <xm:f>0</xm:f>
              </x14:cfvo>
              <x14:cfIcon iconSet="NoIcons" iconId="0"/>
              <x14:cfIcon iconSet="NoIcons" iconId="0"/>
              <x14:cfIcon iconSet="3Flags" iconId="0"/>
            </x14:iconSet>
          </x14:cfRule>
          <x14:cfRule type="iconSet" priority="19" id="{51C11474-579F-443D-8D8A-EBBF393F235F}">
            <x14:iconSet iconSet="3Flags" custom="1">
              <x14:cfvo type="percent">
                <xm:f>0</xm:f>
              </x14:cfvo>
              <x14:cfvo type="percent">
                <xm:f>33</xm:f>
              </x14:cfvo>
              <x14:cfvo type="percent">
                <xm:f>67</xm:f>
              </x14:cfvo>
              <x14:cfIcon iconSet="NoIcons" iconId="0"/>
              <x14:cfIcon iconSet="NoIcons" iconId="0"/>
              <x14:cfIcon iconSet="3Flags" iconId="0"/>
            </x14:iconSet>
          </x14:cfRule>
          <x14:cfRule type="iconSet" priority="20" id="{4362F652-F761-4772-A425-03BFC8594C93}">
            <x14:iconSet iconSet="3Flags" custom="1">
              <x14:cfvo type="percent">
                <xm:f>0</xm:f>
              </x14:cfvo>
              <x14:cfvo type="percent">
                <xm:f>33</xm:f>
              </x14:cfvo>
              <x14:cfvo type="percent">
                <xm:f>67</xm:f>
              </x14:cfvo>
              <x14:cfIcon iconSet="NoIcons" iconId="0"/>
              <x14:cfIcon iconSet="NoIcons" iconId="0"/>
              <x14:cfIcon iconSet="3Flags" iconId="0"/>
            </x14:iconSet>
          </x14:cfRule>
          <xm:sqref>F30 H32</xm:sqref>
        </x14:conditionalFormatting>
        <x14:conditionalFormatting xmlns:xm="http://schemas.microsoft.com/office/excel/2006/main">
          <x14:cfRule type="iconSet" priority="17" id="{71DD2739-53A1-4669-A760-5A0C524F7B1A}">
            <x14:iconSet iconSet="3Flags" custom="1">
              <x14:cfvo type="percent">
                <xm:f>0</xm:f>
              </x14:cfvo>
              <x14:cfvo type="percent">
                <xm:f>33</xm:f>
              </x14:cfvo>
              <x14:cfvo type="percent">
                <xm:f>67</xm:f>
              </x14:cfvo>
              <x14:cfIcon iconSet="NoIcons" iconId="0"/>
              <x14:cfIcon iconSet="NoIcons" iconId="0"/>
              <x14:cfIcon iconSet="3Flags" iconId="0"/>
            </x14:iconSet>
          </x14:cfRule>
          <xm:sqref>H32</xm:sqref>
        </x14:conditionalFormatting>
        <x14:conditionalFormatting xmlns:xm="http://schemas.microsoft.com/office/excel/2006/main">
          <x14:cfRule type="iconSet" priority="16" id="{A1D69A42-83B2-4C66-84E2-37BEABA60F33}">
            <x14:iconSet iconSet="3Flags" custom="1">
              <x14:cfvo type="percent">
                <xm:f>0</xm:f>
              </x14:cfvo>
              <x14:cfvo type="percent">
                <xm:f>33</xm:f>
              </x14:cfvo>
              <x14:cfvo type="percent">
                <xm:f>67</xm:f>
              </x14:cfvo>
              <x14:cfIcon iconSet="NoIcons" iconId="0"/>
              <x14:cfIcon iconSet="NoIcons" iconId="0"/>
              <x14:cfIcon iconSet="3Flags" iconId="0"/>
            </x14:iconSet>
          </x14:cfRule>
          <xm:sqref>F30</xm:sqref>
        </x14:conditionalFormatting>
        <x14:conditionalFormatting xmlns:xm="http://schemas.microsoft.com/office/excel/2006/main">
          <x14:cfRule type="iconSet" priority="15" id="{F92EA9D9-6AC6-4D7D-9122-9B33CDEDE4F0}">
            <x14:iconSet iconSet="3Flags" custom="1">
              <x14:cfvo type="percent">
                <xm:f>0</xm:f>
              </x14:cfvo>
              <x14:cfvo type="percent">
                <xm:f>33</xm:f>
              </x14:cfvo>
              <x14:cfvo type="percent">
                <xm:f>67</xm:f>
              </x14:cfvo>
              <x14:cfIcon iconSet="NoIcons" iconId="0"/>
              <x14:cfIcon iconSet="NoIcons" iconId="0"/>
              <x14:cfIcon iconSet="3Flags" iconId="0"/>
            </x14:iconSet>
          </x14:cfRule>
          <xm:sqref>F40</xm:sqref>
        </x14:conditionalFormatting>
        <x14:conditionalFormatting xmlns:xm="http://schemas.microsoft.com/office/excel/2006/main">
          <x14:cfRule type="iconSet" priority="14" id="{59BD3538-02C9-481B-A320-7D9771427559}">
            <x14:iconSet iconSet="3Flags" custom="1">
              <x14:cfvo type="percent">
                <xm:f>0</xm:f>
              </x14:cfvo>
              <x14:cfvo type="percent">
                <xm:f>33</xm:f>
              </x14:cfvo>
              <x14:cfvo type="percent">
                <xm:f>67</xm:f>
              </x14:cfvo>
              <x14:cfIcon iconSet="NoIcons" iconId="0"/>
              <x14:cfIcon iconSet="NoIcons" iconId="0"/>
              <x14:cfIcon iconSet="3Flags" iconId="0"/>
            </x14:iconSet>
          </x14:cfRule>
          <xm:sqref>H40</xm:sqref>
        </x14:conditionalFormatting>
        <x14:conditionalFormatting xmlns:xm="http://schemas.microsoft.com/office/excel/2006/main">
          <x14:cfRule type="iconSet" priority="13" id="{15C16841-5804-4B52-8E1C-3B35ACC8045B}">
            <x14:iconSet iconSet="3Flags" custom="1">
              <x14:cfvo type="percent">
                <xm:f>0</xm:f>
              </x14:cfvo>
              <x14:cfvo type="percent">
                <xm:f>33</xm:f>
              </x14:cfvo>
              <x14:cfvo type="percent">
                <xm:f>67</xm:f>
              </x14:cfvo>
              <x14:cfIcon iconSet="NoIcons" iconId="0"/>
              <x14:cfIcon iconSet="NoIcons" iconId="0"/>
              <x14:cfIcon iconSet="3Flags" iconId="0"/>
            </x14:iconSet>
          </x14:cfRule>
          <xm:sqref>N41</xm:sqref>
        </x14:conditionalFormatting>
        <x14:conditionalFormatting xmlns:xm="http://schemas.microsoft.com/office/excel/2006/main">
          <x14:cfRule type="iconSet" priority="12" id="{E9500C56-771B-4885-BC52-70429412ADA1}">
            <x14:iconSet iconSet="3Flags" custom="1">
              <x14:cfvo type="percent">
                <xm:f>0</xm:f>
              </x14:cfvo>
              <x14:cfvo type="percent">
                <xm:f>33</xm:f>
              </x14:cfvo>
              <x14:cfvo type="percent">
                <xm:f>67</xm:f>
              </x14:cfvo>
              <x14:cfIcon iconSet="NoIcons" iconId="0"/>
              <x14:cfIcon iconSet="NoIcons" iconId="0"/>
              <x14:cfIcon iconSet="3Flags" iconId="0"/>
            </x14:iconSet>
          </x14:cfRule>
          <xm:sqref>H41</xm:sqref>
        </x14:conditionalFormatting>
        <x14:conditionalFormatting xmlns:xm="http://schemas.microsoft.com/office/excel/2006/main">
          <x14:cfRule type="iconSet" priority="11" id="{EE14946A-6418-421E-BDFB-D03B6EC16FD9}">
            <x14:iconSet iconSet="3Flags" custom="1">
              <x14:cfvo type="percent">
                <xm:f>0</xm:f>
              </x14:cfvo>
              <x14:cfvo type="percent">
                <xm:f>33</xm:f>
              </x14:cfvo>
              <x14:cfvo type="percent">
                <xm:f>67</xm:f>
              </x14:cfvo>
              <x14:cfIcon iconSet="NoIcons" iconId="0"/>
              <x14:cfIcon iconSet="NoIcons" iconId="0"/>
              <x14:cfIcon iconSet="3Flags" iconId="0"/>
            </x14:iconSet>
          </x14:cfRule>
          <xm:sqref>H43:H44</xm:sqref>
        </x14:conditionalFormatting>
        <x14:conditionalFormatting xmlns:xm="http://schemas.microsoft.com/office/excel/2006/main">
          <x14:cfRule type="iconSet" priority="10" id="{E8C69A41-0014-44FA-971C-5E6C3DC97702}">
            <x14:iconSet iconSet="3Flags" custom="1">
              <x14:cfvo type="percent">
                <xm:f>0</xm:f>
              </x14:cfvo>
              <x14:cfvo type="percent">
                <xm:f>33</xm:f>
              </x14:cfvo>
              <x14:cfvo type="percent">
                <xm:f>67</xm:f>
              </x14:cfvo>
              <x14:cfIcon iconSet="NoIcons" iconId="0"/>
              <x14:cfIcon iconSet="NoIcons" iconId="0"/>
              <x14:cfIcon iconSet="3Flags" iconId="0"/>
            </x14:iconSet>
          </x14:cfRule>
          <xm:sqref>H43</xm:sqref>
        </x14:conditionalFormatting>
        <x14:conditionalFormatting xmlns:xm="http://schemas.microsoft.com/office/excel/2006/main">
          <x14:cfRule type="iconSet" priority="9" id="{229BB68A-673F-4AD3-AC70-790240AA48A7}">
            <x14:iconSet iconSet="3Flags" custom="1">
              <x14:cfvo type="percent">
                <xm:f>0</xm:f>
              </x14:cfvo>
              <x14:cfvo type="percent">
                <xm:f>33</xm:f>
              </x14:cfvo>
              <x14:cfvo type="percent">
                <xm:f>67</xm:f>
              </x14:cfvo>
              <x14:cfIcon iconSet="NoIcons" iconId="0"/>
              <x14:cfIcon iconSet="NoIcons" iconId="0"/>
              <x14:cfIcon iconSet="3Flags" iconId="0"/>
            </x14:iconSet>
          </x14:cfRule>
          <xm:sqref>F48</xm:sqref>
        </x14:conditionalFormatting>
        <x14:conditionalFormatting xmlns:xm="http://schemas.microsoft.com/office/excel/2006/main">
          <x14:cfRule type="iconSet" priority="8" id="{0569CAF7-0848-4526-9147-F75430786B0F}">
            <x14:iconSet iconSet="3Flags" custom="1">
              <x14:cfvo type="percent">
                <xm:f>0</xm:f>
              </x14:cfvo>
              <x14:cfvo type="percent">
                <xm:f>33</xm:f>
              </x14:cfvo>
              <x14:cfvo type="percent">
                <xm:f>67</xm:f>
              </x14:cfvo>
              <x14:cfIcon iconSet="NoIcons" iconId="0"/>
              <x14:cfIcon iconSet="NoIcons" iconId="0"/>
              <x14:cfIcon iconSet="3Flags" iconId="0"/>
            </x14:iconSet>
          </x14:cfRule>
          <xm:sqref>G48</xm:sqref>
        </x14:conditionalFormatting>
        <x14:conditionalFormatting xmlns:xm="http://schemas.microsoft.com/office/excel/2006/main">
          <x14:cfRule type="iconSet" priority="7" id="{CE217773-6289-4697-AEB8-543D4DC83B1C}">
            <x14:iconSet iconSet="3Flags" custom="1">
              <x14:cfvo type="percent">
                <xm:f>0</xm:f>
              </x14:cfvo>
              <x14:cfvo type="percent">
                <xm:f>33</xm:f>
              </x14:cfvo>
              <x14:cfvo type="percent">
                <xm:f>67</xm:f>
              </x14:cfvo>
              <x14:cfIcon iconSet="NoIcons" iconId="0"/>
              <x14:cfIcon iconSet="NoIcons" iconId="0"/>
              <x14:cfIcon iconSet="3Flags" iconId="0"/>
            </x14:iconSet>
          </x14:cfRule>
          <xm:sqref>Q51</xm:sqref>
        </x14:conditionalFormatting>
        <x14:conditionalFormatting xmlns:xm="http://schemas.microsoft.com/office/excel/2006/main">
          <x14:cfRule type="iconSet" priority="6" id="{F78AC1B2-6A36-47DD-B48A-6A96141F1B34}">
            <x14:iconSet iconSet="3Flags" custom="1">
              <x14:cfvo type="percent">
                <xm:f>0</xm:f>
              </x14:cfvo>
              <x14:cfvo type="percent">
                <xm:f>33</xm:f>
              </x14:cfvo>
              <x14:cfvo type="percent">
                <xm:f>67</xm:f>
              </x14:cfvo>
              <x14:cfIcon iconSet="NoIcons" iconId="0"/>
              <x14:cfIcon iconSet="NoIcons" iconId="0"/>
              <x14:cfIcon iconSet="3Flags" iconId="0"/>
            </x14:iconSet>
          </x14:cfRule>
          <xm:sqref>Q41</xm:sqref>
        </x14:conditionalFormatting>
        <x14:conditionalFormatting xmlns:xm="http://schemas.microsoft.com/office/excel/2006/main">
          <x14:cfRule type="iconSet" priority="5" id="{B92EA30C-C1A9-4D0E-8D41-FB2B9DB5C2C0}">
            <x14:iconSet iconSet="3Flags" custom="1">
              <x14:cfvo type="percent">
                <xm:f>0</xm:f>
              </x14:cfvo>
              <x14:cfvo type="percent">
                <xm:f>33</xm:f>
              </x14:cfvo>
              <x14:cfvo type="percent">
                <xm:f>67</xm:f>
              </x14:cfvo>
              <x14:cfIcon iconSet="NoIcons" iconId="0"/>
              <x14:cfIcon iconSet="NoIcons" iconId="0"/>
              <x14:cfIcon iconSet="3Flags" iconId="0"/>
            </x14:iconSet>
          </x14:cfRule>
          <xm:sqref>Q56</xm:sqref>
        </x14:conditionalFormatting>
        <x14:conditionalFormatting xmlns:xm="http://schemas.microsoft.com/office/excel/2006/main">
          <x14:cfRule type="iconSet" priority="4" id="{03413C2C-B2E7-4C6B-B4A7-069A8FAAF8F0}">
            <x14:iconSet iconSet="3Flags" custom="1">
              <x14:cfvo type="percent">
                <xm:f>0</xm:f>
              </x14:cfvo>
              <x14:cfvo type="percent">
                <xm:f>33</xm:f>
              </x14:cfvo>
              <x14:cfvo type="percent">
                <xm:f>67</xm:f>
              </x14:cfvo>
              <x14:cfIcon iconSet="NoIcons" iconId="0"/>
              <x14:cfIcon iconSet="NoIcons" iconId="0"/>
              <x14:cfIcon iconSet="3Flags" iconId="0"/>
            </x14:iconSet>
          </x14:cfRule>
          <xm:sqref>Q53</xm:sqref>
        </x14:conditionalFormatting>
        <x14:conditionalFormatting xmlns:xm="http://schemas.microsoft.com/office/excel/2006/main">
          <x14:cfRule type="iconSet" priority="3" id="{4834C0CE-1162-44CD-96D5-C3D3F4EDFC7C}">
            <x14:iconSet iconSet="3Flags" custom="1">
              <x14:cfvo type="percent">
                <xm:f>0</xm:f>
              </x14:cfvo>
              <x14:cfvo type="percent">
                <xm:f>33</xm:f>
              </x14:cfvo>
              <x14:cfvo type="percent">
                <xm:f>67</xm:f>
              </x14:cfvo>
              <x14:cfIcon iconSet="NoIcons" iconId="0"/>
              <x14:cfIcon iconSet="NoIcons" iconId="0"/>
              <x14:cfIcon iconSet="3Flags" iconId="0"/>
            </x14:iconSet>
          </x14:cfRule>
          <xm:sqref>Q48</xm:sqref>
        </x14:conditionalFormatting>
        <x14:conditionalFormatting xmlns:xm="http://schemas.microsoft.com/office/excel/2006/main">
          <x14:cfRule type="iconSet" priority="2" id="{80CF9530-720C-4E78-9431-A96DAEE2AA5C}">
            <x14:iconSet iconSet="3Flags" custom="1">
              <x14:cfvo type="percent">
                <xm:f>0</xm:f>
              </x14:cfvo>
              <x14:cfvo type="percent">
                <xm:f>33</xm:f>
              </x14:cfvo>
              <x14:cfvo type="percent">
                <xm:f>67</xm:f>
              </x14:cfvo>
              <x14:cfIcon iconSet="NoIcons" iconId="0"/>
              <x14:cfIcon iconSet="NoIcons" iconId="0"/>
              <x14:cfIcon iconSet="3Flags" iconId="0"/>
            </x14:iconSet>
          </x14:cfRule>
          <xm:sqref>Q17</xm:sqref>
        </x14:conditionalFormatting>
        <x14:conditionalFormatting xmlns:xm="http://schemas.microsoft.com/office/excel/2006/main">
          <x14:cfRule type="iconSet" priority="1" id="{95E7A564-5F2D-4A9C-BE41-940A5581C18A}">
            <x14:iconSet iconSet="3Flags" custom="1">
              <x14:cfvo type="percent">
                <xm:f>0</xm:f>
              </x14:cfvo>
              <x14:cfvo type="percent">
                <xm:f>33</xm:f>
              </x14:cfvo>
              <x14:cfvo type="percent">
                <xm:f>67</xm:f>
              </x14:cfvo>
              <x14:cfIcon iconSet="NoIcons" iconId="0"/>
              <x14:cfIcon iconSet="NoIcons" iconId="0"/>
              <x14:cfIcon iconSet="3Flags" iconId="0"/>
            </x14:iconSet>
          </x14:cfRule>
          <xm:sqref>Q40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Prioritasu_dalijums</vt:lpstr>
      <vt:lpstr>Virssaistības_progress</vt:lpstr>
      <vt:lpstr>NEZIMANTOTneatbilst</vt:lpstr>
      <vt:lpstr>lauzti_līg</vt:lpstr>
      <vt:lpstr>Nosl_līg</vt:lpstr>
      <vt:lpstr>publ_fin</vt:lpstr>
      <vt:lpstr>MP2013</vt:lpstr>
      <vt:lpstr>koeficients</vt:lpstr>
      <vt:lpstr>Neizpildes, LVL</vt:lpstr>
      <vt:lpstr>Darba fails neizpildēm</vt:lpstr>
      <vt:lpstr>Mērķu izpilde</vt:lpstr>
      <vt:lpstr>Ligumu_plani_apst_MKZ</vt:lpstr>
      <vt:lpstr>Statusa tabula</vt:lpstr>
      <vt:lpstr>Grafiks_1_Dec_2013</vt:lpstr>
      <vt:lpstr>Grafiks_2_Neatbilstību segšana</vt:lpstr>
      <vt:lpstr>'Neizpildes, LVL'!Print_Area</vt:lpstr>
      <vt:lpstr>Virssaistības_progress!Print_Area</vt:lpstr>
      <vt:lpstr>'Neizpildes, LVL'!Print_Titles</vt:lpstr>
      <vt:lpstr>Virssaistības_progress!Print_Titles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Informatīvā ziņojuma 2.pielikums</dc:title>
  <dc:subject>Virssaistību un maksājumu mērķu plānu neizpildes uz 31.12.2013, LVL</dc:subject>
  <dc:creator>Artūrs ŠLuburs</dc:creator>
  <dc:description>Artūrs Šluburs
Finanšu ministrijas Eiropas Savienības fondu uzraudzības departamenta
Uzņēmējdarbības un inovāciju uzraudzības nodaļas vecākais eksperts
Tālr. 67083964, fakss 67095697
Arturs.Sluburs@fm.gov.lv</dc:description>
  <cp:lastModifiedBy>Artūrs Šluburs</cp:lastModifiedBy>
  <cp:lastPrinted>2014-02-11T10:09:08Z</cp:lastPrinted>
  <dcterms:created xsi:type="dcterms:W3CDTF">2009-08-06T12:09:10Z</dcterms:created>
  <dcterms:modified xsi:type="dcterms:W3CDTF">2014-02-28T13:31:28Z</dcterms:modified>
</cp:coreProperties>
</file>