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EVIEŠANAS UZRAUDZĪBA\ZIŅOJUMI_MAKSĀJUMU PROGNOZES EK\VI_regularie_zinojumi_MK_ES_fondi\1 - MK\2017.gads\Ikmēneša informatīvie ziņojumi\8_septembris_iesn_MK_lidz_29.09.2017\"/>
    </mc:Choice>
  </mc:AlternateContent>
  <bookViews>
    <workbookView xWindow="0" yWindow="0" windowWidth="20490" windowHeight="7605"/>
  </bookViews>
  <sheets>
    <sheet name="Projektu_iesniegumi" sheetId="1" r:id="rId1"/>
    <sheet name="PI_neizpildes_FS_kopsummas" sheetId="2" r:id="rId2"/>
    <sheet name="PI_neizpildes_FS_projekti " sheetId="3" state="hidden" r:id="rId3"/>
    <sheet name="Sheet1" sheetId="4" state="hidden" r:id="rId4"/>
    <sheet name="kumulatīvi" sheetId="5" state="hidden" r:id="rId5"/>
  </sheets>
  <definedNames>
    <definedName name="_xlnm._FilterDatabase" localSheetId="1" hidden="1">PI_neizpildes_FS_kopsummas!$A$6:$D$44</definedName>
    <definedName name="_xlnm._FilterDatabase" localSheetId="2" hidden="1">'PI_neizpildes_FS_projekti '!$A$7:$M$114</definedName>
    <definedName name="_xlnm._FilterDatabase" localSheetId="0" hidden="1">Projektu_iesniegumi!$A$11:$Y$364</definedName>
    <definedName name="_xlnm.Print_Area" localSheetId="1">PI_neizpildes_FS_kopsummas!$A$1:$D$44</definedName>
    <definedName name="_xlnm.Print_Area" localSheetId="0">Projektu_iesniegumi!$C$1:$Y$372</definedName>
    <definedName name="_xlnm.Print_Titles" localSheetId="1">PI_neizpildes_FS_kopsummas!$3:$5</definedName>
    <definedName name="_xlnm.Print_Titles" localSheetId="0">Projektu_iesniegumi!$8:$11</definedName>
    <definedName name="Z_289302E3_1E28_4983_8DA3_6320D4422F4A_.wvu.FilterData" localSheetId="1" hidden="1">PI_neizpildes_FS_kopsummas!$A$6:$D$44</definedName>
    <definedName name="Z_289302E3_1E28_4983_8DA3_6320D4422F4A_.wvu.FilterData" localSheetId="2" hidden="1">'PI_neizpildes_FS_projekti '!#REF!</definedName>
    <definedName name="Z_289302E3_1E28_4983_8DA3_6320D4422F4A_.wvu.PrintArea" localSheetId="1" hidden="1">PI_neizpildes_FS_kopsummas!$A$1:$D$44</definedName>
    <definedName name="Z_289302E3_1E28_4983_8DA3_6320D4422F4A_.wvu.PrintTitles" localSheetId="1" hidden="1">PI_neizpildes_FS_kopsummas!$3:$5</definedName>
    <definedName name="Z_33825ADD_B30B_470D_BF09_21690C68C26F_.wvu.FilterData" localSheetId="0" hidden="1">Projektu_iesniegumi!$A$11:$Y$364</definedName>
    <definedName name="Z_3C198650_E200_49E7_9C73_05D2051167FE_.wvu.FilterData" localSheetId="1" hidden="1">PI_neizpildes_FS_kopsummas!$A$6:$D$44</definedName>
    <definedName name="Z_3C198650_E200_49E7_9C73_05D2051167FE_.wvu.FilterData" localSheetId="2" hidden="1">'PI_neizpildes_FS_projekti '!#REF!</definedName>
    <definedName name="Z_3C198650_E200_49E7_9C73_05D2051167FE_.wvu.FilterData" localSheetId="0" hidden="1">Projektu_iesniegumi!$A$11:$Y$364</definedName>
    <definedName name="Z_3C198650_E200_49E7_9C73_05D2051167FE_.wvu.PrintArea" localSheetId="1" hidden="1">PI_neizpildes_FS_kopsummas!$A$1:$D$44</definedName>
    <definedName name="Z_3C198650_E200_49E7_9C73_05D2051167FE_.wvu.PrintTitles" localSheetId="1" hidden="1">PI_neizpildes_FS_kopsummas!$3:$5</definedName>
    <definedName name="Z_3C198650_E200_49E7_9C73_05D2051167FE_.wvu.PrintTitles" localSheetId="2" hidden="1">'PI_neizpildes_FS_projekti '!#REF!</definedName>
    <definedName name="Z_3C198650_E200_49E7_9C73_05D2051167FE_.wvu.PrintTitles" localSheetId="0" hidden="1">Projektu_iesniegumi!$8:$11</definedName>
    <definedName name="Z_558B6501_D2B0_47C4_94DF_5F95533ABD7C_.wvu.FilterData" localSheetId="1" hidden="1">PI_neizpildes_FS_kopsummas!$A$6:$D$44</definedName>
    <definedName name="Z_558B6501_D2B0_47C4_94DF_5F95533ABD7C_.wvu.FilterData" localSheetId="2" hidden="1">'PI_neizpildes_FS_projekti '!#REF!</definedName>
    <definedName name="Z_558B6501_D2B0_47C4_94DF_5F95533ABD7C_.wvu.PrintArea" localSheetId="1" hidden="1">PI_neizpildes_FS_kopsummas!$A$1:$D$44</definedName>
    <definedName name="Z_558B6501_D2B0_47C4_94DF_5F95533ABD7C_.wvu.PrintTitles" localSheetId="1" hidden="1">PI_neizpildes_FS_kopsummas!$3:$5</definedName>
    <definedName name="Z_5C6F0B19_D42B_4153_AFCC_0E3F563BD155_.wvu.Cols" localSheetId="0" hidden="1">Projektu_iesniegumi!$M:$M,Projektu_iesniegumi!$S:$S,Projektu_iesniegumi!$U:$X</definedName>
    <definedName name="Z_5C6F0B19_D42B_4153_AFCC_0E3F563BD155_.wvu.FilterData" localSheetId="1" hidden="1">PI_neizpildes_FS_kopsummas!$A$6:$D$44</definedName>
    <definedName name="Z_5C6F0B19_D42B_4153_AFCC_0E3F563BD155_.wvu.FilterData" localSheetId="2" hidden="1">'PI_neizpildes_FS_projekti '!#REF!</definedName>
    <definedName name="Z_5C6F0B19_D42B_4153_AFCC_0E3F563BD155_.wvu.FilterData" localSheetId="0" hidden="1">Projektu_iesniegumi!$A$11:$Y$364</definedName>
    <definedName name="Z_5C6F0B19_D42B_4153_AFCC_0E3F563BD155_.wvu.PrintArea" localSheetId="1" hidden="1">PI_neizpildes_FS_kopsummas!$A$1:$D$44</definedName>
    <definedName name="Z_5C6F0B19_D42B_4153_AFCC_0E3F563BD155_.wvu.PrintTitles" localSheetId="1" hidden="1">PI_neizpildes_FS_kopsummas!$3:$5</definedName>
    <definedName name="Z_5C6F0B19_D42B_4153_AFCC_0E3F563BD155_.wvu.PrintTitles" localSheetId="2" hidden="1">'PI_neizpildes_FS_projekti '!#REF!</definedName>
    <definedName name="Z_5C6F0B19_D42B_4153_AFCC_0E3F563BD155_.wvu.PrintTitles" localSheetId="0" hidden="1">Projektu_iesniegumi!$8:$11</definedName>
    <definedName name="Z_6E4A4EE3_60E1_42FA_AFB7_0452F0113865_.wvu.Cols" localSheetId="0" hidden="1">Projektu_iesniegumi!$M:$M,Projektu_iesniegumi!$S:$S,Projektu_iesniegumi!$U:$X</definedName>
    <definedName name="Z_6E4A4EE3_60E1_42FA_AFB7_0452F0113865_.wvu.FilterData" localSheetId="1" hidden="1">PI_neizpildes_FS_kopsummas!$A$6:$D$44</definedName>
    <definedName name="Z_6E4A4EE3_60E1_42FA_AFB7_0452F0113865_.wvu.FilterData" localSheetId="2" hidden="1">'PI_neizpildes_FS_projekti '!#REF!</definedName>
    <definedName name="Z_6E4A4EE3_60E1_42FA_AFB7_0452F0113865_.wvu.FilterData" localSheetId="0" hidden="1">Projektu_iesniegumi!$A$11:$Y$364</definedName>
    <definedName name="Z_6E4A4EE3_60E1_42FA_AFB7_0452F0113865_.wvu.PrintArea" localSheetId="1" hidden="1">PI_neizpildes_FS_kopsummas!$A$1:$D$44</definedName>
    <definedName name="Z_6E4A4EE3_60E1_42FA_AFB7_0452F0113865_.wvu.PrintArea" localSheetId="0" hidden="1">Projektu_iesniegumi!$G:$Y</definedName>
    <definedName name="Z_6E4A4EE3_60E1_42FA_AFB7_0452F0113865_.wvu.PrintTitles" localSheetId="1" hidden="1">PI_neizpildes_FS_kopsummas!$3:$5</definedName>
    <definedName name="Z_6E4A4EE3_60E1_42FA_AFB7_0452F0113865_.wvu.PrintTitles" localSheetId="2" hidden="1">'PI_neizpildes_FS_projekti '!#REF!</definedName>
    <definedName name="Z_6E4A4EE3_60E1_42FA_AFB7_0452F0113865_.wvu.PrintTitles" localSheetId="0" hidden="1">Projektu_iesniegumi!$8:$11</definedName>
    <definedName name="Z_8C54629E_189C_45BD_B471_052E1E1AA970_.wvu.Cols" localSheetId="0" hidden="1">Projektu_iesniegumi!$M:$M,Projektu_iesniegumi!$S:$S,Projektu_iesniegumi!$U:$X</definedName>
    <definedName name="Z_8C54629E_189C_45BD_B471_052E1E1AA970_.wvu.FilterData" localSheetId="1" hidden="1">PI_neizpildes_FS_kopsummas!$A$6:$D$44</definedName>
    <definedName name="Z_8C54629E_189C_45BD_B471_052E1E1AA970_.wvu.FilterData" localSheetId="2" hidden="1">'PI_neizpildes_FS_projekti '!#REF!</definedName>
    <definedName name="Z_8C54629E_189C_45BD_B471_052E1E1AA970_.wvu.FilterData" localSheetId="0" hidden="1">Projektu_iesniegumi!$A$11:$Y$364</definedName>
    <definedName name="Z_8C54629E_189C_45BD_B471_052E1E1AA970_.wvu.PrintArea" localSheetId="1" hidden="1">PI_neizpildes_FS_kopsummas!$A$1:$D$44</definedName>
    <definedName name="Z_8C54629E_189C_45BD_B471_052E1E1AA970_.wvu.PrintArea" localSheetId="0" hidden="1">Projektu_iesniegumi!$G:$Y</definedName>
    <definedName name="Z_8C54629E_189C_45BD_B471_052E1E1AA970_.wvu.PrintTitles" localSheetId="1" hidden="1">PI_neizpildes_FS_kopsummas!$3:$5</definedName>
    <definedName name="Z_8C54629E_189C_45BD_B471_052E1E1AA970_.wvu.PrintTitles" localSheetId="2" hidden="1">'PI_neizpildes_FS_projekti '!#REF!</definedName>
    <definedName name="Z_8C54629E_189C_45BD_B471_052E1E1AA970_.wvu.PrintTitles" localSheetId="0" hidden="1">Projektu_iesniegumi!$8:$11</definedName>
    <definedName name="Z_DD224C07_7291_463E_8BEE_43F0AEF6DCCF_.wvu.Cols" localSheetId="0" hidden="1">Projektu_iesniegumi!$M:$M,Projektu_iesniegumi!$S:$S,Projektu_iesniegumi!$U:$X</definedName>
    <definedName name="Z_DD224C07_7291_463E_8BEE_43F0AEF6DCCF_.wvu.FilterData" localSheetId="1" hidden="1">PI_neizpildes_FS_kopsummas!$A$6:$D$44</definedName>
    <definedName name="Z_DD224C07_7291_463E_8BEE_43F0AEF6DCCF_.wvu.FilterData" localSheetId="2" hidden="1">'PI_neizpildes_FS_projekti '!#REF!</definedName>
    <definedName name="Z_DD224C07_7291_463E_8BEE_43F0AEF6DCCF_.wvu.FilterData" localSheetId="0" hidden="1">Projektu_iesniegumi!$A$11:$Y$364</definedName>
    <definedName name="Z_DD224C07_7291_463E_8BEE_43F0AEF6DCCF_.wvu.PrintArea" localSheetId="1" hidden="1">PI_neizpildes_FS_kopsummas!$A$1:$D$44</definedName>
    <definedName name="Z_DD224C07_7291_463E_8BEE_43F0AEF6DCCF_.wvu.PrintArea" localSheetId="0" hidden="1">Projektu_iesniegumi!$G:$Y</definedName>
    <definedName name="Z_DD224C07_7291_463E_8BEE_43F0AEF6DCCF_.wvu.PrintTitles" localSheetId="1" hidden="1">PI_neizpildes_FS_kopsummas!$3:$5</definedName>
    <definedName name="Z_DD224C07_7291_463E_8BEE_43F0AEF6DCCF_.wvu.PrintTitles" localSheetId="2" hidden="1">'PI_neizpildes_FS_projekti '!#REF!</definedName>
    <definedName name="Z_DD224C07_7291_463E_8BEE_43F0AEF6DCCF_.wvu.PrintTitles" localSheetId="0" hidden="1">Projektu_iesniegumi!$8:$11</definedName>
    <definedName name="Z_EA94F8E8_A549_4237_AD02_AF725E716B24_.wvu.FilterData" localSheetId="1" hidden="1">PI_neizpildes_FS_kopsummas!$A$6:$D$44</definedName>
    <definedName name="Z_EA94F8E8_A549_4237_AD02_AF725E716B24_.wvu.FilterData" localSheetId="2" hidden="1">'PI_neizpildes_FS_projekti '!#REF!</definedName>
    <definedName name="Z_EA94F8E8_A549_4237_AD02_AF725E716B24_.wvu.PrintArea" localSheetId="1" hidden="1">PI_neizpildes_FS_kopsummas!$A$1:$D$44</definedName>
    <definedName name="Z_EA94F8E8_A549_4237_AD02_AF725E716B24_.wvu.PrintTitles" localSheetId="1" hidden="1">PI_neizpildes_FS_kopsummas!$3:$5</definedName>
    <definedName name="Z_FCC043BD_7070_4C54_8FBF_E104D1B8A707_.wvu.FilterData" localSheetId="1" hidden="1">PI_neizpildes_FS_kopsummas!$A$6:$D$44</definedName>
    <definedName name="Z_FCC043BD_7070_4C54_8FBF_E104D1B8A707_.wvu.FilterData" localSheetId="2" hidden="1">'PI_neizpildes_FS_projekti '!#REF!</definedName>
    <definedName name="Z_FCC043BD_7070_4C54_8FBF_E104D1B8A707_.wvu.PrintArea" localSheetId="1" hidden="1">PI_neizpildes_FS_kopsummas!$A$1:$D$44</definedName>
    <definedName name="Z_FCC043BD_7070_4C54_8FBF_E104D1B8A707_.wvu.PrintTitles" localSheetId="1" hidden="1">PI_neizpildes_FS_kopsummas!$3:$5</definedName>
  </definedNames>
  <calcPr calcId="162913"/>
  <customWorkbookViews>
    <customWorkbookView name="Admin - Personal View" guid="{DD224C07-7291-463E-8BEE-43F0AEF6DCCF}" mergeInterval="0" personalView="1" maximized="1" xWindow="-4" yWindow="-4" windowWidth="1928" windowHeight="1044" activeSheetId="1"/>
    <customWorkbookView name="Regīna Vigula - Personal View" guid="{6E4A4EE3-60E1-42FA-AFB7-0452F0113865}" mergeInterval="0" personalView="1" maximized="1" xWindow="-8" yWindow="-8" windowWidth="1936" windowHeight="1056" activeSheetId="1"/>
    <customWorkbookView name="Viktorija Maksimenko - Personal View" guid="{8C54629E-189C-45BD-B471-052E1E1AA970}" mergeInterval="0" personalView="1" maximized="1" xWindow="-8" yWindow="-8" windowWidth="1936" windowHeight="1056" activeSheetId="1"/>
    <customWorkbookView name="Ilze Daukste - Personal View" guid="{5C6F0B19-D42B-4153-AFCC-0E3F563BD155}" mergeInterval="0" personalView="1" maximized="1" xWindow="-8" yWindow="-8" windowWidth="1936" windowHeight="1056" activeSheetId="1"/>
    <customWorkbookView name="Ints Pelnis - Personal View" guid="{3C198650-E200-49E7-9C73-05D2051167FE}" mergeInterval="0" personalView="1" maximized="1" xWindow="1912" yWindow="-8" windowWidth="1936" windowHeight="1056"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l="1"/>
  <c r="F98" i="3"/>
  <c r="D98" i="3" s="1"/>
  <c r="F87" i="3"/>
  <c r="F68" i="3"/>
  <c r="F50" i="3"/>
  <c r="S272" i="1"/>
  <c r="S270" i="1"/>
  <c r="S274" i="1"/>
  <c r="S201" i="1"/>
  <c r="S62" i="1"/>
  <c r="S284" i="1" l="1"/>
  <c r="D39" i="2"/>
  <c r="D41" i="2"/>
  <c r="D30" i="2"/>
  <c r="D31" i="2"/>
  <c r="D32" i="2"/>
  <c r="D26" i="2"/>
  <c r="D25" i="2"/>
  <c r="D17" i="2"/>
  <c r="F113" i="3"/>
  <c r="D113" i="3" s="1"/>
  <c r="F109" i="3"/>
  <c r="D109" i="3" s="1"/>
  <c r="F100" i="3"/>
  <c r="F94" i="3"/>
  <c r="D94" i="3" s="1"/>
  <c r="F92" i="3"/>
  <c r="D92" i="3" s="1"/>
  <c r="F90" i="3"/>
  <c r="D90" i="3" s="1"/>
  <c r="F77" i="3"/>
  <c r="D77" i="3" s="1"/>
  <c r="F75" i="3"/>
  <c r="D75" i="3" s="1"/>
  <c r="F60" i="3"/>
  <c r="D60" i="3" s="1"/>
  <c r="C18" i="2" s="1"/>
  <c r="D18" i="2" s="1"/>
  <c r="F58" i="3"/>
  <c r="D58" i="3" s="1"/>
  <c r="J204" i="1"/>
  <c r="J122" i="1"/>
  <c r="J57" i="1"/>
  <c r="S262" i="1"/>
  <c r="S121" i="1" l="1"/>
  <c r="J345" i="1" l="1"/>
  <c r="J314" i="1"/>
  <c r="J254" i="1"/>
  <c r="J247" i="1"/>
  <c r="J200" i="1"/>
  <c r="A1" i="2"/>
  <c r="J288" i="1"/>
  <c r="J285" i="1"/>
  <c r="H285" i="1"/>
  <c r="J195" i="1"/>
  <c r="J193" i="1"/>
  <c r="M194" i="1"/>
  <c r="D87" i="3"/>
  <c r="C29" i="2" s="1"/>
  <c r="D29" i="2" s="1"/>
  <c r="F71" i="3"/>
  <c r="D71" i="3" s="1"/>
  <c r="C23" i="2" s="1"/>
  <c r="D23" i="2" s="1"/>
  <c r="F66" i="3"/>
  <c r="D66" i="3" s="1"/>
  <c r="C21" i="2" s="1"/>
  <c r="D21" i="2" s="1"/>
  <c r="F48" i="3"/>
  <c r="D48" i="3" s="1"/>
  <c r="C13" i="2" s="1"/>
  <c r="D13" i="2" s="1"/>
  <c r="F73" i="3"/>
  <c r="D73" i="3" s="1"/>
  <c r="C24" i="2" s="1"/>
  <c r="D24" i="2" s="1"/>
  <c r="F105" i="3"/>
  <c r="D105" i="3" s="1"/>
  <c r="C37" i="2" s="1"/>
  <c r="D37" i="2" s="1"/>
  <c r="F107" i="3"/>
  <c r="D107" i="3" s="1"/>
  <c r="C38" i="2" s="1"/>
  <c r="D38" i="2" s="1"/>
  <c r="D68" i="3"/>
  <c r="C22" i="2" s="1"/>
  <c r="D22" i="2" s="1"/>
  <c r="C34" i="2"/>
  <c r="D34" i="2" s="1"/>
  <c r="F96" i="3"/>
  <c r="D96" i="3" s="1"/>
  <c r="C33" i="2" s="1"/>
  <c r="D33" i="2" s="1"/>
  <c r="F35" i="3"/>
  <c r="D35" i="3" s="1"/>
  <c r="C9" i="2" s="1"/>
  <c r="D9" i="2" s="1"/>
  <c r="D50" i="3"/>
  <c r="C14" i="2" s="1"/>
  <c r="D14" i="2" s="1"/>
  <c r="F80" i="3"/>
  <c r="D80" i="3" s="1"/>
  <c r="C27" i="2" s="1"/>
  <c r="D27" i="2" s="1"/>
  <c r="F38" i="3"/>
  <c r="D38" i="3" s="1"/>
  <c r="C10" i="2" s="1"/>
  <c r="D10" i="2" s="1"/>
  <c r="F28" i="3"/>
  <c r="D28" i="3" s="1"/>
  <c r="C8" i="2" s="1"/>
  <c r="D8" i="2" s="1"/>
  <c r="F54" i="3"/>
  <c r="D54" i="3" s="1"/>
  <c r="C15" i="2" s="1"/>
  <c r="D15" i="2" s="1"/>
  <c r="F64" i="3"/>
  <c r="D64" i="3" s="1"/>
  <c r="C20" i="2" s="1"/>
  <c r="D20" i="2" s="1"/>
  <c r="F56" i="3"/>
  <c r="D56" i="3" s="1"/>
  <c r="C16" i="2" s="1"/>
  <c r="D16" i="2" s="1"/>
  <c r="F44" i="3"/>
  <c r="D44" i="3" s="1"/>
  <c r="C12" i="2" s="1"/>
  <c r="D12" i="2" s="1"/>
  <c r="F103" i="3"/>
  <c r="D103" i="3" s="1"/>
  <c r="C36" i="2" s="1"/>
  <c r="D36" i="2" s="1"/>
  <c r="F85" i="3"/>
  <c r="D85" i="3" s="1"/>
  <c r="C28" i="2" s="1"/>
  <c r="D28" i="2" s="1"/>
  <c r="F9" i="3"/>
  <c r="D9" i="3" s="1"/>
  <c r="D8" i="3" s="1"/>
  <c r="F40" i="3"/>
  <c r="D40" i="3" s="1"/>
  <c r="C11" i="2" s="1"/>
  <c r="D11" i="2" s="1"/>
  <c r="D100" i="3"/>
  <c r="C35" i="2" s="1"/>
  <c r="D35" i="2" s="1"/>
  <c r="F62" i="3"/>
  <c r="F111" i="3"/>
  <c r="D62" i="3"/>
  <c r="C19" i="2" s="1"/>
  <c r="D19" i="2" s="1"/>
  <c r="D111" i="3"/>
  <c r="C40" i="2" s="1"/>
  <c r="D40" i="2" s="1"/>
  <c r="C7" i="2" l="1"/>
  <c r="D7" i="2" s="1"/>
  <c r="K7" i="1"/>
  <c r="K6" i="1"/>
  <c r="K5" i="1"/>
  <c r="S120" i="1" l="1"/>
  <c r="S119" i="1"/>
  <c r="S59" i="1" l="1"/>
  <c r="S60" i="1"/>
  <c r="S63" i="1"/>
  <c r="S64" i="1"/>
  <c r="S65" i="1"/>
  <c r="S66" i="1"/>
  <c r="S67" i="1"/>
  <c r="S68" i="1"/>
  <c r="S69" i="1"/>
  <c r="S70" i="1"/>
  <c r="S71" i="1"/>
  <c r="S72" i="1"/>
  <c r="S73" i="1"/>
  <c r="S74" i="1"/>
  <c r="S75" i="1"/>
  <c r="S76" i="1"/>
  <c r="S77" i="1"/>
  <c r="S78" i="1"/>
  <c r="S79" i="1"/>
  <c r="S80" i="1"/>
  <c r="S81" i="1"/>
  <c r="S82" i="1"/>
  <c r="S83" i="1"/>
  <c r="S84" i="1"/>
  <c r="S85" i="1"/>
  <c r="S86" i="1"/>
  <c r="S89" i="1"/>
  <c r="S90" i="1"/>
  <c r="S91" i="1"/>
  <c r="S93" i="1"/>
  <c r="S94" i="1"/>
  <c r="S96" i="1"/>
  <c r="M350" i="1" l="1"/>
  <c r="M344" i="1"/>
  <c r="M335" i="1"/>
  <c r="M330" i="1"/>
  <c r="M250" i="1"/>
  <c r="M245" i="1"/>
  <c r="M243" i="1"/>
  <c r="M235" i="1"/>
  <c r="M234" i="1"/>
  <c r="M233" i="1"/>
  <c r="M231" i="1"/>
  <c r="M229" i="1"/>
  <c r="M227" i="1"/>
  <c r="M226" i="1"/>
  <c r="M225" i="1"/>
  <c r="M224" i="1"/>
  <c r="M223" i="1"/>
  <c r="M222" i="1"/>
  <c r="M220" i="1"/>
  <c r="M219" i="1"/>
  <c r="M218" i="1"/>
  <c r="M217" i="1"/>
  <c r="M216" i="1"/>
  <c r="M215" i="1"/>
  <c r="M214" i="1"/>
  <c r="M213" i="1"/>
  <c r="M212" i="1"/>
  <c r="M211" i="1"/>
  <c r="M210" i="1"/>
  <c r="M209" i="1"/>
  <c r="M207" i="1"/>
  <c r="M206" i="1"/>
  <c r="M205" i="1"/>
  <c r="M199" i="1"/>
  <c r="M198" i="1"/>
  <c r="M179" i="1"/>
  <c r="M175" i="1"/>
  <c r="M98" i="1"/>
  <c r="M97" i="1"/>
  <c r="M96" i="1"/>
  <c r="M94" i="1"/>
  <c r="M90" i="1"/>
  <c r="M89" i="1"/>
  <c r="M85" i="1"/>
  <c r="M84" i="1"/>
  <c r="M83" i="1"/>
  <c r="M81" i="1"/>
  <c r="M80" i="1"/>
  <c r="M79" i="1"/>
  <c r="M78" i="1"/>
  <c r="M76" i="1"/>
  <c r="M75" i="1"/>
  <c r="M74" i="1"/>
  <c r="M72" i="1"/>
  <c r="M71" i="1"/>
  <c r="M70" i="1"/>
  <c r="M68" i="1"/>
  <c r="M66" i="1"/>
  <c r="M65" i="1"/>
  <c r="M61" i="1"/>
  <c r="M60" i="1"/>
  <c r="M56" i="1"/>
  <c r="M55" i="1"/>
  <c r="M52" i="1"/>
  <c r="M51" i="1"/>
  <c r="M50" i="1"/>
  <c r="M48" i="1"/>
  <c r="M47" i="1"/>
  <c r="M46" i="1"/>
  <c r="M45" i="1"/>
  <c r="M44" i="1"/>
  <c r="M43" i="1"/>
  <c r="M42" i="1"/>
  <c r="M40" i="1"/>
  <c r="M39" i="1"/>
  <c r="M38" i="1"/>
  <c r="M37" i="1"/>
  <c r="M34" i="1"/>
  <c r="M33" i="1"/>
  <c r="M31" i="1"/>
  <c r="M30" i="1"/>
  <c r="M27" i="1"/>
  <c r="S333" i="1"/>
  <c r="S326" i="1"/>
  <c r="S327" i="1"/>
  <c r="S269" i="1"/>
  <c r="S250" i="1"/>
  <c r="S243" i="1"/>
  <c r="S350" i="1"/>
  <c r="S344" i="1"/>
  <c r="S335" i="1"/>
  <c r="S330" i="1"/>
  <c r="S245" i="1"/>
  <c r="S53" i="1"/>
  <c r="S27" i="1"/>
  <c r="S28" i="1"/>
  <c r="S29" i="1"/>
  <c r="S30" i="1"/>
  <c r="S31" i="1"/>
  <c r="S32" i="1"/>
  <c r="S33" i="1"/>
  <c r="S34" i="1"/>
  <c r="S35" i="1"/>
  <c r="S36" i="1"/>
  <c r="S37" i="1"/>
  <c r="S38" i="1"/>
  <c r="S39" i="1"/>
  <c r="S40" i="1"/>
  <c r="S41" i="1"/>
  <c r="S42" i="1"/>
  <c r="S43" i="1"/>
  <c r="S44" i="1"/>
  <c r="S45" i="1"/>
  <c r="S46" i="1"/>
  <c r="S47" i="1"/>
  <c r="S48" i="1"/>
  <c r="S49" i="1"/>
  <c r="S50" i="1"/>
  <c r="S51" i="1"/>
  <c r="S52" i="1"/>
  <c r="S54" i="1"/>
  <c r="S55" i="1"/>
  <c r="S56" i="1"/>
  <c r="S26" i="1"/>
  <c r="S97" i="1" l="1"/>
  <c r="S98" i="1"/>
  <c r="S178" i="1" l="1"/>
  <c r="S174" i="1"/>
  <c r="M228" i="1" l="1"/>
  <c r="M230" i="1"/>
  <c r="M87" i="1" l="1"/>
  <c r="M88" i="1"/>
  <c r="M128" i="1"/>
  <c r="M129" i="1"/>
  <c r="M130" i="1"/>
  <c r="M131" i="1"/>
  <c r="M177" i="1"/>
  <c r="M180" i="1"/>
  <c r="M196" i="1"/>
  <c r="M203" i="1"/>
  <c r="M248" i="1"/>
  <c r="M255" i="1"/>
  <c r="M256" i="1"/>
  <c r="M257" i="1"/>
  <c r="M261" i="1"/>
  <c r="M266" i="1"/>
  <c r="M267" i="1"/>
  <c r="M268" i="1"/>
  <c r="M271" i="1"/>
  <c r="M272" i="1"/>
  <c r="M273" i="1"/>
  <c r="M274" i="1"/>
  <c r="M281" i="1"/>
  <c r="M322" i="1"/>
  <c r="M349" i="1"/>
  <c r="S13" i="1" l="1"/>
  <c r="S14" i="1"/>
  <c r="S15" i="1"/>
  <c r="S16" i="1"/>
  <c r="S17" i="1"/>
  <c r="S18" i="1"/>
  <c r="S19" i="1"/>
  <c r="S20" i="1"/>
  <c r="S21" i="1"/>
  <c r="S22" i="1"/>
  <c r="S23" i="1"/>
  <c r="S24" i="1"/>
  <c r="S25" i="1"/>
  <c r="S92" i="1"/>
  <c r="S105" i="1"/>
  <c r="S106" i="1"/>
  <c r="S107" i="1"/>
  <c r="S108" i="1"/>
  <c r="S109" i="1"/>
  <c r="S110" i="1"/>
  <c r="S111" i="1"/>
  <c r="S112" i="1"/>
  <c r="S113" i="1"/>
  <c r="S114" i="1"/>
  <c r="S115" i="1"/>
  <c r="S116" i="1"/>
  <c r="S117" i="1"/>
  <c r="S118" i="1"/>
  <c r="S134" i="1"/>
  <c r="S135" i="1"/>
  <c r="S136"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1" i="1"/>
  <c r="S175" i="1"/>
  <c r="S179" i="1"/>
  <c r="S181" i="1"/>
  <c r="S182" i="1"/>
  <c r="S183" i="1"/>
  <c r="S185" i="1"/>
  <c r="S189" i="1"/>
  <c r="S190" i="1"/>
  <c r="S191" i="1"/>
  <c r="S192" i="1"/>
  <c r="S197" i="1"/>
  <c r="S198" i="1"/>
  <c r="S199" i="1"/>
  <c r="S205" i="1"/>
  <c r="S206" i="1"/>
  <c r="S209" i="1"/>
  <c r="S210" i="1"/>
  <c r="S212" i="1"/>
  <c r="S213" i="1"/>
  <c r="S219" i="1"/>
  <c r="S220" i="1"/>
  <c r="S221" i="1"/>
  <c r="S222" i="1"/>
  <c r="S225" i="1"/>
  <c r="S226" i="1"/>
  <c r="S228" i="1"/>
  <c r="S229" i="1"/>
  <c r="S230" i="1"/>
  <c r="S207" i="1"/>
  <c r="S208" i="1"/>
  <c r="S211" i="1"/>
  <c r="S214" i="1"/>
  <c r="S215" i="1"/>
  <c r="S216" i="1"/>
  <c r="S217" i="1"/>
  <c r="S218" i="1"/>
  <c r="S223" i="1"/>
  <c r="S224" i="1"/>
  <c r="S227" i="1"/>
  <c r="S231" i="1"/>
  <c r="S232" i="1"/>
  <c r="S233" i="1"/>
  <c r="S234" i="1"/>
  <c r="S235" i="1"/>
  <c r="S241" i="1"/>
  <c r="S242" i="1"/>
  <c r="S244" i="1"/>
  <c r="S246" i="1"/>
  <c r="S249" i="1"/>
  <c r="S253" i="1"/>
  <c r="S259" i="1"/>
  <c r="S265" i="1"/>
  <c r="S276" i="1"/>
  <c r="S277" i="1"/>
  <c r="S279" i="1"/>
  <c r="S282" i="1"/>
  <c r="S283" i="1"/>
  <c r="S287" i="1"/>
  <c r="S290" i="1"/>
  <c r="S291" i="1"/>
  <c r="S292" i="1"/>
  <c r="S293" i="1"/>
  <c r="S294" i="1"/>
  <c r="S295" i="1"/>
  <c r="S296" i="1"/>
  <c r="S297" i="1"/>
  <c r="S298" i="1"/>
  <c r="S299" i="1"/>
  <c r="S300" i="1"/>
  <c r="S301" i="1"/>
  <c r="S302" i="1"/>
  <c r="S303" i="1"/>
  <c r="S304" i="1"/>
  <c r="S305" i="1"/>
  <c r="S306" i="1"/>
  <c r="S307" i="1"/>
  <c r="S308" i="1"/>
  <c r="S309" i="1"/>
  <c r="S310" i="1"/>
  <c r="S311" i="1"/>
  <c r="S312" i="1"/>
  <c r="S313" i="1"/>
  <c r="S323" i="1"/>
  <c r="S324" i="1"/>
  <c r="S325" i="1"/>
  <c r="S329" i="1"/>
  <c r="S331" i="1"/>
  <c r="S332" i="1"/>
  <c r="S334" i="1"/>
  <c r="S336" i="1"/>
  <c r="S337" i="1"/>
  <c r="S338" i="1"/>
  <c r="S340" i="1"/>
  <c r="S341" i="1"/>
  <c r="S342" i="1"/>
  <c r="S339" i="1"/>
  <c r="S343" i="1"/>
  <c r="S348" i="1"/>
  <c r="S351" i="1"/>
  <c r="S352" i="1"/>
  <c r="S353" i="1"/>
  <c r="S354" i="1"/>
  <c r="S355" i="1"/>
  <c r="S356" i="1"/>
  <c r="S357" i="1"/>
  <c r="S358" i="1"/>
  <c r="S359" i="1"/>
  <c r="S360" i="1"/>
  <c r="S361" i="1"/>
  <c r="S362" i="1"/>
  <c r="S363" i="1"/>
  <c r="S12" i="1"/>
  <c r="M364" i="1"/>
  <c r="M20" i="1"/>
  <c r="M21" i="1"/>
  <c r="M22" i="1"/>
  <c r="M23" i="1"/>
  <c r="M24" i="1"/>
  <c r="M25" i="1"/>
  <c r="M26" i="1"/>
  <c r="M32" i="1"/>
  <c r="M35" i="1"/>
  <c r="M41" i="1"/>
  <c r="M58" i="1"/>
  <c r="M59" i="1"/>
  <c r="M62" i="1"/>
  <c r="M63" i="1"/>
  <c r="M67" i="1"/>
  <c r="M69" i="1"/>
  <c r="M73" i="1"/>
  <c r="M82" i="1"/>
  <c r="M93" i="1"/>
  <c r="M95" i="1"/>
  <c r="M123" i="1"/>
  <c r="M124" i="1"/>
  <c r="M125" i="1"/>
  <c r="M126" i="1"/>
  <c r="M127" i="1"/>
  <c r="M132" i="1"/>
  <c r="M133" i="1"/>
  <c r="M134" i="1"/>
  <c r="M135"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2" i="1"/>
  <c r="M173" i="1"/>
  <c r="M176" i="1"/>
  <c r="M182" i="1"/>
  <c r="M183" i="1"/>
  <c r="M184" i="1"/>
  <c r="M185" i="1"/>
  <c r="M186" i="1"/>
  <c r="M187" i="1"/>
  <c r="M188" i="1"/>
  <c r="M189" i="1"/>
  <c r="M190" i="1"/>
  <c r="M191" i="1"/>
  <c r="M192" i="1"/>
  <c r="M197" i="1"/>
  <c r="M201" i="1"/>
  <c r="M202" i="1"/>
  <c r="M221" i="1"/>
  <c r="M241" i="1"/>
  <c r="M242" i="1"/>
  <c r="M244" i="1"/>
  <c r="M246" i="1"/>
  <c r="M249" i="1"/>
  <c r="M251" i="1"/>
  <c r="M252" i="1"/>
  <c r="M253" i="1"/>
  <c r="M258" i="1"/>
  <c r="M259" i="1"/>
  <c r="M260" i="1"/>
  <c r="M262" i="1"/>
  <c r="M265" i="1"/>
  <c r="M270" i="1"/>
  <c r="M275" i="1"/>
  <c r="M276" i="1"/>
  <c r="M277" i="1"/>
  <c r="M278" i="1"/>
  <c r="M280" i="1"/>
  <c r="M282" i="1"/>
  <c r="M283" i="1"/>
  <c r="M286" i="1"/>
  <c r="M287" i="1"/>
  <c r="M289" i="1"/>
  <c r="M290" i="1"/>
  <c r="M291" i="1"/>
  <c r="M300" i="1"/>
  <c r="M301" i="1"/>
  <c r="M302" i="1"/>
  <c r="M303" i="1"/>
  <c r="M304" i="1"/>
  <c r="M305" i="1"/>
  <c r="M306" i="1"/>
  <c r="M307" i="1"/>
  <c r="M308" i="1"/>
  <c r="M309" i="1"/>
  <c r="M310" i="1"/>
  <c r="M311" i="1"/>
  <c r="M312" i="1"/>
  <c r="M313" i="1"/>
  <c r="M315" i="1"/>
  <c r="M316" i="1"/>
  <c r="M317" i="1"/>
  <c r="M318" i="1"/>
  <c r="M319" i="1"/>
  <c r="M320" i="1"/>
  <c r="M321" i="1"/>
  <c r="M324" i="1"/>
  <c r="M325" i="1"/>
  <c r="M327" i="1"/>
  <c r="M328" i="1"/>
  <c r="M329" i="1"/>
  <c r="M332" i="1"/>
  <c r="M334" i="1"/>
  <c r="M336" i="1"/>
  <c r="M337" i="1"/>
  <c r="M338" i="1"/>
  <c r="M340" i="1"/>
  <c r="M341" i="1"/>
  <c r="M342" i="1"/>
  <c r="M343" i="1"/>
  <c r="M346" i="1"/>
  <c r="M347" i="1"/>
  <c r="M348" i="1"/>
  <c r="M351" i="1"/>
  <c r="M352" i="1"/>
  <c r="M353" i="1"/>
  <c r="M354" i="1"/>
  <c r="M355" i="1"/>
  <c r="M356" i="1"/>
  <c r="M357" i="1"/>
  <c r="M358" i="1"/>
  <c r="M359" i="1"/>
  <c r="M360" i="1"/>
  <c r="M361" i="1"/>
  <c r="M362" i="1"/>
  <c r="M363" i="1"/>
  <c r="M13" i="1"/>
  <c r="M14" i="1"/>
  <c r="M15" i="1"/>
  <c r="M16" i="1"/>
  <c r="M17" i="1"/>
  <c r="M18" i="1"/>
  <c r="M12" i="1"/>
  <c r="B17" i="4" l="1"/>
  <c r="F14" i="4"/>
  <c r="C14" i="4"/>
  <c r="C13" i="4"/>
  <c r="C10" i="4"/>
  <c r="C22" i="4"/>
  <c r="C8" i="4"/>
  <c r="C12" i="4"/>
  <c r="B14" i="4"/>
  <c r="C20" i="4"/>
  <c r="C16" i="4"/>
  <c r="F23" i="4"/>
  <c r="C18" i="4"/>
  <c r="B19" i="4"/>
  <c r="I21" i="4"/>
  <c r="B15" i="4"/>
  <c r="B23" i="4"/>
  <c r="F16" i="4"/>
  <c r="F20" i="4"/>
  <c r="G14" i="4"/>
  <c r="G18" i="4"/>
  <c r="G22" i="4"/>
  <c r="H16" i="4"/>
  <c r="H20" i="4"/>
  <c r="I14" i="4"/>
  <c r="I19" i="4"/>
  <c r="I22" i="4"/>
  <c r="B16" i="4"/>
  <c r="B20" i="4"/>
  <c r="D20" i="4" s="1"/>
  <c r="C9" i="4"/>
  <c r="C21" i="4"/>
  <c r="F17" i="4"/>
  <c r="F21" i="4"/>
  <c r="G15" i="4"/>
  <c r="G19" i="4"/>
  <c r="G23" i="4"/>
  <c r="H17" i="4"/>
  <c r="H21" i="4"/>
  <c r="I15" i="4"/>
  <c r="I18" i="4"/>
  <c r="I23" i="4"/>
  <c r="B21" i="4"/>
  <c r="C17" i="4"/>
  <c r="F18" i="4"/>
  <c r="F22" i="4"/>
  <c r="G16" i="4"/>
  <c r="G20" i="4"/>
  <c r="H14" i="4"/>
  <c r="H18" i="4"/>
  <c r="H22" i="4"/>
  <c r="I16" i="4"/>
  <c r="I20" i="4"/>
  <c r="B18" i="4"/>
  <c r="B22" i="4"/>
  <c r="D22" i="4" s="1"/>
  <c r="C11" i="4"/>
  <c r="C15" i="4"/>
  <c r="C19" i="4"/>
  <c r="C23" i="4"/>
  <c r="F15" i="4"/>
  <c r="F19" i="4"/>
  <c r="G17" i="4"/>
  <c r="G21" i="4"/>
  <c r="H15" i="4"/>
  <c r="H19" i="4"/>
  <c r="H23" i="4"/>
  <c r="I17" i="4"/>
  <c r="I13" i="4"/>
  <c r="I9" i="4"/>
  <c r="D6" i="5" s="1"/>
  <c r="G12" i="4"/>
  <c r="F11" i="4"/>
  <c r="G9" i="4"/>
  <c r="H10" i="4"/>
  <c r="I11" i="4"/>
  <c r="B13" i="4"/>
  <c r="F8" i="4"/>
  <c r="F12" i="4"/>
  <c r="G10" i="4"/>
  <c r="H8" i="4"/>
  <c r="H12" i="4"/>
  <c r="I10" i="4"/>
  <c r="B11" i="4"/>
  <c r="G13" i="4"/>
  <c r="B12" i="4"/>
  <c r="F9" i="4"/>
  <c r="F13" i="4"/>
  <c r="G11" i="4"/>
  <c r="H9" i="4"/>
  <c r="H13" i="4"/>
  <c r="I12" i="4"/>
  <c r="F10" i="4"/>
  <c r="G8" i="4"/>
  <c r="H11" i="4"/>
  <c r="I8" i="4"/>
  <c r="D5" i="5" s="1"/>
  <c r="B9" i="4"/>
  <c r="B8" i="4"/>
  <c r="B10" i="4"/>
  <c r="G7" i="4"/>
  <c r="F7" i="4"/>
  <c r="H7" i="4"/>
  <c r="C4" i="5" s="1"/>
  <c r="H6" i="4"/>
  <c r="C3" i="5" s="1"/>
  <c r="B6" i="4"/>
  <c r="G6" i="4"/>
  <c r="F6" i="4"/>
  <c r="C7" i="4"/>
  <c r="B7" i="4"/>
  <c r="C6" i="4"/>
  <c r="D14" i="4" l="1"/>
  <c r="D18" i="4"/>
  <c r="D21" i="4"/>
  <c r="D8" i="5"/>
  <c r="D10" i="5" s="1"/>
  <c r="D19" i="4"/>
  <c r="C5" i="5"/>
  <c r="C7" i="5" s="1"/>
  <c r="C9" i="5" s="1"/>
  <c r="C11" i="5" s="1"/>
  <c r="D16" i="4"/>
  <c r="D23" i="4"/>
  <c r="D15" i="4"/>
  <c r="D17" i="4"/>
  <c r="D6" i="4"/>
  <c r="E3" i="5" s="1"/>
  <c r="D8" i="4"/>
  <c r="B4" i="5"/>
  <c r="B6" i="5"/>
  <c r="B8" i="5" s="1"/>
  <c r="B10" i="5" s="1"/>
  <c r="B12" i="5" s="1"/>
  <c r="D7" i="5"/>
  <c r="D9" i="5" s="1"/>
  <c r="B3" i="5"/>
  <c r="B5" i="5"/>
  <c r="B7" i="5" s="1"/>
  <c r="B9" i="5" s="1"/>
  <c r="B11" i="5" s="1"/>
  <c r="C6" i="5"/>
  <c r="C8" i="5" s="1"/>
  <c r="C10" i="5" s="1"/>
  <c r="C12" i="5" s="1"/>
  <c r="D7" i="4"/>
  <c r="E4" i="5" s="1"/>
  <c r="D11" i="5" l="1"/>
  <c r="D12" i="5"/>
  <c r="E5" i="5"/>
  <c r="D11" i="4"/>
  <c r="D10" i="4"/>
  <c r="D13" i="4"/>
  <c r="D9" i="4"/>
  <c r="E6" i="5" s="1"/>
  <c r="D12" i="4"/>
  <c r="E7" i="5" l="1"/>
  <c r="E9" i="5" s="1"/>
  <c r="E11" i="5" s="1"/>
  <c r="E8" i="5"/>
  <c r="E10" i="5" s="1"/>
  <c r="E12" i="5" s="1"/>
  <c r="G27" i="1"/>
  <c r="G33" i="1" l="1"/>
  <c r="G55" i="1" s="1"/>
  <c r="G54" i="1" l="1"/>
  <c r="G68" i="1" l="1"/>
  <c r="G75" i="1" l="1"/>
  <c r="G76" i="1" l="1"/>
  <c r="G78" i="1" l="1"/>
  <c r="G77" i="1"/>
  <c r="G79" i="1" l="1"/>
  <c r="G80" i="1" s="1"/>
  <c r="G89" i="1" l="1"/>
  <c r="G90" i="1" s="1"/>
  <c r="G93" i="1" s="1"/>
  <c r="G97" i="1" s="1"/>
  <c r="G243" i="1" s="1"/>
  <c r="G250" i="1" s="1"/>
  <c r="G269" i="1" l="1"/>
</calcChain>
</file>

<file path=xl/comments1.xml><?xml version="1.0" encoding="utf-8"?>
<comments xmlns="http://schemas.openxmlformats.org/spreadsheetml/2006/main">
  <authors>
    <author>Agija Bistere</author>
  </authors>
  <commentList>
    <comment ref="L25" authorId="0" shapeId="0">
      <text>
        <r>
          <rPr>
            <b/>
            <sz val="9"/>
            <color indexed="81"/>
            <rFont val="Tahoma"/>
            <family val="2"/>
            <charset val="186"/>
          </rPr>
          <t>Agija Bistere:</t>
        </r>
        <r>
          <rPr>
            <sz val="9"/>
            <color indexed="81"/>
            <rFont val="Tahoma"/>
            <family val="2"/>
            <charset val="186"/>
          </rPr>
          <t xml:space="preserve">
PI nav iesniegts
</t>
        </r>
      </text>
    </comment>
  </commentList>
</comments>
</file>

<file path=xl/sharedStrings.xml><?xml version="1.0" encoding="utf-8"?>
<sst xmlns="http://schemas.openxmlformats.org/spreadsheetml/2006/main" count="3815" uniqueCount="897">
  <si>
    <t>1.1.1.</t>
  </si>
  <si>
    <t>1.1.1.4.</t>
  </si>
  <si>
    <t>P&amp;A infrastruktūras attīstība</t>
  </si>
  <si>
    <t>-</t>
  </si>
  <si>
    <t>IZM</t>
  </si>
  <si>
    <t>Vidzemes Augstskola</t>
  </si>
  <si>
    <t>3.3.1.</t>
  </si>
  <si>
    <t>0.3.3.1.</t>
  </si>
  <si>
    <t>Pašvaldību inftasruktūras attīstība uzņēmējdarbībai.</t>
  </si>
  <si>
    <t>VARAM</t>
  </si>
  <si>
    <t>Jelgavas pilsētas pašvaldība</t>
  </si>
  <si>
    <t xml:space="preserve">Piekļuves uzlabošana Rubeņu ceļa industriālās zonas attīstībai, I kārta </t>
  </si>
  <si>
    <t>Liepājas pašvaldība</t>
  </si>
  <si>
    <t>Uzņēmējdarbības vides attīstība Liepājā, II kārta</t>
  </si>
  <si>
    <t>Rēzeknes pilsētas pašvaldība</t>
  </si>
  <si>
    <t>Atbalsts komercdarbības attīstībai, atjaunojot industriālajām vajadzībām nepieciešamo publisko infrastruktūru i kārta. Viļakas ielas pārbūve</t>
  </si>
  <si>
    <t>Bauskas novada pašvaldība</t>
  </si>
  <si>
    <t>4.2.2.</t>
  </si>
  <si>
    <t>0.4.2.2.</t>
  </si>
  <si>
    <t>Pašvaldību ēku energoefektivitāte</t>
  </si>
  <si>
    <t>Liepājas pilsētas pašvaldība</t>
  </si>
  <si>
    <t>Energoefektivitātes paaugstināšana stadiona „DAUGAVA” ģērbtuvju ēkā, Liepājā</t>
  </si>
  <si>
    <t>Energoefektivitātes paaugstināšana Liepājas pirmsskolas izglītības iestādē “Dzintariņš” Dzintaru ielā 90, Liepājā</t>
  </si>
  <si>
    <t>Aglonas novada pašvaldība</t>
  </si>
  <si>
    <t>Aglonas novada centrālās bibliotēkas energoefektivitātes paaugstināšana</t>
  </si>
  <si>
    <t>Ogres novada pašvaldība</t>
  </si>
  <si>
    <t>Viļānu novada pašvaldība</t>
  </si>
  <si>
    <t>Sekmēt energoefektivitātes paaugstināšanu Viļānu Mūzikas un mākslas skolā</t>
  </si>
  <si>
    <t>Sekmēt energoefektivitātes paaugstināšanu Viļānu pilsētas pirmsskolas izglītības iestādē</t>
  </si>
  <si>
    <t>5.3.1.</t>
  </si>
  <si>
    <t>0.5.3.1.</t>
  </si>
  <si>
    <t>Ūdenssaimniecība</t>
  </si>
  <si>
    <t>Līvāni, SIA Līvānu dzīvokļu un komunālā saimniecība</t>
  </si>
  <si>
    <t>5.6.2.</t>
  </si>
  <si>
    <t>0.5.6.2.</t>
  </si>
  <si>
    <t>Degradēto teritoriju revitalizācija</t>
  </si>
  <si>
    <t>6.1.1.</t>
  </si>
  <si>
    <t>0.6.1.1.</t>
  </si>
  <si>
    <t>Atbalsts lielajām ostām</t>
  </si>
  <si>
    <t>SM</t>
  </si>
  <si>
    <t>Ventspils brīvostas hidrotehnisko būvju pārbūve un atjaunošana</t>
  </si>
  <si>
    <t>6.1.4.</t>
  </si>
  <si>
    <t>6.1.4.2.</t>
  </si>
  <si>
    <t>Nacionālas nozīmes attīstības centru integrēšana TEN-T tīklā</t>
  </si>
  <si>
    <t>Jelgavas pilsētas dome</t>
  </si>
  <si>
    <t>8.1.1.</t>
  </si>
  <si>
    <t>0.8.1.1.</t>
  </si>
  <si>
    <t>Ieguldījumi augstskolu STEM infrastruktūrā</t>
  </si>
  <si>
    <t>Latvijas Kultūras akadēmija</t>
  </si>
  <si>
    <t>8.1.3.</t>
  </si>
  <si>
    <t>0.8.1.3.</t>
  </si>
  <si>
    <t>Ieguldījumi profesionālās izglītības infrastruktūrā</t>
  </si>
  <si>
    <t>Ventspils tehnikums</t>
  </si>
  <si>
    <t>Cēsu novada pašvaldība</t>
  </si>
  <si>
    <t xml:space="preserve">Liepājas Mūzikas, mākslas un dizaina vidusskola </t>
  </si>
  <si>
    <t>Specifiskā atbalsta mērķa numurs</t>
  </si>
  <si>
    <t>1</t>
  </si>
  <si>
    <t>2</t>
  </si>
  <si>
    <t>3</t>
  </si>
  <si>
    <t>4</t>
  </si>
  <si>
    <t>N.p.k.</t>
  </si>
  <si>
    <t>Projekta iesniedzējs</t>
  </si>
  <si>
    <t>Projekta nosaukums</t>
  </si>
  <si>
    <t>Plānotais projekta iesniegšanas termiņš *</t>
  </si>
  <si>
    <t>7</t>
  </si>
  <si>
    <t>Izpilde - faktiskais iesniegšanas datums **</t>
  </si>
  <si>
    <t>LR Satiksmes ministrija</t>
  </si>
  <si>
    <t>Daugavpils pilsētas dome</t>
  </si>
  <si>
    <t>Rēzeknes pilsētas dome</t>
  </si>
  <si>
    <t>EM</t>
  </si>
  <si>
    <t>ZM</t>
  </si>
  <si>
    <t>Līvānu novada dome</t>
  </si>
  <si>
    <t>Alūksnes novada pašvaldība</t>
  </si>
  <si>
    <t>Salaspils novada pašvaldība</t>
  </si>
  <si>
    <t>Ventspils novada pašvaldība</t>
  </si>
  <si>
    <t>Ozolnieku novada dome</t>
  </si>
  <si>
    <t>Profesionālās izglītības kompetences centrs “Priekuļu tehnikums”</t>
  </si>
  <si>
    <t>Profesionālās izglītības kompetences centrs “Daugavpils Būvniecības tehnikums”</t>
  </si>
  <si>
    <t>Valsts akciju sabiedrība "Latvijas dzelzceļš"</t>
  </si>
  <si>
    <t>Daugavpils Universitāte</t>
  </si>
  <si>
    <t>KM</t>
  </si>
  <si>
    <t>Energoefektivitātes paaugstināšana Daugavpils Universitātes dienesta viesnīcai Parādes ielā 11, Daugavpilī</t>
  </si>
  <si>
    <t>Energoefektivitātes paaugstināšanas darbi Priekuļu tehnikuma ēkā Tehniķu ielā 4</t>
  </si>
  <si>
    <t>Energoefektivitātes paaugstināšana Profesionālās izglītības kompetences centra IPĪV “Dagda”</t>
  </si>
  <si>
    <t>Uzņēmējdarbības attīstībai nepieciešamās infrastruktūras attīstība Ventspils novada Vārves pagastā</t>
  </si>
  <si>
    <t>Valsts galvenā autoceļa A4 Rīgas apvedceļš (Baltezers - Saulkalne), km 12,48 - 19,66 segas pārbūve</t>
  </si>
  <si>
    <t>Bērnu sociālo pakalpojumu centra ēkas Viļānu ielā 10, Rēzeknē, energoefektivitātes paaugstināšana</t>
  </si>
  <si>
    <t>Uzņēmējdarbībai nozīmīgas infrastruktūras attīstīšana Ozolnieku novada Ozolnieku pagastā</t>
  </si>
  <si>
    <t>Energoefektivitātes uzlabošanas pasākumi Mērsraga novada Tautas namā</t>
  </si>
  <si>
    <t>Mērsraga novada pašvaldība</t>
  </si>
  <si>
    <t>Alternatīva tranzītmaršruta izveide TEN-T tīklam Ventspilī</t>
  </si>
  <si>
    <t>Ventspils pilsētas pašvaldības iestāde "Komunālā pārvalde"</t>
  </si>
  <si>
    <t>E-Iepirkumu un e-Izsoļu platformas attīstība</t>
  </si>
  <si>
    <t>Valsts reģionālās attīstības aģentūra</t>
  </si>
  <si>
    <t>Energoefektivitātes uzlabošana P/A “Spodra” administratīvajā ēkā un ēkas pārbūve</t>
  </si>
  <si>
    <t>Veicot ieguldījumu infrastruktūras sakārtošanā atbilstoši vietējo uzņēmēju vajadzībām, sekmēt uzņēmējdarbības  attīstību Pāvilostas novadā</t>
  </si>
  <si>
    <t>Valsts reģionālā autoceļa P62 Krāslava – Preiļi – Madona km 88,00 – 99,53 pārbūve</t>
  </si>
  <si>
    <t>Valsts reģionālā autoceļa P32 Augšlīgatne – Skrīveri posma km 47,20 – 60,29 pārbūve (tilts)</t>
  </si>
  <si>
    <t>Līvānu 1. vidusskolas mācību vides uzlabošana</t>
  </si>
  <si>
    <t>LATVIJAS DZELZCEĻA TĪKLA ELEKTRIFIKĀCIJAS PROJEKTS</t>
  </si>
  <si>
    <t>Valsts reģionālā autoceļa P32 Augšlīgatne – Skrīveri posma km 61,265 – 71,271 pārbūve (tilts)</t>
  </si>
  <si>
    <t>4.2.1.</t>
  </si>
  <si>
    <t>Samazināt plūdu riskus lauku teritorijās</t>
  </si>
  <si>
    <t>0.8.1.2.</t>
  </si>
  <si>
    <t>8.1.2.</t>
  </si>
  <si>
    <t>2.2.1.</t>
  </si>
  <si>
    <t>6.2.1.</t>
  </si>
  <si>
    <t>Ieguldījumi IKT</t>
  </si>
  <si>
    <t>Valsts ēku energoefektivitāte</t>
  </si>
  <si>
    <t>Valsts galveno ceļu rekonstrukcija</t>
  </si>
  <si>
    <t>Reģionālo ceļu rekonstrukcija</t>
  </si>
  <si>
    <t>Elektrifikācija</t>
  </si>
  <si>
    <t>Projekta iesniegums tiks iesniegts pēc stratēģijas saskaņošanas ar IZM.</t>
  </si>
  <si>
    <t>Vērtēšanas procesā</t>
  </si>
  <si>
    <t xml:space="preserve">Viens no ieinteresētajiem komersantiem ir lielais uzņēmums un nepieciešams atrast vietā citu komersantu. </t>
  </si>
  <si>
    <t>Problēmas ar projektētāju, kas aizkavējis projekta izstrādi</t>
  </si>
  <si>
    <t>Vērtēšanas procesā.</t>
  </si>
  <si>
    <t>Projekta iesnieguma sagatavošana aizkavējusies projekta vadības personāla noslogotības dēļ.</t>
  </si>
  <si>
    <t>Projekta iesniegumu plāno iesniegt pēc pašvaldību vēlēšanām.</t>
  </si>
  <si>
    <t xml:space="preserve">Projekta iesniedzējs vēl gaida atsevišķu projekta iesniegumu pamatojošo dokumentāciju - ietekmes uz vidi novērtējuma dokumentus un Līvānu novada domes lēmumu par līdzfinansējumu. </t>
  </si>
  <si>
    <t xml:space="preserve">Projekta iesniegumu precizē, ņemot vērā, ka ir ierosināti grozījumi MKN par 6.1.1.SAM īstenošanu un pieejams lielāks finansējums. Paralēli notiek ar komercdarbības atbalstu saistītu jautājumu saskaņošana. </t>
  </si>
  <si>
    <t>Projekta iesniegumu plāno iesniegt 2 nedēļu laikā</t>
  </si>
  <si>
    <t>Ieilgusi iepērkamā aprīkojuma saraksta saskaņošana ar nozares ekspertu padomi un līdz ar to aizkavējusies arī stratēģijas saskaņošana. Projekta iesniegums tiks iesniegts pēc stratēģijas saskaņošanas.</t>
  </si>
  <si>
    <t>Projekta iesniegumu plāno iesniegt pēc grozījumu SAM MKN veikšanas, ar kuriem plānots pārdalīt finansējumu.
Izmaiņas MK noteikumos - palielinās attiecināmo izmaksu summa. Pēc domes sēdes tiks iesniegts</t>
  </si>
  <si>
    <t>nav iesniegts</t>
  </si>
  <si>
    <t>Latvijas Biomedicīnas pētījumu un studiju centrs</t>
  </si>
  <si>
    <t>Latvijas Lauksaimniecības universitāte</t>
  </si>
  <si>
    <t xml:space="preserve"> Latvijas Universitāte</t>
  </si>
  <si>
    <t>Ventspils Augstskola</t>
  </si>
  <si>
    <t>Latvijas Universitātes Cietvielu fizikas institūts</t>
  </si>
  <si>
    <t>Latvijas Universitātes Cietvielu fizikas institūta pētniecības infrastruktūras attīstība</t>
  </si>
  <si>
    <t>Latvijas Valsts radio un televīzijas centrs, VSIA</t>
  </si>
  <si>
    <t>E-identitātes un E-paraksta risinājuma attīstība</t>
  </si>
  <si>
    <t>Būvniecības valsts kontroles birojs</t>
  </si>
  <si>
    <t xml:space="preserve">Būvniecības procesu un IS attīstība </t>
  </si>
  <si>
    <t>Latvijas Investīciju un attīstības aģentūra</t>
  </si>
  <si>
    <t>Latvijas eksporta un investīciju informācijas sistēma</t>
  </si>
  <si>
    <t>Tiesu administrācija</t>
  </si>
  <si>
    <t>Tiesu IS attīstība</t>
  </si>
  <si>
    <t>Prokuratūra</t>
  </si>
  <si>
    <t>Prokuratūras IS ProIS attīstība</t>
  </si>
  <si>
    <t>Ieslodzījuma vietu pārvalde</t>
  </si>
  <si>
    <t>Ieslodzījuma vietu pārvaldes informācijas sistēmas pilnveidošana</t>
  </si>
  <si>
    <t>Probācijas dienests</t>
  </si>
  <si>
    <t>Probācijas lietu uzskaites sistēmas pilnveidošana</t>
  </si>
  <si>
    <t>Valsts kanceleja</t>
  </si>
  <si>
    <t>Personāla vadības platforma</t>
  </si>
  <si>
    <t>Teritoriālās attīstības plānošanas procesu un informācijas sistēmas attīstība</t>
  </si>
  <si>
    <t>Atbalsts komercdarbības attīstībai, atjaunojot industriālajām vajadzībām nepieciešamo publisko infrastruktūru, II kārta</t>
  </si>
  <si>
    <t>Limbažu novada pašvaldība</t>
  </si>
  <si>
    <t>Tukuma novada pašvaldība</t>
  </si>
  <si>
    <t>Alojas novada pašvaldība</t>
  </si>
  <si>
    <t>Uzņēmējdarbības attīstībai nepieciešamās infrastruktūras attīstība Staiceles pilsētā un pagastā</t>
  </si>
  <si>
    <t>Cesvaines novada pašvaldība</t>
  </si>
  <si>
    <t xml:space="preserve">Uzņēmējdarbības attīstībai nepieciešamās infrastruktūras attīstība Cesvaines pilsētā </t>
  </si>
  <si>
    <t>Tērvetes novada pašvaldība</t>
  </si>
  <si>
    <t>Atbalsts uzņēmējdarbības attīstībai Tērvetes novadā</t>
  </si>
  <si>
    <t>Pāvilostas novada pašvaldība</t>
  </si>
  <si>
    <t>Privāto investīciju palielināšana Bauskas pilsētas dienvidu aglomerācijā uzņēmējdarbības veicināšanai.</t>
  </si>
  <si>
    <t>Latvijas Universitātes Cietvielu fizikas institūta laboratoriju ēkas energoefektivitātes paaugstināšana</t>
  </si>
  <si>
    <t>Pļaviņu novada dome</t>
  </si>
  <si>
    <t xml:space="preserve">Pļaviņu novada pašvaldības strukturvienību ēkas  ,,Kūlīši", Pļaviņu novadā energoefektivitātes paaugstināšana. </t>
  </si>
  <si>
    <t>Rundāles novada pašvaldība</t>
  </si>
  <si>
    <t>Rundāles novada domes ēkas energoefektivitātes paaugstināšana</t>
  </si>
  <si>
    <t>Gulbenes novada pašvaldība</t>
  </si>
  <si>
    <t>Gulbenes novada sociālā dienesta ēkas energoefektivitātes paaugstināšana</t>
  </si>
  <si>
    <t>Rucavas novada pašvaldība</t>
  </si>
  <si>
    <t>Rucavas pamatskolas ēkas siltināšana</t>
  </si>
  <si>
    <t>Saulkrastu novada pašvaldība</t>
  </si>
  <si>
    <t>Daudzfunkcionālās ēkas Raiņa ielā 7, Saulkrastos energoefektivitātes paaugstināšana</t>
  </si>
  <si>
    <t>Sējas novada dome</t>
  </si>
  <si>
    <t>Energoefektivitātes paaugstināšana kultūras namā "Loja", Lojā, Sējas novadā</t>
  </si>
  <si>
    <t>4.5.1.</t>
  </si>
  <si>
    <t>Autobusu parks Jūrmala - SV, SIA</t>
  </si>
  <si>
    <t>Videi draudzīga sabiedriskā transporta (autobusu) iegāde</t>
  </si>
  <si>
    <t>Videi draudzīga Rēzeknes pilsētas sabiedriskā transporta attīstība</t>
  </si>
  <si>
    <t>5.1.1.</t>
  </si>
  <si>
    <t>Ventspils pilsētas pašvaldība</t>
  </si>
  <si>
    <t>Plūdu riska samazināšanas pasākumi Ventspils pilsētā</t>
  </si>
  <si>
    <t>Salacgrīvas ūdens, SIA</t>
  </si>
  <si>
    <t>Ūdenssaimniecības infrastruktūras attīstība Salacgrīvas pilsētā 3.kārta</t>
  </si>
  <si>
    <t>5.5.1.</t>
  </si>
  <si>
    <t>Ventspils pilsētas pašvaldības iestāde Ventspils muzejs</t>
  </si>
  <si>
    <t>Ziemeļkurzemes kultūrvēsturis-kā un dabas mantojuma saglabāšana, eksponēšana un tūrisma piedāvājuma attīstība (projekta idejas nosaukums)</t>
  </si>
  <si>
    <t>Alūksnes novada dome</t>
  </si>
  <si>
    <t>Gaismas ceļš caur gadsimtiem</t>
  </si>
  <si>
    <t xml:space="preserve"> Jūrmalas pilsētas dome</t>
  </si>
  <si>
    <t>Jaunu dabas un kultūras tūrisma pakalpojumu radīšana Rīgas jūras līča rietumu piekrastē (projekta idejas nosaukums)</t>
  </si>
  <si>
    <t>Degradēto teritoriju atjaunošana, izveidojot biroja telpu un ražošanai paredzēto publisko infrastruktūru</t>
  </si>
  <si>
    <t>Atbalsts komerdarbības attīstībai, izveidojot Kovšu ezera parka darbībai nepieciešamo publisko infrastruktūru. Apļveida krustojuma izbūve brīvības un Viļānu ielas krustojumā, Brīvības un Ezera ielu posmu  atjaunošana; Kovšu ezera parka būvniecība.</t>
  </si>
  <si>
    <t xml:space="preserve">Degradeto teritoriju revitalizācija Cēsu novadā 2. kārta </t>
  </si>
  <si>
    <t>Teritorijas revitalizācija Codes pagastā,  rekonstruējot vietējā autoceļa posmu</t>
  </si>
  <si>
    <t>Degradētās teritorijas sakārtošana zonā Lauktehnika - Tukums II (Stacijas-Mārtiņa-Kandavas ielas; Vilkājas-Purva ielas)</t>
  </si>
  <si>
    <t xml:space="preserve">Dienvidlatgales pašvaldību teritoriju pilsētvides revitalizācija ekonomiskās aktivitātes paaugstināšanai </t>
  </si>
  <si>
    <t>5.6.3.</t>
  </si>
  <si>
    <t>Valsts vides dienests</t>
  </si>
  <si>
    <t>“Vēsturiski piesārņoto vietu “Inčukalna sērskābie gudrona dīķi” sanācijas darbi” II posms</t>
  </si>
  <si>
    <t>Ventspils Brīvostas pārvalde</t>
  </si>
  <si>
    <t>Liepājas speciālās ekonomiskās zonas pārvalde</t>
  </si>
  <si>
    <t>Liepājas ostas sauszemes pievadceļu attīstība</t>
  </si>
  <si>
    <t>Jūrmalas pilsētas dome</t>
  </si>
  <si>
    <t>Apvedceļa Kauguri – Sloka izbūve I kārta (pieslēgums A10/E22) un II kārta (pieslēgums Kolkas ielai)</t>
  </si>
  <si>
    <t>6.1.5.</t>
  </si>
  <si>
    <t>6.3.1.</t>
  </si>
  <si>
    <t xml:space="preserve"> Latvijas Lauksaimniecības universitāte</t>
  </si>
  <si>
    <t>LLU STEM studiju programmu modernizācija</t>
  </si>
  <si>
    <t>Latvijas Universitāte</t>
  </si>
  <si>
    <t>Liepājas Universitāte</t>
  </si>
  <si>
    <t>Liepājas Valsts 1.ģimnāzijas attīstība par metodisko centru STEm un IKT jomā</t>
  </si>
  <si>
    <t>Ventspils pašvaldība</t>
  </si>
  <si>
    <t>Izglītības iestāžu mācību vides infrastruktūras uzlabošana un materiāltehniskās bāzes pilnveidošana</t>
  </si>
  <si>
    <t>Bauskas pašvaldība</t>
  </si>
  <si>
    <t>Ludzas novada pašvaldība</t>
  </si>
  <si>
    <t>Siguldas pašvaldība</t>
  </si>
  <si>
    <t>Talsu pašvaldība</t>
  </si>
  <si>
    <t>PIKC Liepājas Mūzikas, mākslas un dizaina vidusskolas profesionālās kultūrizglītības mācību vides modernizēšana </t>
  </si>
  <si>
    <t>9.2.6.</t>
  </si>
  <si>
    <t>Latvijas Republikas Veselības ministrija</t>
  </si>
  <si>
    <t>Ārstniecības un ārstniecības atbalsta personāla kvalifikācijas uzlabošana</t>
  </si>
  <si>
    <t>9.3.2.</t>
  </si>
  <si>
    <t>Sabiedrība ar ierobežotu atbildību "Rīgas Austrumu klīniskā universitātes slimnīca"</t>
  </si>
  <si>
    <t>SIA “Rīgas Austrumu klīniskā universitātes slimnīca” infrastruktūras attīstība</t>
  </si>
  <si>
    <t>Valsts sabiedrība ar ierobežotu atbildību "Bērnu klīniskā universitātes slimnīca"</t>
  </si>
  <si>
    <t>VSIA „Bērnu klīniskā universitātes slimnīca” veselības aprūpes infrastruktūras attīstība</t>
  </si>
  <si>
    <t>Valsts sabiedrība ar ierobežotu atbildību "Traumatoloģijas un ortopēdijas slimnīca"</t>
  </si>
  <si>
    <t>Kvalitatīvu veselības aprūpes pakalpojumu pieejamības uzlabošana VSIA "Traumatoloģijas un ortopēdijas slimnīca", attīstot veselības aprūpes infrastruktūru</t>
  </si>
  <si>
    <t>SIA "Rīgas Dzemdību nams"</t>
  </si>
  <si>
    <t>Kvalitatīvu veselības aprūpes pakalpojumu pieejamības uzlabošana, attīstot veselības aprūpes infrastruktūru SIA “Rīgas Dzemdību nams”</t>
  </si>
  <si>
    <t>Valsts sabiedrība ar ierobežotu atbildību "Nacionālais rehabilitācijas centrs "Vaivari""</t>
  </si>
  <si>
    <t>Kvalitatīvu veselības aprūpes pakalpojumu pieejamības uzlabošana Nacionālajā rehabilitācijas centrā „Vaivari”,  attīstot veselības aprūpes infrastruktūru</t>
  </si>
  <si>
    <t>Sabiedrība ar ierobežotu atbildību "LIEPĀJAS REĢIONĀLĀ SLIMNĪCA"</t>
  </si>
  <si>
    <t>Infrastruktūras attīstība SIA "Liepājas reģionālā slimnīca", uzlabojot kardioloģijas, onkoloģijas un bērnu veselības aprūpes pakalpojumu pieejamību un kvalitāti Kurzemē</t>
  </si>
  <si>
    <t>Sabiedrība ar ierobežotu atbildību "Daugavpils reģionālā slimnīca"</t>
  </si>
  <si>
    <t>Sabiedrības ar ierobežotu atbildību “Daugavpils reģionālā slimnīca” kvalitatīvu veselības aprūpes pakalpojumu pieejamības uzlabošana un infrastruktūras attīstība</t>
  </si>
  <si>
    <t>SIA "Ziemeļkurzemes reģionālā slimnīca"</t>
  </si>
  <si>
    <t>SIA “Ziemeļkurzemes reģionālā slimnīca” veselības aprūpes infrastruktūras attīstība</t>
  </si>
  <si>
    <t>SIA "JELGAVAS PILSĒTAS SLIMNĪCA"</t>
  </si>
  <si>
    <t>Veselības aprūpes infrastruktūras attīstība SIA „Jelgavas pilsētas slimnīca”, pārbūvējot C korpusu</t>
  </si>
  <si>
    <t>Sabiedrība ar ierobežotu atbildību "Vidzemes slimnīca"</t>
  </si>
  <si>
    <t>Kvalitatīvu veselības aprūpes pakalpojumu pieejamības uzlabošana Vidzemes slimnīcā, attīstot veselības aprūpes infrastruktūru</t>
  </si>
  <si>
    <t>Sabiedrība ar ierobežotu atbildību "Jēkabpils reģionālā slimnīca"</t>
  </si>
  <si>
    <t>Stacionārās un ambulatorās veselības aprūpes infrastruktūras uzlabošana SIA „Jēkabpils reģionālā slimnīca”, uzlabojot kvalitatīvu veselības aprūpes pakalpojumu pieejamību</t>
  </si>
  <si>
    <t>Sabiedrība ar ierobežotu atbildību "RĒZEKNES SLIMNĪCA"</t>
  </si>
  <si>
    <t>Uzlabot kvalitatīvu veselības aprūpes pakalpojumu pieejamību, attīstot veselības aprūpes infrastruktūru SIA “RĒZEKNES SLIMNĪCA”</t>
  </si>
  <si>
    <t>Aprīļa MK ziņojumā precizētais termiņš</t>
  </si>
  <si>
    <t>nebija plānots</t>
  </si>
  <si>
    <t>ES fondu finansējums</t>
  </si>
  <si>
    <t>Vidzemes Augstskolas zinātniskās infrastruktūras attīstīšana pētnieciskās un inovatīvās kapacitātes stiprināšanai</t>
  </si>
  <si>
    <t>Detalizētais projekta apraksts vēl nav saskaņots ar VARAM.</t>
  </si>
  <si>
    <t>Ventspils Augstskolas STEM mācību programmu modernizācija</t>
  </si>
  <si>
    <t>Latvijas Universitātes STEM studiju virzienu infrastruktūras modernizācija un resursu koncentrācija</t>
  </si>
  <si>
    <t>Liepājas Universitātes STEM studiju programmu modernizācija</t>
  </si>
  <si>
    <t>Projekta dokumentācijas sagatavošanā iesaistīts ārpakalpojuma sniedzējs, kurš nenodrošina darbu izpildi plānotajos termiņos.</t>
  </si>
  <si>
    <t xml:space="preserve">Projekta ideja 5.jūnijā ir apstiprināta RAKP. Pēc lēmuma publicēšanas tiks nosūtīts uzaicinājums iesniegt PI. </t>
  </si>
  <si>
    <t xml:space="preserve">Notiek saskaņošanas process projekta apraksta iekļaušanai  IKT mērķarhitektūrā. </t>
  </si>
  <si>
    <t>Projekta iesnieguma sagatavošana aizkavējusies Limbažu novada pašvaldības projekta vadības personāla noslogotības dēļ.</t>
  </si>
  <si>
    <t xml:space="preserve">Projekta iesnieguma  sagatavošana aizkavējusies projekta vadības personāla noslogotības dēļ, kā arī vēl nav veikti nepieciešamie aprēķini. </t>
  </si>
  <si>
    <t>Projekta iesnieguma  sagatavošana aizkavējusies projekta vadības personāla noslogotības dēļ, kā arī iepirkuma procedūra nenotika atbilstoši plānotajam.</t>
  </si>
  <si>
    <t xml:space="preserve">Projekta iesnieguma sagatavošana aizkavējusies projekta vadības personāla noslogotības dēļ. Tika saņemts atzinums no CFLA par iepriekš iesniegtu projekta iesniegumu , kurā nepieciešams veikt dažādas korekcijas, līdz ar to projekta vadības personāls vēlas novērst iepriekš konstatētās kļūdas arī šajā. </t>
  </si>
  <si>
    <t>Tiek precizēta ar finansēm saistītā informācija, kā arī nav veikta ieņemumu-izdevumu analīze.</t>
  </si>
  <si>
    <t>Nepieciešams aktualizēt projekta iesniegumu, jo sākotnēji bija paredzēti citi risinājumi un projekta izstrādātājs atradās atvaļinājumā.</t>
  </si>
  <si>
    <t>Pirms projekta iesnieguma  iesniegšanas vēlas saņemt konsultāciju un nepieciešamības gadījumā veikt precizējumus. Plāno piedalīties 20.06.2017. VARAM rīkotajā seminārā.</t>
  </si>
  <si>
    <t xml:space="preserve">Projekta iesnieguma sagatavošana aizkavējusies projekta vadības personāla noslogotības dēļ. </t>
  </si>
  <si>
    <t>Projekta iesnieguma  sagatavošana aizkavējusies tehniskās dokumentācijas izstrādes un projekta vadības personāla noslogotības dēļ.</t>
  </si>
  <si>
    <t>Projekta iesnieguma sagatavošana aizkavējusies, jo tika izsludināts iepirkums, kurā pieteikumi būtiski pārsniedza paredzēto finansējumu. Tiks izsludināts jauns iepirkums un meklēti citi tehniskie risinājumi.</t>
  </si>
  <si>
    <t xml:space="preserve">Projekta iesnieguma  sagatavošana aizkavējusies projekta vadības personāla noslogotības dēļ. </t>
  </si>
  <si>
    <t>Projekta ietvaros Valsts vides dienests pieprasīja veikt ietekmi uz vides sākotnējo izvērtējumu. Līvānu novada domes sēde par galvojuma sniegšanu notika 2017.gada 14.jūnijā, kā rezultātā tiek kavēts plānotais  iesniegšanas termiņš.</t>
  </si>
  <si>
    <t>Sadarbības partnera atteikums dalībai projektā ierobežotu finanšu resursu dēļ aizkavējis iesniegšanu prognozētajā termiņā.</t>
  </si>
  <si>
    <t>Projekta iesnieguma un tā pielikumu izstrādei nepieciešams vairāk laika kā sākotnēji tika plānots. Projekta iesniegums tiks iesniegts pēc visu nepieciešamo dokumentu izstrādes pabeigšanas un kopīgā sadarbības projekta stratēģijas un sadarbības līguma apstiprināšanas Jūrmalas pilsētas domē, ievērojot domes sēžu jūnija grafiku.</t>
  </si>
  <si>
    <t>Projekta iesniegums netika iesniegts sākotnēji plānotajā termiņā ņemot vērā objektu būvprojektu izstrādes ieilgšanu projekta ietvaros. Šobrīd notiek aktīvs darbs pie tehnisko projektu dokumentācijas izstrādes.</t>
  </si>
  <si>
    <t>2017.gada 6.jūnija tika apstiprināti  grozījumi  MK noteikumos  ar kuriem Jelgavas pilsētai tika piešķirts papildus finansējums projekta īstenošanai. Ieviešanas nosacījumi paredz, ka projekta iesniedzējs var iesniegt tikai vienu projektu.  Līdz ar to, vienojoties ar SM, tika pieņemts lēmums neiesniegt sagatavoto projekta iesniegumu 30.04.2017., bet gaidīt minēto grozījumu spēkā stāšanos.  Atbilstoši papildus piešķirtajam finansējumam nepieciešams aktualizēt ieņēmumu - izdevumu analīzi un projekta iesniegumu.</t>
  </si>
  <si>
    <t>Projekta iesniegums gatavs iesniegšanai Liepājas pašvaldībā pēc projekta apstiprināšanas Reģionālās attīstības konsultatīvajā padomē (RAKP) .</t>
  </si>
  <si>
    <t xml:space="preserve">Projekta ietvaros jau norit iepirkumu procesi un citi darbi. Projekta iesnieguma plānotais iesniegšanas termiņš tiek kavēts, ņemot vērā MK noteikumu grozījumu projekta  izstrādi, saskaņošanu un spēkā stāšanās laika grafiku (02.06.2017.). </t>
  </si>
  <si>
    <t>Projekta iesniegums tiks iesniegts pēc stratēģijas saskaņošanas ar IZM, precīzu stratēģijas termiņu noteikt šobrīd nav iespējams. IZM informē, ka stratēģiju ministrijā plānots iesniegt līdz š.g. 10.jūlijam. Līdz tam Ventspils tehnikumam vēl plānota tikšanās ar Nozares ekspertu padomi (NEP), lai saņemtu saskaņojumu par projektā nepieciešamo datoru skaitu un izmantojamo programmatūru; pēc NEP saskaņojuma saņemšanas tiks atbilstoši papildināta stratēģija.  IZM plāno stratēģiju pēc tās saņemšanas saskaņot 1 – 2 nedēļu laikā (ja nebūs kādi ārkārtas kavējošie apstākļi).</t>
  </si>
  <si>
    <t>Pasākuma nosaukums</t>
  </si>
  <si>
    <t>AI</t>
  </si>
  <si>
    <t>Fonds</t>
  </si>
  <si>
    <t>ERAF</t>
  </si>
  <si>
    <t>x</t>
  </si>
  <si>
    <t>Elektronikas un datorzinātņu institūts</t>
  </si>
  <si>
    <t>Latvijas Organiskās sintēzes institūts</t>
  </si>
  <si>
    <t>Latvijas Valsts mežzinātnes institūts "Silava"</t>
  </si>
  <si>
    <t>Pārtikas drošības, dzīvnieku veselības un vides zinātniskais institūts "BIOR"</t>
  </si>
  <si>
    <t>Rīgas Stradiņa universitāte</t>
  </si>
  <si>
    <t>VM</t>
  </si>
  <si>
    <t>Rīgas Tehniskā universitāte</t>
  </si>
  <si>
    <t>2.2.1.1.</t>
  </si>
  <si>
    <t>Pilsonības un migrācijas lietu pārvalde</t>
  </si>
  <si>
    <t>Fizisko personu datu pakalpojumu modernizācija</t>
  </si>
  <si>
    <t>Labklājības ministrija</t>
  </si>
  <si>
    <t>Labklājības nozares IKT centralizācija</t>
  </si>
  <si>
    <t>Valsts tiesu medicīnas ekspertīžu centrs</t>
  </si>
  <si>
    <t>Tiesu medicīnas ekspertīzes un izpētes procesu optimizācija un attīstība</t>
  </si>
  <si>
    <t>Vienotā datu telpa</t>
  </si>
  <si>
    <t>Valsts un pašvaldību iestāžu tīmekļvietņu vienotā platforma</t>
  </si>
  <si>
    <t>Latvijas Vides, ģeoloģijas un meteoroloģijas centrs</t>
  </si>
  <si>
    <t>Informācijas sistēmu izstrāde un pilnveidošana ģeotelpiskajiem un Daugavas baseina plūdu datiem</t>
  </si>
  <si>
    <t>Daugavpils pilsētas publiskās infrastruktūras sakārtošana uzņēmējdarbības veicināšanai</t>
  </si>
  <si>
    <t>Engures novada pašvaldība</t>
  </si>
  <si>
    <t>Uzņēmējdarbības atbalsta infrastruktūras attīstība Smārdes pagastā</t>
  </si>
  <si>
    <t>Salacgrīvas novada pašvaldība</t>
  </si>
  <si>
    <t>Uzņēmējdarbībai nozīmīgas infrastruktūras attīstība Salacgrīvas pilsētā</t>
  </si>
  <si>
    <t>Uzņēmējdarbībai nozīmīgas infrastruktūras attīstība Salacgrīvas novada Salacgrīvas pagasta Svētciemā</t>
  </si>
  <si>
    <t>Uzņēmējdarbības izaugsmei nepieciešamās infrastruktūras attīstība Saulkrastu novadā</t>
  </si>
  <si>
    <t>Energoefektivitātes paaugstināšana Daugavpils pilsētas pašvaldības ēkās 18.novembra ielā 354V, Daugavpilī</t>
  </si>
  <si>
    <t>Energoefektivitātes paaugstināšana Daugavpils pilsētas pirmsskolas izglītības iestādē Nr.32 - Malu ielā 7, Daugavpilī</t>
  </si>
  <si>
    <t>Energoefektivitātes paaugstināšana Daugavpils pilsētas vispārējās izglītības iestādē Jelgavas ielā 30A, Daugavpilī</t>
  </si>
  <si>
    <t>Energoefektivitātes paaugstināšana Daugavpils pilsētas pašvaldības ēkā, Raiņa ielā 27, Daugavpilī</t>
  </si>
  <si>
    <t>Energoefektivitātes paaugstināšana Daugavpils pilsētas izglītības iestādes ēkā Marijas ielā 1E, Daugavpilī  (būvprojekta aktualizācija top, dati ir provizoriski)</t>
  </si>
  <si>
    <t>Jelgavas pilsētas pašvaldības ēkas Zemgales prospektā 7 energoefektivitātes paaugstināšana</t>
  </si>
  <si>
    <t>Jelgavas pilsētas pašvaldības pirmsskolas izglītības iestādes ”Sprīdītis” energoefektivitātes paaugstināšana</t>
  </si>
  <si>
    <t>Pirmsskolas izglītības iestādes ēkas, Rēzeknē, Metālistu ielā 2 energoefektivitātes paaugstināšana</t>
  </si>
  <si>
    <t>Rīgas pilsētas pašvaldība</t>
  </si>
  <si>
    <t>Kompleksi energoefektivitātes pasākumi siltumnīcefekta gāzu emisijas samazināšanai Rīgas 273.pirmsskolas izglītības iestādes ēkā Ilūkstes ielā 101 k-4, Rīgā</t>
  </si>
  <si>
    <t>Kompleksi energoefektivitātes pasākumi siltumnīcefekta gāzu emisijas samazināšanai Rīgas pirmsskolas izglītības iestādes "Māra" ēkā Zebiekstes ielā 1, Rīgā</t>
  </si>
  <si>
    <t>Kompleksi energoefektivitātes pasākumi siltumnīcefekta gāzu emisijas samazināšanai Rīgas pirmsskolas izglītības iestādes "Pērlīte" ēkā, Jelgavas ielā 86A, Rīgā</t>
  </si>
  <si>
    <t>Kompleksi energoefektivitātes pasākumi siltumnīcefekta gāzu emisijas samazināšanai Rīgas 266.pirmsskolas izglītības iestādes ēkā Pļavnieku ielā 4, Rīgā</t>
  </si>
  <si>
    <t>Kompleksi energoefektivitātes pasākumi siltumnīcefekta gāzu emisijas samazināšanai Rīgas 259.pirmsskolas izglītības iestādes ēkā Jāņa Grestes ielā 3, Rīgā</t>
  </si>
  <si>
    <t>Kompleksi energoefektivitātes pasākumi siltumnīcefekta gāzu emisijas samazināšanai Rīgas 270.pirmsskolas izglītības iestādes ēkā Salnas ielā 18, Rīgā</t>
  </si>
  <si>
    <t>Kompleksi energoefektivitātes pasākumi siltumnīcefekta gāzu emisijas samazināšanai Rīgas 106.pirmsskolas izglītības iestādes ēkā Ūnijas ielā 83, Rīgā</t>
  </si>
  <si>
    <t>Kompleksi energoefektivitātes pasākumi siltumnīcefekta gāzu emisijas samazināšanai Rīgas 234.pirmsskolas izglītības iestādes ēkā Kurzemes prospektā 86C, Rīgā</t>
  </si>
  <si>
    <t>Kompleksi energoefektivitātes pasākumi siltumnīcefekta gāzu emisijas samazināšanai Rīgas 104.pirmsskolas izglītības iestādes ēkā Slokas ielā 207, Rīgā</t>
  </si>
  <si>
    <t>Kompleksi energoefektivitātes pasākumi siltumnīcefekta gāzu emisijas samazināšanai Rīgas pirmsskolas izglītības iestādes "Dzirnaviņas" ēkā Tālavas gatvē 7, Rīgā</t>
  </si>
  <si>
    <t>Kompleksi energoefektivitātes pasākumi siltumnīcefekta gāzu emisijas samazināšanai Rīgas pirmsskolas izglītības iestādes "Dardedze" ēkā Slokas ielā 209, Rīgā</t>
  </si>
  <si>
    <t>Kompleksi energoefektivitātes pasākumi siltumnīcefekta gāzu emisijas samazināšanai Rīgas 46.pirmsskolas izglītības iestādes ēkā Vecumnieku ielā 5A, Rīgā</t>
  </si>
  <si>
    <t>Kompleksi energoefektivitātes pasākumi siltumnīcefekta gāzu emisijas samazināšanai Rīgas 215.pirmsskolas izglītības iestādes ēkā Usmas ielā 10, Rīgā</t>
  </si>
  <si>
    <t>Kompleksi energoefektivitātes pasākumi siltumnīcefekta gāzu emisijas samazināšanai Rīgas 80.pirmsskolas izglītības iestādes ēkā Garajā ielā 24, Rīgā</t>
  </si>
  <si>
    <t>Kompleksi energoefektivitātes pasākumi siltumnīcefekta gāzu emisijas samazināšanai Rīgas pirmsskolas izglītības iestādes "Kadiķītis" ēkā Garajā ielā 31, Rīgā</t>
  </si>
  <si>
    <t>Kompleksi energoefektivitātes pasākumi siltumnīcefekta gāzu emisijas samazināšanai Rīgas 154.pirmsskolas izglītības iestādes ēkā Andromedas gatvē 3, Rīgā</t>
  </si>
  <si>
    <t>Kompleksi energoefektivitātes pasākumi siltumnīcefekta gāzu emisijas samazināšanai Rīgas pirmsskolas izglītības iestādes "Kamolītis" ēkā Iļģuciema ielā 4, Rīgā</t>
  </si>
  <si>
    <t>Kompleksi energoefektivitātes pasākumi siltumnīcefekta gāzu emisijas samazināšanai Rīgas 220.pirmsskolas izglītības iestādes ēkā Aglonas ielā 4A, Rīgā</t>
  </si>
  <si>
    <t>Kompleksi energoefektivitātes pasākumi siltumnīcefekta gāzu emisijas samazināšanai Rīgas 14.pirmsskolas izglītības iestādes ēkā Vircavas ielā 2, Rīgā</t>
  </si>
  <si>
    <t>Kompleksi energoefektivitātes pasākumi siltumnīcefekta gāzu emisijas samazināšanai Rīgas 62.pirmsskolas izglītības iestādes ēkā Alīses ielā 19, Rīgā</t>
  </si>
  <si>
    <t>Kompleksi energoefektivitātes pasākumi siltumnīcefekta gāzu emisijas samazināšanai Rīgas 255.pirmsskolas izglītības iestādes ēkā Akadēmiķa Mstislava Keldiša ielā 5, Rīgā</t>
  </si>
  <si>
    <t>Kompleksi energoefektivitātes pasākumi siltumnīcefekta gāzu emisijas samazināšanai Rīgas pirmsskolas izglītības iestādes "Annele" ēkā Anniņmuižas bulvārī 78, Rīgā</t>
  </si>
  <si>
    <t>Kompleksi energoefektivitātes pasākumi siltumnīcefekta gāzu emisijas samazināšanai Rīgas pirmsskolas izglītības iestādes "Laismiņa" ēkā Slokas ielā 211, Rīgā</t>
  </si>
  <si>
    <t>Kompleksi energoefektivitātes pasākumi siltumnīcefekta gāzu emisijas samazināšanai Rīgas pirmsskolas izglītības iestādes "Imanta" ēkā Vecumnieku ielā 7, Rīgā</t>
  </si>
  <si>
    <t>Kompleksi energoefektivitātes pasākumi siltumnīcefekta gāzu emisijas samazināšanai Rīgas 261.pirmsskolas izglītības iestādes ēkā Jaunrozes ielā 12, Rīgā</t>
  </si>
  <si>
    <t>Kompleksi energoefektivitātes pasākumi siltumnīcefekta gāzu emisijas samazināšanai Rīgas 243.pirmsskolas izglītības iestādes ēkā Saktas ielā 3A, Rīgā</t>
  </si>
  <si>
    <t>Kompleksi energoefektivitātes pasākumi siltumnīcefekta gāzu emisijas samazināšanai Rīgas pirmsskolas izglītības iestādes "Kamenīte" ēkā Slokas ielā 126A, Rīgā</t>
  </si>
  <si>
    <t>Kompleksi energoefektivitātes pasākumi siltumnīcefekta gāzu emisijas samazināšanai Rīgas pirmsskolas izglītības iestādes "Margrietiņa" ēkā Slokas ielā 126, Rīgā</t>
  </si>
  <si>
    <t>Kompleksi energoefektivitātes pasākumi siltumnīcefekta gāzu emisijas samazināšanai Rīgas 224.pirmsskolas izglītības iestādes ēkā Prūšu ielā 82, Rīgā</t>
  </si>
  <si>
    <t>Kompleksi energoefektivitātes pasākumi siltumnīcefekta gāzu emisijas samazināšanai Rīgas 197.pirmsskolas izglītības iestādes ēkā Birzes ielā 44, Rīgā</t>
  </si>
  <si>
    <t>Kompleksi energoefektivitātes pasākumi siltumnīcefekta gāzu emisijas samazināšanai Rīgas 94.pirmsskolas izglītības iestādes ēkā Krišjāņa Barona ielā 97B, Rīgā</t>
  </si>
  <si>
    <t>Baldones novada pašvaldība</t>
  </si>
  <si>
    <t>Energoefektivitātes paaugstināšana  sociālajā aprūpes centrā "Baldone"</t>
  </si>
  <si>
    <t>Balvu novada pašvaldība</t>
  </si>
  <si>
    <t>Samazināt primārās enerģijas patēriņu, sekmējot energoefektivitātes paaugstināšanu Kubulu pirmsskolas izglītības iestādē "Ieviņa"</t>
  </si>
  <si>
    <t>Sociālās aprūpes centra "Jaungulbenes alejas" energoefektivitātes paaugstināšana</t>
  </si>
  <si>
    <t>Viļķenes pirmsskolas izglītības iestādes ēkas energoefektivitātes paaugstināšana</t>
  </si>
  <si>
    <t>4.5.1.2.</t>
  </si>
  <si>
    <t>Videi draudzīgi autobusi</t>
  </si>
  <si>
    <t>KF</t>
  </si>
  <si>
    <t>0.5.1.1.</t>
  </si>
  <si>
    <t>Plūdu risku samazināšana blīvi apdzīvotās teritorijās</t>
  </si>
  <si>
    <t>5.1.2.</t>
  </si>
  <si>
    <t>0.5.1.2.</t>
  </si>
  <si>
    <t>Zemkopības ministrijas nekustamie īpašumi</t>
  </si>
  <si>
    <t>Ošas 1. poldera sūkņu stacija, Rožupes pagasts, Līvānu novads</t>
  </si>
  <si>
    <t>Ošas 2. poldera sūkņu stacija, Rožupes pagasts, Līvānu novads</t>
  </si>
  <si>
    <t>Valsts nozīmes ūdensnotekas Bolupe, ŪSIK kods 4254:01, pik. 444/00-671/50  atjaunošana Kubulu, Vīksnas, Bērzkalnes pagastā, Balvu novadā, Susāju, Kupravas, Žīguru pagastā, Viļakas novadā un Liepnas pagastā, Alūksnes novadā</t>
  </si>
  <si>
    <t xml:space="preserve">Valsts nozīmes ūdensnotekas Vircava, ŪSIK kods 38532:01, pik. 08/00-128/30; pik. 343/50-359/80; pik. 384/60-416/00  atjaunošana Jelgavas pilsētā un Jaunsvirlaukas,  Vircavas, Elejas, Sesavas pagastā, Jelgavas novadā </t>
  </si>
  <si>
    <t xml:space="preserve">Dundaga, SIA «Ziemeļkurzeme» </t>
  </si>
  <si>
    <t>Ūdenssaimniecības pakalpojumu attīstība Dundagā, II kārta</t>
  </si>
  <si>
    <t>Lielvārdes Remte, SIA</t>
  </si>
  <si>
    <t>5.4.2.</t>
  </si>
  <si>
    <t>5.4.2.2.</t>
  </si>
  <si>
    <t>Vides monitorings</t>
  </si>
  <si>
    <t>Latvijas vides aizsardzības fonda administrācija</t>
  </si>
  <si>
    <t>0.5.5.1.</t>
  </si>
  <si>
    <t>Ieguldījumi kultūras un dabas mantojumā</t>
  </si>
  <si>
    <t>Siguldas novada dome</t>
  </si>
  <si>
    <t>Kultūra, vēsture, arhitektūra Gaujas un laika lokos (projekta idejas nosaukums)</t>
  </si>
  <si>
    <t>Nozīmīga kultūrvēsturiskā mantojuma saglabāšana un attīstība kultūras tūrisma piedāvājuma pilnveidošanai Zemgales reģionā (projekta idejas nosaukums)</t>
  </si>
  <si>
    <t xml:space="preserve"> Carnikavas novada dome</t>
  </si>
  <si>
    <t>Vidzemes piekrastes kultūras un dabas mantojuma iekļaušana tūrisma pakalpojumu izveidē un attīstībā – "Saviļņojošā Vidzeme" (projekta idejas nosaukums)</t>
  </si>
  <si>
    <t>Talsu novada pašvaldība</t>
  </si>
  <si>
    <t>Talsu pilsētas tirgus pārbūve</t>
  </si>
  <si>
    <t>Degradēto rūpniecisko teritoriju reģenerācija Daugavpils pilsētas un Ilūkstes novada teritorijās</t>
  </si>
  <si>
    <t>0.5.6.3.</t>
  </si>
  <si>
    <t>Inčukalna sanācija</t>
  </si>
  <si>
    <t>0.6.1.5.</t>
  </si>
  <si>
    <t>Satiksmes ministrija</t>
  </si>
  <si>
    <t>0.6.3.1.</t>
  </si>
  <si>
    <t>Valsts reģionālā autoceļaP32  Augšlīgatne - Skrīveri Madliena - P80 47.20 60.29</t>
  </si>
  <si>
    <t>Jāzepa Vītola Latvijas Mūzikas akadēmija</t>
  </si>
  <si>
    <t>Latvijas Mākslas akadēmija</t>
  </si>
  <si>
    <t>Latvijas Sporta pedagoģijas akadēmija</t>
  </si>
  <si>
    <t>Rēzeknes Tehnoloģiju akadēmija</t>
  </si>
  <si>
    <t>Transporta un sakaru institūts</t>
  </si>
  <si>
    <t>Transporta un sakaru institūta STEM studiju programmu modernizācija</t>
  </si>
  <si>
    <t>Ieguldījumi vispārējās izglītības infrastruktūrā</t>
  </si>
  <si>
    <t>Daugavpils Valsts ģimnāzijas materiāli tehniskās bāzes un infrastruktūras modernizācija</t>
  </si>
  <si>
    <t>Daugavpils vispārējo izglītības iestāžu materiāli tehniskās bāzes un infrastruktūras sakārtošana atbilstoši mūsdienīgām prasībām (3.vsk., 13.vsk., 16.vsk., Krievu vsk.-licejs, Saskaņas psk.)</t>
  </si>
  <si>
    <t>Jelgavas pašvaldība</t>
  </si>
  <si>
    <t xml:space="preserve">Mācību vides uzlabošana Jelgavas Valsts ģimnāzijā un Jelgavas Tehnoloģiju vidusskolā </t>
  </si>
  <si>
    <t>Gulbenes pašvaldība</t>
  </si>
  <si>
    <t>Kuldīgas pašvaldība</t>
  </si>
  <si>
    <t>Ogres pašvaldība</t>
  </si>
  <si>
    <t>Uzlabot vispārējās izglītības iestāžu mācību vidi Ogres novadā</t>
  </si>
  <si>
    <t xml:space="preserve">Jelgavas Amatu vidusskola </t>
  </si>
  <si>
    <t xml:space="preserve">Jelgavas Amatu vidusskolas infrastruktūras uzlabošana un mācību aprīkojuma modernizācija, 2.kārta </t>
  </si>
  <si>
    <t>Daugavpils Dizaina un mākslas vidusskolas "Saules skola" infrastruktūras modernizācijas II kārtas īstenošana un kultūrizglītības reģionālā metodiskā centra izveidošana</t>
  </si>
  <si>
    <t>0.9.2.6.</t>
  </si>
  <si>
    <t>Ārstu apmācības</t>
  </si>
  <si>
    <t>ESF</t>
  </si>
  <si>
    <t>0.9.3.2.</t>
  </si>
  <si>
    <t>Veselības aprūpes infrastruktūra</t>
  </si>
  <si>
    <t>Pasākums</t>
  </si>
  <si>
    <t>Kārta</t>
  </si>
  <si>
    <t>4.2.1.2.</t>
  </si>
  <si>
    <t>6.2.1.1.</t>
  </si>
  <si>
    <t>Maija MK ziņojumā precizētais termiņš</t>
  </si>
  <si>
    <t>Fianansējuma saņēmēja aktualizētais iesniegšanas datums</t>
  </si>
  <si>
    <t>Zinātniskā institūta BIOR pētniecības resursu koncentrēšana un institucionālās kapacitātes stiprināšana</t>
  </si>
  <si>
    <t>Pētniecības infrastruktūras attīstīšana viedās specializācijas jomās un institucionālās kapacitātes stiprināšana Daugavpils Universitātē</t>
  </si>
  <si>
    <t>Rīgas Stradiņa universitātes farmācijas jomas pētniecības infrastruktūras attīstība</t>
  </si>
  <si>
    <t>Pētniecības infrastruktūras attīstīšana Latvijas Valsts mežzinātnes institūtā "Silava"</t>
  </si>
  <si>
    <t>Elektronikas un datorzinātņu institūta pētnieciskās infrastruktūras attīstība</t>
  </si>
  <si>
    <t>Ķekavas novada pašvaldība</t>
  </si>
  <si>
    <t>Rīgas Tehniskās universitātes Inzenierzinātņu un viedo tehnoloģiju centra energoefektivitātes paaugstināšana Ķīpsalas ielā 6B, Rīgā</t>
  </si>
  <si>
    <t>Liepājas Universitātes ēkas pārbūve</t>
  </si>
  <si>
    <t>Rīgas Tehniskās universitātes infrastruktūras attīstība STEM studiju programmu modernizēšanai.</t>
  </si>
  <si>
    <t>Vidzemes Augstskolas STEM studiju vides modernizācija</t>
  </si>
  <si>
    <t>Jāzepa Vītola Latvijas Mūzikas akadēmijas īstenoto radošo industriju studiju programmu modernizācija</t>
  </si>
  <si>
    <t>STEM, veselības aprūpes un mākslu studiju programmu modernizēšana Daugavpils Universitātē</t>
  </si>
  <si>
    <t>Studiju vides attīstība Rīgas Stradiņa universitātē</t>
  </si>
  <si>
    <t>Rēzeknes Tehnoloģiju akadēmijas lāzertehnoloģiju, mehatronikas un mašīnbūves studiju programmu modernizācija</t>
  </si>
  <si>
    <t>Latvijas Mākslas akadēmijas STEM (radošo industriju) studiju programmu modernizēšana</t>
  </si>
  <si>
    <t>Modernizētās LSPA STEM studiju programmas veselības aprūpē</t>
  </si>
  <si>
    <t>Latvijas Kultūras akadēmijas un Latvijas Kultūras koledžas STEM studiju programmu modernizēšana</t>
  </si>
  <si>
    <t>APP Latvijas Valsts koksnes ķīmijas institūts </t>
  </si>
  <si>
    <t>Salaspils 1.vidusskolas 4.mācību korpusa izbūve un aprīkošana </t>
  </si>
  <si>
    <t xml:space="preserve">Garkalnes novada dome  </t>
  </si>
  <si>
    <t>Ikšķiles novada pašvaldība  </t>
  </si>
  <si>
    <t>Mārupes novada Dome </t>
  </si>
  <si>
    <t>LLU un tās pārraudzībā esošo zinātnisko institūciju pētniecības, attīstības infrastruktūras un institucionālās kapacitātes stiprināšana.</t>
  </si>
  <si>
    <t>Rīgas Tehniskās universitātes Inženierzinātņu un viedo tehnoloģiju centra infrastruktūras attīstība Viedās specializācijas jomās.</t>
  </si>
  <si>
    <t>Latvijas Organiskās sintēzes institūta infrastruktūras attīstīšana viedās specializācijas jomā - biomedicīna, medicīnas tehnoloģijas, biofarmācija un biotehnoloģijas</t>
  </si>
  <si>
    <t>Latvijas Biomedicīnas pētījumu un studiju centra infrastruktūras attīstība pētniecības un tehnoloģiju pārneses kapacitātes stiprināšanai biomedicīnas un biotehnoloģijas jomās</t>
  </si>
  <si>
    <t>Irbenes radioteleskopu kompleksa modernizācijas 3. kārta</t>
  </si>
  <si>
    <t>Latvijas Valsts koksnes ķīmijas institūta pilotiekārtu parka un ventilācijas sistēmas izveide</t>
  </si>
  <si>
    <t>Latvijas Universitātes pētniecības infrastruktūras modernizācija un resursu koncentrācija viedās specializācijas jomās</t>
  </si>
  <si>
    <t>Rūpnieciskās zonas attīstība Jauntukuma rajonā</t>
  </si>
  <si>
    <t>Uzņēmējdarbības attīstībai nepieciešamās infrastruktūras izbūve Ķekavas novadā</t>
  </si>
  <si>
    <t>Uzņēmējdarbības attīstība Skultes pagasta Mandegu ciemā, palielinot pieejamo elektroenerģijas jaudu</t>
  </si>
  <si>
    <t>Energoefektivitātes paaugstināšana Daugavpils Universitātes mācību korpusam Parādes ielā 1, Daugavpilī</t>
  </si>
  <si>
    <t>Energoefektivitātes paaugstināšana Daugavpils Universitātes mācību korpusam Vienības ielā 13, Daugavpilī</t>
  </si>
  <si>
    <t>"Energoefektivitātes pasākumu īstenošana Ogres tehnikuma dienesta viesnīcā"</t>
  </si>
  <si>
    <t>Energoefektivitātes paaugstināšanas pasākumi Daugavpils medicīnas koledžas ēkā Varšavas ielā 26 a.</t>
  </si>
  <si>
    <t>Ēkas Ogrē, Upes prospektā 16 siltināšana un rekonstrukcija, pielāgojot Ogres novada Sociālā dienesta un tā struktūrvienību vajadzībām</t>
  </si>
  <si>
    <t>Vides monitoringa un kontroles sistēmas attīstība</t>
  </si>
  <si>
    <t>Valsts vides monitoringa programmu un kontroles sistēmas attīstība un sabiedrības līdzdalības veicināšana, pilnveidojot nacionālas nozīmes vides informācijas un izglītības centru infrastruktūru</t>
  </si>
  <si>
    <t>„Ludzas vispārējās izglītības iestāžu mācību vides modernizācija”</t>
  </si>
  <si>
    <t>Vispārējās izglītības iestāžu mācību vides uzlabošana Talsu novadā</t>
  </si>
  <si>
    <t>Siguldas valsts ģimnāzijas un Siguldas 1.pamatskolas atjaunošana, pārbūve un materiāltehniskās bāzes modernizācija</t>
  </si>
  <si>
    <t>Mārupes vidusskolas mācību vides uzlabošana</t>
  </si>
  <si>
    <t>"Ikšķiles vidusskolas pārbūve"</t>
  </si>
  <si>
    <t>Cēsu novada vispārējo izglītības iestāžu modernizācija</t>
  </si>
  <si>
    <t>Berģu Mūzikas un mākslas pamatskolas piebūves jaunbūve/rekonstrukcija</t>
  </si>
  <si>
    <t>Cēsu Profesionālās vidusskolas modernizācija.</t>
  </si>
  <si>
    <t>Profesionālās izglītības kompetences centrs „Ogres tehnikums”</t>
  </si>
  <si>
    <t>Daugavpils medicīnas koledža</t>
  </si>
  <si>
    <t xml:space="preserve">Valsts galvenā autoceļa A4 Rīgas apvedceļš (Baltezers - Saulkalne), km 12,48 - 19,68 segas pārbūve </t>
  </si>
  <si>
    <t>Sabiedrība ar ierobežotu atbildību "BROCĒNU SILTUMS" </t>
  </si>
  <si>
    <t>Brocēnu ūdenssaimniecības attīstība, 2.kārta</t>
  </si>
  <si>
    <t>Projekta iesniedzējs 2017.gada 14.jūlijā ir uzaicināts iesniegt PI. Detalizētais projekta apraksts ir saskaņots VARAM, iesniedzējs gatavo MK rīkojuma projektu. Galvenais kavēšanās iemesls - cilvēkresursu trūkums. Nākamnedēļ (24.07.-28.07.) plānota iekšējā sanāksme par projekta iesniegumu, tad vienosies par termiņiem, pagaidām nezina, vai paspēs iesniegt ātrāk par 01.09. Pēc sanāksmes attiecīgā persona sazināsies, uzdos interesējošos jautājumus par projekta iesniegumu.</t>
  </si>
  <si>
    <t>Projekta iesniedzējs 2017.gada 14.jūlijā ir uzaicināts iesniegt PI. Detalizētais projekta apraksts ir saskaņots VARAM, iesniedzējs gatavo MK rīkojuma projektu, plāno šonedēļ (19.07.-21.07.) nosūtīt pirmreizējai saskaņošanai. No savas puses termiņus nav kavējuši, lielākā problēma bija tā, ka sākotnēji projekts bija iekļauts 1.projektu sarakstā, pēc tam pārcelts uz 2.sarakstu, un tikai 2016.g.22.novembrī iekļauts atpakaļ 1.projektu sarakstā. No tā brīža 5 mēnešu (līdz 22.04.17) laikā iesniedzējam bija VARAM jāiesniedz detalizētais projekta apraksts, kas tika izdarīts. Projekta iesniegums ir gandrīz gatavs. Ņemot vērā, ka tagad projekta iesniedzējs ir uzaicināts, un CFLA var uzsākt vērtēšanu pirms MK rīkojuma apstiprināšanas, tādējādi ātrāk virzot projekta gaitu, plāno iesniegt projektu iespējami drīz, noteikti pirms 01.09., bet konkrētu datumu vēl nevar pateikt (atsaucas uz pašreizēju cilvēkresursu trūkumu). Ir ieinteresēti iesniegt projektu iespējami ātri, jo cer līdz decembrim noslēgt vienošanos ar CFLA. Kārto piekļuves tiesības KP VIS, plāno projektu iesniegt tajā. Ir informēti par iespējām saņemt konsultācijas, piefiksēja kontaktpersonas tālruni turpmākai saziņai.</t>
  </si>
  <si>
    <t>Projekta iesniedzējs 2017.gada 14.jūlijā ir uzaicināts iesniegt PI. MK rīkojuma projekts bija pirmreizējā saskaņošanā līdz 13.07., ir saņemti iebildumi, un iesniedzējs gatavo Izziņu. Šodien (19.07.) plānots saskaņot precizēto informāciju ar VARAM un tātad drīzumā virzīt MK rīkojumu atkārtotai saskaņošanai. Kā galveno problēmu norāda neziņu par to, kas notiek/notiks ar pārējiem Veselības ministrijas projektiem, jo starp tiem un šo projektu ir zināmas atkarības. Tās projekta vadītāja mēģina iespēju robežās novērst. Plāno drīzumā (nākamajā vai aiznākamajā nedēļā, 24.07.-04.08.) pieteikties konsultācijai par atsevišķiem jautājumiem, kas radušies, gatavojot projekta iesniegumu. Pagaidām nezina, vai paspēs projektu iesniegt ātrāk par 01.09.</t>
  </si>
  <si>
    <t>Projekta iesniedzējs 2017.gada 14.jūlijā ir uzaicināts iesniegt PI. Detalizētais projekta apraksts ir saskaņots VARAM, MK rīkojuma projekts nosūtīts pirmreizējai saskaņošanai. Projekta vadītāja jūnija beigās atgriezusies no ilgstošas prombūtnes, līdz ar to nevar komentēt, kādas problēmas kavējušas projekta virzību. Projekta iesniegums ir sagatavots, tiek precizēti sadarbības partneru apliecinājumi. Pašreizējais iekšējais termiņš pabeigt iesniegumu ir līdz 26.07., ja tajā iekļausies, pēc tam pēdējās veiktās izmaiņas jāsaskaņo iekšēji, un projektu varēs iesniegt (augusta sākumā-vidū). Par iespēju saņemt konsultācijas ir informēti, vērsīsies, ja būs neskaidri jautājumi.</t>
  </si>
  <si>
    <t>ITI projekts. PI sagatavošana aizkavējusies projekta vadības personāla noslogotības dēļ. Aizkavējusies dokumentācijas sagatavošana.</t>
  </si>
  <si>
    <t xml:space="preserve">ITI projekts. PI tiek gatavots. Bija problēmas ar rezultatīvo rādītāju - labumu guvušie uzņēmumi (bija jāsaskaņo ar uzņēmumiem). * no komersantiem, kuri bija ieinteresēti izrādījās lielie - jāatrod 8 atbilstoši. </t>
  </si>
  <si>
    <t>Projekts ir sagatavots KPVIS, bet iesniegt nevarot, jo trūkstot dok. no projektētājiem. Projekts tiks ievadīts KP VIS līdz 30.07.2017. Saņemts no projektētāja atbilstošs dokumenta veids ievietošanai sistēmā.</t>
  </si>
  <si>
    <t>uz 14.07.2017. atbilde no finansējuma saņēmēja nav saņemta</t>
  </si>
  <si>
    <t>PI nav iesniegts sākotnēji plānotajā termiņā, ņemot vērā objektu būvprojektu izstrādes ieilgšanu projekta ietvaros un izmaksu ieguvumu analīzes un finanšu analīzes sagatvošanu.</t>
  </si>
  <si>
    <t>PI sagatavošana aizkavējusies projekta vadības personāla noslogotības dēļ.</t>
  </si>
  <si>
    <t xml:space="preserve">ITI  projekts. PI nav iesniegts sākotnēji plānotajā termiņā ņemot vērā objektu būvprojektu izstrādes ieilgšanu projekta ietvaros. </t>
  </si>
  <si>
    <t>09.2017.</t>
  </si>
  <si>
    <t>08.2017.</t>
  </si>
  <si>
    <t>ITI  projekts. PI nav iesniegts sākotnēji plānotajā termiņā, jo kavējas projekta tehniskās dokumentācijas sagatavošana.</t>
  </si>
  <si>
    <t>PI sagatavošana aizkavējusies projekta vadības personāla noslogotības dēļ. Pirms projekta iesnieguma  iesniegšanas vēlas saņemt konsultāciju un nepieciešamības gadījumā veikt precizējumus. Plāno piedalīties 20.06.2017. VARAM rīkotajā seminārā.</t>
  </si>
  <si>
    <t>Precizētais iesniegšanas termiņš norādīts Rēzeknes pilsētas domes 27.06.2017 vēstulē "Par integrētu teritoriālo investīciju projektu iesniegumu atlasi" Finanšu ministrijai, kurā lūdz pagarināt SAM 4.2.2. projektu iesniegšanas termiņu līdz 2017.gada 29.decembrim.</t>
  </si>
  <si>
    <t>ITI projekts. PI sagatavošana aizkavējusies projekta vadības personāla noslogotības dēļ.</t>
  </si>
  <si>
    <t>Projekts nav iesniegts sākotnēji plānotajā termiņā, jo nepieciešams saņemt būvatļauju projektā plānotajām darbībām. Būvprojekta minimālais sastāvs iesniegts būvvaldē 03.07.2017.,līdz ar to nav būvatļaujas, kas varētu būt pēc mēneša.</t>
  </si>
  <si>
    <t>Projekts nav iesniegts sākotnēji plānotajā termiņā, jo nepieciešams saņemt būvatļauju projektā plānotajām darbībām. Nav VVD tehniskie noteikumi, nav būvprojekts minimālā sastāvā</t>
  </si>
  <si>
    <t>Projekts nav iesniegts sākotnēji plānotajā termiņā, jo nepieciešams saņemt būvatļauju projektā plānotajām darbībām, kā arī nav saskaņojuma ar attiecīgo pašvaldību, ka iesniegtais projekts atbilst spēkā esošam attiecīgās pašvaldības teritorijas plānojumā vai detālplānojumā noteiktajam funkcionālajam zonējumam. Būvprojekta minimālais sastāvs iesniegts būvvaldē 03.07.2017.,līdz ar to nav būvatļaujas, kas varētu būt pēc mēneša. Nav saskaņojuma ar pašvaldībām, ka iesniegtais projekts atbilst spēkā esošam attiecīgās pašvaldības teritorijas plānojumā vai detālplānojumā noteiktajam funkcionālajam zonējumam.</t>
  </si>
  <si>
    <t>Projekts nav iesniegts sākotnēji plānotajā termiņā, jo vēl nav sagatavoti visi PI pamatojošie dokumenti, t.sk.,notiek iepirkuma procedūra.</t>
  </si>
  <si>
    <t>Projekta iesniegums nav iesniegts atkārtoti precizētājā termiņā, jo kavējas projekta iesnieguma finanšu sadaļas sagatavošana . Projekta iesniegumu varēs iesniegt pēc Lielvārdes novada Domes sēdes, kura plānota jūlija pēdējās nedēļā.</t>
  </si>
  <si>
    <t>Projekta iesniegums nav iesniegts sākotnēji plānotajā termiņā, jo  projekta sadarbības parnteri skaidro jautājumus par valsts atbalsta normu piemērošanu.</t>
  </si>
  <si>
    <t xml:space="preserve">PI nav iesniegts sākotnēji plānotajā termiņā , jo tiek risināti jautājumi saistībā ar būvatļaujas saņemšanu. </t>
  </si>
  <si>
    <t>Ilūkstes novada domei nepieciešams termiņa pagarinājums tehniskā projekta izstrādei papildus iekļaujamajai darbībai  (Ilūkstes novada domes 29.06.2017. vēstule Nr.763, adresēta FM, CFLA, LPR, DP, DND - CFLA saņemta 04.07.2017.)</t>
  </si>
  <si>
    <t>Sakarā ar grozījumiem SAM īstenošanas noteikumos pilsētas, kas veic atlasi ITI ietvaros, nav izsludinājušas atlases plānotajā laikā, attiecīgi PI tiks iesniegti ar laika nobīdi. FS nav iesniedzis aktualizētu jaunu PI datumu.</t>
  </si>
  <si>
    <t>Sakarā ar grozījumiem SAM īstenošanas noteikumos pilsētas, kas veic atlasi ITI ietvaros, nav izsludinājušas atlases plānotajā laikā, attiecīgi PI tiks iesniegti ar laika nobīdi.  FS nav iesniedzis aktualizētu plānoto projektu iesniegšanas datumu.</t>
  </si>
  <si>
    <t>ITI projekts, atlase izsludināta, iesniegšanas termiņš ir līdz 30.08.2017. PI plāno projektu iesniegt augusta sākumā.</t>
  </si>
  <si>
    <t>Projekts nav iesniegts sākotnēji plānotajā termiņā, jo kavējas NEP saskaņojuma saņemšana. Paredzamas maksājumu prūsmas nobīdes, jo 2017. gadā  plāno tikai administratīvos izdevumus, savukārt iegādes plānotas 2018.gadā.</t>
  </si>
  <si>
    <t>ITI projekts, atlase izsludināta, iesniegšanas termiņš ir līdz 20.12.2017. PI  plāno projektu iesniegt līdz septembrim.</t>
  </si>
  <si>
    <t>Finanšu ministre</t>
  </si>
  <si>
    <t>D.Reizniece-Ozola</t>
  </si>
  <si>
    <t>Kavēto projektu ES fondu finansējums</t>
  </si>
  <si>
    <t>KOPĀ neiesniegtie projekti plānotajos termiņos</t>
  </si>
  <si>
    <t>Kavēto projektu ES fonda finasējums</t>
  </si>
  <si>
    <t xml:space="preserve">Kopā ES finansējums kavētiem projektu iesniegumiem </t>
  </si>
  <si>
    <t xml:space="preserve">Kopā ES finansējums plānotajiem projektu iesniegumiem </t>
  </si>
  <si>
    <t>Ekonomikas ministrija</t>
  </si>
  <si>
    <t>Vienotās darba vides izveide visā EM resorā</t>
  </si>
  <si>
    <t>Izglītības un zinātnes ministrija</t>
  </si>
  <si>
    <t>VIIS attīstība - izglītības monitoringa sistēmas izveide</t>
  </si>
  <si>
    <t>Vienotais tiesību aktu projektu izstrādes un saskaņošanas  portāls</t>
  </si>
  <si>
    <t>Pakalpojumu sniegšanas un pārvaldības platforma</t>
  </si>
  <si>
    <t>Starptautisko kravu loģistikas IS (SKLOIS 2)</t>
  </si>
  <si>
    <t>Ilūkstes novada pašvaldība</t>
  </si>
  <si>
    <t>Ieguldījums komercdarbības attīstībai Ilūkstes novadā</t>
  </si>
  <si>
    <t>Līgatnes novada pašvaldība</t>
  </si>
  <si>
    <t>Uzņēmējdarbības vides sakārtošana Augšlīgatnē</t>
  </si>
  <si>
    <t>Stopiņu novada pašvaldība</t>
  </si>
  <si>
    <t>Eksportētāju, uzņēmēju attīstībai nepieciešamās infrastruktūras izbūve stopiņu novada Līču un Ulbrokas ciemos</t>
  </si>
  <si>
    <t>Vecpiebalgas novada pašvaldība</t>
  </si>
  <si>
    <t>Uzņēmējdarbības attīstībai nepieciešamās publiskās infrastruktūras attīstība Vecpiebalgas novada Inešu pagastā</t>
  </si>
  <si>
    <t>Rēzeknes pilsētas domes Sporta pārvaldes ēkas Rēzeknē, 18.Novembra ielā 39 energoefektivitātes uzlabošana</t>
  </si>
  <si>
    <t>Aizputes komunālais uzņēmums, SIA</t>
  </si>
  <si>
    <t>Alūksne, SIA "Rūpe"</t>
  </si>
  <si>
    <t>Ūdenssaimniecības pakalpojumu attīstība Alūksnē, III kārta</t>
  </si>
  <si>
    <t xml:space="preserve">Baltezers, SIA "Garkalnes ūdens" </t>
  </si>
  <si>
    <t>"Ūdenssaimniecības pakalpojumu attīstība Baltezerā, 2.kārta"</t>
  </si>
  <si>
    <t>Carnikavas Komunālserviss, P/A</t>
  </si>
  <si>
    <t>Ūdenssaimniecības pakalpojumu attīstība Carnikavā, III kārta</t>
  </si>
  <si>
    <t>Kārsavas namsaimnieks, SIA</t>
  </si>
  <si>
    <t>Ludzas apsaimniekotājs, SIA</t>
  </si>
  <si>
    <t xml:space="preserve">Ūdenssaimniecības pakalpojumu attīstība Ludzas pilsētā </t>
  </si>
  <si>
    <t>Priekules nami, SIA</t>
  </si>
  <si>
    <t>Pašvaldības SIA Rūjienas siltums</t>
  </si>
  <si>
    <t>Ūdenssaimniecības pakalpojumu attīstība Rūjienā, II kārta</t>
  </si>
  <si>
    <t xml:space="preserve">Rīteiropas vērtības </t>
  </si>
  <si>
    <t>Liepājas pilsētas dome</t>
  </si>
  <si>
    <t>Dienvidkurzemes piekrastes mantojums cauri gadsimtiem (projekta idejas nosaukums)</t>
  </si>
  <si>
    <t>Pamatinfrastruktūras nodrošināšana uzņēmējdarbības veicināšanai, revitalizējot degradēto teritoriju Liepājā</t>
  </si>
  <si>
    <t xml:space="preserve">Degradētās teritorijas Akmeņu ielā 74, Ogrē revitalizācija uzņēmējdarbības attīstībai </t>
  </si>
  <si>
    <t>Degradētās teritorijas sakārtošana Jauntukuma mikrorajonā (Slocenes iela)</t>
  </si>
  <si>
    <t>Uzņēmējdarbības attīstība Austrumu pierobežā</t>
  </si>
  <si>
    <t>6.1.3.</t>
  </si>
  <si>
    <t>6.1.3.1.</t>
  </si>
  <si>
    <t>Salu tilta rekonstrukcija</t>
  </si>
  <si>
    <t>Salu tilta kompleksa atjaunošana, pārbūve un izbūve, 2.kārta</t>
  </si>
  <si>
    <t>Liepājas vispārizglītojošo skolu modernizācija</t>
  </si>
  <si>
    <t>Rīgas pašvaldība</t>
  </si>
  <si>
    <t>Rīgas Franču liceja infrastruktūras pilnveide, ergonomiskas mācību vides iekārtošana un  inovatīvu IKT risinājumu ieviešana mācību procesa nodrosināsanai</t>
  </si>
  <si>
    <t>Krāslavas novada pašvaldība</t>
  </si>
  <si>
    <t>Krāslavas novada izglītības iestāžu infrastruktūras sakārtošana un mācību vides uzlabošana Krāslavas Valsts ģimnāzijai, Krāslavas pamatskolai un Krāslavas Varavīksnes vidusskolai</t>
  </si>
  <si>
    <t>Tukuma pašvaldība</t>
  </si>
  <si>
    <t>9.2.5.</t>
  </si>
  <si>
    <t>0.9.2.5.</t>
  </si>
  <si>
    <t>Ārstu piesiste darbam reģioniem</t>
  </si>
  <si>
    <t>Veselības ministrija</t>
  </si>
  <si>
    <t>Paula Stradiņa klīniskā universitātes slimnīca</t>
  </si>
  <si>
    <t>Slimnīcas A korpusa 2.kārtas būvniecība</t>
  </si>
  <si>
    <t>Jūnija MK ziņojumā precizētais termiņš</t>
  </si>
  <si>
    <t>Profesionālās izglītības kompetences centrs „Rīgas Valsts tehnikums”</t>
  </si>
  <si>
    <t>Energoefektivitātes paaugstināšanas pasākumu īstenošana Profesionālās izglītības kompetences centra ”Rīgas Valsts tehnikums” mācību korpusa ēkai Zeļļu ielā 9, Limbažos, Limbažu novadā</t>
  </si>
  <si>
    <t>Energoefektivitātes paaugstināšanas pasākumu īstenošana Profesionālās izglītības kompetences centra ”Rīgas Valsts tehnikums” dienesta viesnīcas ēkai Zeļļu ielā 8, Limbažos, Limbažu novadā</t>
  </si>
  <si>
    <t>Valsts sociālās aprūpes centrs „Kurzeme”</t>
  </si>
  <si>
    <t>Energoefektivitātes paaugstināšana VSAC "Kurzeme" filiālē "Liepāja", Apšu ielā 3A, Liepājā</t>
  </si>
  <si>
    <t>Sabiedrība ar ierobežotu atbildību "BŪKS"</t>
  </si>
  <si>
    <t>Ūdenssaimniecības infrastruktūras attīstība Baldones pilsētā</t>
  </si>
  <si>
    <t>Balvu novada pašvaldības aģentūra "SAN-TEX"</t>
  </si>
  <si>
    <t>Balvu pilsētas ūdenssaimniecības attīstības III kārta</t>
  </si>
  <si>
    <t>Līvānu ūdenssaimniecības attīstības III kārta</t>
  </si>
  <si>
    <t>Kuldīgas novada vispārējās izglītības iestāžu mācību vides uzlabošana</t>
  </si>
  <si>
    <t>Gulbenes novada vispārējo izglītības iestāžu mācību vides uzlabošana</t>
  </si>
  <si>
    <t>Tukuma vispārējās izglītības iestāžu mācību vides uzlabošana</t>
  </si>
  <si>
    <t>Balvu pašvaldība</t>
  </si>
  <si>
    <t>Balvu novada vispārējās izglītības iestāžu mācību vides uzlabošana</t>
  </si>
  <si>
    <t>Bauskas Valsts ģimnāzijas un Bauskas 2.vidusskolas infrastruktūras sakārtošana</t>
  </si>
  <si>
    <t>Kanalizācijas tīklu, spiedvadu un KSS izbūve Aizputē</t>
  </si>
  <si>
    <t>Ūdenssaimniecības pakalpojumu attīstība Lielvārdē 3.kārta</t>
  </si>
  <si>
    <t>Ūdenssaimniecības pakalpojumu attīstība Kārsavā, 2.kārta</t>
  </si>
  <si>
    <t>Ūdenssaimniecības pakalpojumu attīstība Priekules aglomerācijā, 2.kārta</t>
  </si>
  <si>
    <t xml:space="preserve">Auce, SIA "Auces komunālie pakalpojumi" </t>
  </si>
  <si>
    <t xml:space="preserve">Kanalizācijas tīklu pārbūve un paplašināšana Aucē </t>
  </si>
  <si>
    <t>Ādažu Ūdens, SIA</t>
  </si>
  <si>
    <t xml:space="preserve">Ūdenssaimniecības pakalpojumu attīstība Ādažos, III kārta     </t>
  </si>
  <si>
    <t xml:space="preserve">Bauska, SIA "Bauskas ūdens" </t>
  </si>
  <si>
    <t>Bauskas ūdenssaimniecības attīstība III kārta</t>
  </si>
  <si>
    <t>Iecava SIA „Dzīvokļu komunālā saimniecība”</t>
  </si>
  <si>
    <t>“Ūdenssaimniecības pakalpojumu attīstība Iecavas novadā II kārta”</t>
  </si>
  <si>
    <t>Ikšķiles māja, PSIA</t>
  </si>
  <si>
    <t xml:space="preserve">"Ikšķiles ūdenssaimniecības attīstības II kārta" </t>
  </si>
  <si>
    <t>Īslīces ūdens, SIA</t>
  </si>
  <si>
    <t>Būvdarbi "Kanalizācijas tīklu paplašināšana Īslīces pagasts Bērzkalnu un Rītausmas ciemos"</t>
  </si>
  <si>
    <t>Jaunolaine, SIA „Zeiferti”</t>
  </si>
  <si>
    <t>Ūdenssaimniecības attīstība Jaunolaines lielciemā  III kārta</t>
  </si>
  <si>
    <t>Kandavas komunālie pakalpojumi, SIA</t>
  </si>
  <si>
    <t>“Attīstīt un uzlabot ūdensapgādes un kanalizācijas sistēmas pakalpojumu kvalitāti un nodrošināt pieslēgšanas iespējas Kandavas pilsētā”</t>
  </si>
  <si>
    <t>Malta, PSIA''Maltas DzKSU''</t>
  </si>
  <si>
    <t>'Ūdenssaimniecības attīstība Maltā III kārta''</t>
  </si>
  <si>
    <t>Ozolnieku KSDU</t>
  </si>
  <si>
    <t>Ūdenssaimniecības attīstība Ozolnieku pagastā, Ozolnieku novadā</t>
  </si>
  <si>
    <t>Rojas DzKU, SIA</t>
  </si>
  <si>
    <t>Ūdenssaimniecības attīstība Rojā, III kārta</t>
  </si>
  <si>
    <t>Smiltenes NKUP, SIA</t>
  </si>
  <si>
    <t>Ūdensapgādes un kanalizācijas tīklu paplašināšana Smiltenē 3. kārta</t>
  </si>
  <si>
    <t>Talsu ūdens, SIA (Stende)</t>
  </si>
  <si>
    <t>Stendes pilsētas ūdenssaimniecības attīstības projekts, II kārta</t>
  </si>
  <si>
    <t>Valka, Valkas novada pašvaldība</t>
  </si>
  <si>
    <t>„Ūdenssaimniecības pakalpojumu attīstība Valkā, III kārta”</t>
  </si>
  <si>
    <t>Viļāni, Viļānu namsaimnieks</t>
  </si>
  <si>
    <t>Viļānu ūdenssaimniecības attīstības 4.kārta</t>
  </si>
  <si>
    <t>Ūdenssaimniecības pakalpojumu attīstība Saulkrastos, II kārta</t>
  </si>
  <si>
    <t>Saulkrastu komunālserviss, SIA</t>
  </si>
  <si>
    <t>Loka maģistrāles pārbūve posmā no Kalnciema ceļa līdz Jelgavas administratīvajai robežai</t>
  </si>
  <si>
    <t>5</t>
  </si>
  <si>
    <t>Energoefektivitātes paaugstināšanas pasākumu īstenošana Profesionālās izglītības kompetences centra ”Rīgas Valsts tehnikums” mācību korpusa ēkai Kronvalda bulvārī 1A, Rīgā</t>
  </si>
  <si>
    <t>Projekta iesnieguma nav iesniegts sākotnēji plānotajā termiņā saistībā ar iepirkumu procedūras kavēšanos. Projekta iesnieguma sagatavošana aizkavējusies projekta vadības personāla noslogotības dēļ.</t>
  </si>
  <si>
    <t>Projekta iesniedzējs 2017.gada 14.jūlijā ir uzaicināts iesniegt iesniegumu. Detalizētais projekta apraksts ir saskaņots VARAM, MK rīkojuma projekts nosūtīts pirmreizējai saskaņošanai. Projekta vadītāja jūnija beigās atgriezusies no ilgstošas prombūtnes, līdz ar to nevar komentēt, kādas problēmas kavējušas projekta virzību. Projekta iesniegums ir sagatavots, tiek precizēti sadarbības partneru apliecinājumi. Pašreizējais iekšējais termiņš pabeigt iesniegumu ir līdz 26.07., ja tajā iekļausies, pēc tam pēdējās veiktās izmaiņas jāsaskaņo iekšēji, un projektu varēs iesniegt (augusta sākumā-vidū). Par iespēju saņemt konsultācijas ir informēti, vērsīsies, ja būs neskaidri jautājumi.</t>
  </si>
  <si>
    <t>Projekta iesnieguma sagatavošana aizkavējusies projekta vadības personāla noslogotības dēļ. Aizkavējusies dokumentācijas sagatavošana.</t>
  </si>
  <si>
    <t xml:space="preserve">Projekta iesniegums  nav iesniegts sākotnēji plānotajā termiņā ņemot vērā objektu būvprojektu izstrādes ieilgšanu projekta ietvaros. </t>
  </si>
  <si>
    <t xml:space="preserve">Projekta iesniegums nav iesniegts sākotnēji plānotajā termiņā ņemot vērā objektu būvprojektu izstrādes ieilgšanu projekta ietvaros. </t>
  </si>
  <si>
    <t>Kopā ES finansējums pirms termiņa iesniegtajiem projektiem</t>
  </si>
  <si>
    <t xml:space="preserve">Novirze no termiņa radusies  projekta iesniedzēja cilvēkresursu kapacitātes dēļ. Projekta iesniegums ir  sagatavots augstas gatavības pakāpē. Tehniskais projekts ir saņemts. Sagatvota Izmaksu ieguvumu analīze, izsludināti 2 iepirkumi (lēmumi vēl nav pieņemti). Finanšu plūsmā varētu būt izmaiņas. </t>
  </si>
  <si>
    <t xml:space="preserve">Novirze no termiņa,  jo būvprojekta izstrāde nav pabeigta līgumā noteiktajā termiņā. </t>
  </si>
  <si>
    <t>Rēzeknes pilsētas pašvaldība 27.06.2017. vēstulē Finanšu ministrijai "Par integrētu teritoriālo investīciju projektu iesniegumu atlasi" norāda aktualizēto projekta iesniegšanas termiņu - 01.09.2017.</t>
  </si>
  <si>
    <t>Kavēšanās notika nepareizās ieņēmumu izdevumu matricas aizpildīšanas dēļ.  Notiek ieņēmumu izdevumu matrias saskņošana ar Kultūras ministriju. Finanšu plūsmā izmaiņas nav plānotas.</t>
  </si>
  <si>
    <t>Novirze no termiņa, jo aizkavējās projekta atlases izsludināšana pašvaldībā. Dokumenti paralēli jau tiek gatavoti. Lielākā daļa jau sagatavota. Par ietekmi uz finanšu plūsmu informācija vēl tiks sniegta</t>
  </si>
  <si>
    <t>Ir bijis viens konkurss, bet daļai pretendentu pretī ir iesniegta sūdzība. Notiks izskatīšana. 2 skolās notiek projektēšanas piezīmju kārtošana. Ekspertīze vērtē. Par ietekmi uz finanšu plūsmu vēl precizēs.</t>
  </si>
  <si>
    <t>mēnesis</t>
  </si>
  <si>
    <t>jūlijs</t>
  </si>
  <si>
    <t>Plānoti</t>
  </si>
  <si>
    <t xml:space="preserve">iesniegti </t>
  </si>
  <si>
    <t>neiesniegti</t>
  </si>
  <si>
    <t xml:space="preserve">Iesniegti </t>
  </si>
  <si>
    <t>iesniegti pirms termiņa</t>
  </si>
  <si>
    <t>iesniegti termiņā</t>
  </si>
  <si>
    <t>iesniegti ar kavējumu</t>
  </si>
  <si>
    <t>augusts</t>
  </si>
  <si>
    <t>Projektu iesniegumi</t>
  </si>
  <si>
    <t>aprīlis</t>
  </si>
  <si>
    <t>maijs</t>
  </si>
  <si>
    <t>jūnijs</t>
  </si>
  <si>
    <t>septembris</t>
  </si>
  <si>
    <t>oktobris</t>
  </si>
  <si>
    <t>novembris</t>
  </si>
  <si>
    <t>decembris</t>
  </si>
  <si>
    <t>Ints.Pelnis@fm.gov.lv</t>
  </si>
  <si>
    <t>Pelnis, 67095470</t>
  </si>
  <si>
    <t xml:space="preserve">Novirze no termiņa dēļ ilgāka iepirkuma procesa. </t>
  </si>
  <si>
    <t>Būvprojekta izstrāde ieilga. Darba izpilde vēl ir procesā. Finanšu plūsmā izmaiņas nav.</t>
  </si>
  <si>
    <t>Pašvaldība veic atkārtotu iepirkuma procedūru, pirmā tika pārtraukta. Nav ietekmes uz naudas plūsmu.</t>
  </si>
  <si>
    <t>Novirze no termiņiem radusies projektētāju dēļ. Projektētāju izstrādātais piedāvājums pašvaldībai nav bijis pieņemams un pašlaik projekts tiek pārstrādāts. Finanšu plūsmā izmaiņas neradīs.</t>
  </si>
  <si>
    <t>Notiek process, lai iesniegtu līdz 01.09.2017.</t>
  </si>
  <si>
    <t>Rundāles novada dome 05.07.2017. vēstulē CFLA lūdz pagarināt projektu iesniegšanas termiņu līdz 29.11.2017.  Ja nav būtiskas ietekmes uz naudas plūsmu šādi pieņemams.</t>
  </si>
  <si>
    <t>Problēmas ar vietējiem uzņēmumiem, kas iesniedza rezultātus. Daži vairs neatrodas konkrētajā teritorijā, citi skeptiski noskaņoti pret apliecinājuma parakstīšanu un dokumentu iesniegšanu. Informāciju par ietekmi uz finansiālo plūsmu iesniegs atsevišķi.</t>
  </si>
  <si>
    <t xml:space="preserve">Novirze no termiņiem radusies sakarā ar projektu vadītājas došanos pirmsdzemdību un bērna kopšanas atvaļinājumā un jaunas projektu vadītājas stāšanos darbā. Finanšu plūsmā izmaiņas - iepriekš visi izdevumi bija plānoti 2018.g., tagad tie sadalīti 2018. un 2019.g. </t>
  </si>
  <si>
    <t>Projekts iesniegts 22.08.2017.</t>
  </si>
  <si>
    <t xml:space="preserve"> Projekts ir iekļauts elites programmā, tāpēc Ieslodzījuma vietu pārvaldes, Probācijas dienesta, Prokuratūras un Tiesu administrācijas projekti tiks iesniegti vienlaikus.  Tā kā šī ir elites programma, bija jāorganizē vairākas tikšanās, lai visu iestāžu intereses un nepieciešamības saprastu un apkopotu.</t>
  </si>
  <si>
    <t xml:space="preserve">Nepieciešams saņemt būvatļauju projektā plānotajām darbībām, kā arī nav saskaņojuma ar attiecīgo pašvaldību, ka iesniegtais projekts atbilst spēkā esošam attiecīgās pašvaldības teritorijas plānojumā vai detālplānojumā noteiktajam funkcionālajam zonējumam. Būvprojekta minimālais sastāvs iesniegts būvvaldē 03.07.2017.,līdz ar to nav būvatļaujas, kas varētu būt pēc mēneša. </t>
  </si>
  <si>
    <t>Nepieciešams saņemt būvatļauju projektā plānotajām darbībām. Trūkst tehniskie noteikumi, nav būvprojekts minimālā sastāvā.</t>
  </si>
  <si>
    <t>Projekta iesnieguma sagatavošanā nācās piesaistīt ārpakalpojuma sniedzējus, jo pašvaldības speciālistem,  kapacitāte un zināšanas nav pietiekošas, lai šo dokumentu sagatavotu pietiekami kvalitatīvi. Tāpat ilgāku laiku prasījusi citas projekta iesnieguma pamatojošās dokumentācijas sagatavošana, saskaņošana un atzinumu saņemšana no iestādēm. Iepriekš plānotie 2017.gada izdevumi tiek pārcelti uz 2018.gadu.</t>
  </si>
  <si>
    <t>Saņemot uzaicinājumu, projekta iesniedzējs koncentrējies uz maksimālo projekta iesniegšanas termiņu t.i. 04.09.2017.  Daļa 2017.g. plānoto izdevumu augustā, septembrī un novembrī tiek pārcelti uz decembri, kā arī daļa uz 2018.gadu, t.i., 2017.g. izdevumu apjoms būs mazāks, bet 2018.g. palielināsies.</t>
  </si>
  <si>
    <t>Notiek process, lai iesniegtu līdz 01.09.2017.  Pašlaik ir izveidota padome, kura uzrauga procesu, izstrādātas darba grupas un attiecīgās institūcijas ir iesaistītas.</t>
  </si>
  <si>
    <t>Iepirkumā pieteikumi būtiski pārsniedza paredzēto finansējumu. Tiks izsludināts jauns iepirkums un meklēti citi tehniskie risinājumi.</t>
  </si>
  <si>
    <t xml:space="preserve">Jūlija beigās joprojām nav saņemts Nozares ekspertu padomes saskaņojums aprīkojuma iegādei. </t>
  </si>
  <si>
    <t xml:space="preserve">Projekta iesniegums tiek izstrādātas un projekts tiks īstenots partnerībā ar Jūrmalas pilsētas, Engures, Mērsraga un Rojas novada pašvaldībām. Līdz ar to  projekta pamatojošās dokumentācijas ( tai skaitā būvniecības izmaksu tāmes) sagatavošana ir laikietiplīga.  Projekta īstenošana sākas nākamajā gadā un turpinās līdz 2020.g. (ieskaitot), kā tas paredzēts finanšu plūsmā, līdz ar to finansiālas ietekmes nav. </t>
  </si>
  <si>
    <t>Atlase izsludināta, iesniegšanas termiņš ir līdz 30.08.2017</t>
  </si>
  <si>
    <t xml:space="preserve">Norit iepirkumu procesi un citi darbi. Projekta iesnieguma plānotais iesniegšanas termiņš tiek kavēts, ņemot vērā MK noteikumu grozījumu spēkā stāšanos 02.06.2017. </t>
  </si>
  <si>
    <t>Projekta pavadošās dokumentācijas izstrāde, tai skaitā, MK rīkojuma projektu anotācijās iekļaujamās un precizējamās informācijas sagatavošana un sadarbības apliecinājumu saskaņošana ar projektu partneriem, ir laikietilpīgāka nekā sākotnēji tika plānots.  2017.g. plānotie izdevumi 252 516 euro apmērā pārceļas uz nāmakajiem gadiem. 2018.g. plānotie izdevumi samazinās par 111 551  euro, 2019.g. par 40 256 euro, bet 2020. gadā palielinās par 404 323 euro.  28.08.2017. proejts ievadīts KP VIS sistēmā.</t>
  </si>
  <si>
    <t>Projekts ir gandrīz gatavs, tiek strādāts pie projekta iesnieguma finanšu daļas. Pirms projekta iesniegšanas to prezentēs domes deputātiem 21.09.2017. Nav ietekmes uz naudas plūsmu.</t>
  </si>
  <si>
    <t xml:space="preserve">Metodikas izmaiņu dēļ radusies novirze no termiņiem - jāmaina informācija dokumentos.  </t>
  </si>
  <si>
    <t xml:space="preserve">Projektam tika piešķirts papildus finansējums, līdz ar to jāprecizē projekts - gan detalizētais apraksts, gan projekta iesniegums, gan MK rīkojumu projekts. </t>
  </si>
  <si>
    <t>Vides aizsardzības un reģionālās attīstības ministrijas apstiprinājums tika saņemts tikai jūlija sākumā. Projekta apraksta sagatavošana problēmas nav radījusi.</t>
  </si>
  <si>
    <t xml:space="preserve">Iesniedzējs pārplāno iespējas un orientējas uz maksimālo nolikumos noteikto termiņu visos projektos. </t>
  </si>
  <si>
    <t>Objektu būvprojektu izstrāde ieilga. Nnotiek aktīvs darbs pie tehnisko projektu dokumentācijas izstrādes.</t>
  </si>
  <si>
    <t>Tiek gaidīts aktualizēts tehniskais projekts. Pārejā projekta dokumentācija  ir sagatavota - pieteikums, izmaksu ieguvumu analīze, budžets sagatavots. Par ietekmi uz finansiālo plūsmu informēs tuvākajā laikā.</t>
  </si>
  <si>
    <t xml:space="preserve">Būvprojekta izstrāde nav pabeigta līgumā noteiktajā termiņā. </t>
  </si>
  <si>
    <t>Aaizkavējās projekta atlases izsludināšana pašvaldībā. Nerada ietekmi uz finanšu plūsmu.</t>
  </si>
  <si>
    <t>Kavējas projektēšanas  darbu uzsākšana ( meklējot efektīvākos risinājumus elektroenerģijas nodrošinšanai). Finanšu plūsmā varētu būt izmaiņas, tiks precizēts.</t>
  </si>
  <si>
    <t xml:space="preserve">Ņemot vērā iesaistīto sadarbības partneru skaitu, nepieciešams ilgāks laiks informācijas apkopošanai, projekta iesnieguma veidlapas un izmaksu – ieguvumu analīzes sagatavošanai, nekā tas sākotnēji tika paredzēts. Sagatavošanas darbu apjoms ir lielāks un līdz ar to arī savstarpējais saskaņošanas process ir laikietilpīgāks nekā gadījumos, kad projektu īsteno tikai projekta iesniedzējs.  </t>
  </si>
  <si>
    <t xml:space="preserve">Aizkavēšanās projektētāju dēļ saistībā ar tehnisko dokumentāciju. </t>
  </si>
  <si>
    <t>Notiek darbs pie projekta iesnieguma pamatojošās dokumentācijas, tai skaita pielikumu sagatavošanas.</t>
  </si>
  <si>
    <t>Liepājas ostas ūdens infrastruktūras uzlabošana</t>
  </si>
  <si>
    <t>Projekta pieteikuma iesniegšanai un tā veiksmīgai apstiprināšanai nepieciešams pieteikumam pievienot Būvvaldes apstiprinātus būvprojektus. Projekta ietvaros izbūvējamiem objektiem izstrādātie būvprojekti ir iesniegti Būvvaldē uz apstiprināšanu.
Tuvākajā laikā projektam tiks aktualizēta arī naudas plūsma, tādēļ koriģēts projektu saraksts tiks nosūtīts vēlreiz, līdzko Rīgas dome pašvaldība apstiprinās jauno naudas plūsmu projektam.</t>
  </si>
  <si>
    <t>Projektu iesniegumu atlases izsludināšana  ir aizkavējusies, ieilgušās nolikuma saskaņošanas procedūras dēļ (uzsākta 11.04.2017. (ar plānoto projektu iesniegumu atlases uzsākšanu datumu 02.06.2017., bet bija nepieciešami būtiski uzlabojumi dokumentācijā un saskaņojumi no Finanšu ministrijas un Izglītības un zinātnes ministrijas saņemti tikai augustā.  Prognozētie  maksājumi  tiek  pārcelti  par mēnesi uz priekšu.</t>
  </si>
  <si>
    <t>Projekta iesniedzējs plāno projektu iesniegt līdz septembrim.</t>
  </si>
  <si>
    <t xml:space="preserve">Ilūkstes novada domei nepieciešams termiņa pagarinājums tehniskā projekta izstrādei papildus iekļaujamajai darbībai </t>
  </si>
  <si>
    <t>Daugavpils dome 27.07.2017. vēstulē Nr. 1.6.-3.1/25  informē Finanšu ministriju, ka lielākai daļai būvprojektu izpildes termiņi ir kavēti un, lai sekmētu projektu iesniegumu kvalitatīvāku sagatavošanu, lūdz atlases iesniegšanas termiņa pagarināšanu līdz 25.01.2018.  Neietekmēs projekta iesniedzēja plānoto finanšu plūsmu.</t>
  </si>
  <si>
    <t>Pēc konsultācijām ar Eiropas Komisiju (EK) tikai jūlija beigās saņemta EK informācija par Izmaksu/ieguvumu analīzē aptveramo laika periodu. Pēc projekta iesniedzēja lūguma pagarināts  iesniegšanas termiņš. Neietekmēs projekta iesniedzēja plānoto finanšu plūsmu.</t>
  </si>
  <si>
    <t xml:space="preserve">3. pielikums
Informatīvajam ziņojumam “Informatīvais ziņojums par Eiropas Savienības struktūrfondu un Kohēzijas fonda investīciju ieviešanas statusu” </t>
  </si>
  <si>
    <t xml:space="preserve"> Projekts iesniegts 22.08.2017.</t>
  </si>
  <si>
    <t>Ieilga objektu būvprojektu izstrāde un izmaksu ieguvumu analīzes un finanšu analīzes sagatvošana.</t>
  </si>
  <si>
    <t xml:space="preserve">Krāslavas pašvaldība vēl nav saņēmusi atzinumu par projekta idejas apstiprināšanu. Projekta ideja tika apstiprināta Izglītības un zinātnes ministrijā, un apstiprināšana Reģionālās attīstības un koordinācijas padomē plānota augusta beigās. Pēc apstiprināšanas projeta iesnieguma iesniegšanas termiņš 2- 3 mēnešu laikā. Ir ietekme uz naudas plūsmu. 2017.g. plānoti par 650 000 euro mazāki izdevumi nekā prognozēts. </t>
  </si>
  <si>
    <t>Darbaspēka piedāvājuma un pieprasījuma prognozēšanas un monitoringa sistēmas izveide</t>
  </si>
  <si>
    <t>Neatliekamās medicīniskās palīdzības dienests</t>
  </si>
  <si>
    <t>Vienotās neatliekamās medicīniskās palīdzības un katastrofu medicīnas vadības informācijas sistēmas attīstība (1.kārta)</t>
  </si>
  <si>
    <t>Infrastruktūras sakārtošana uzņēmējdarbības attīstībai Gulbenes pilsētā</t>
  </si>
  <si>
    <t>Apes  novada pašvaldība</t>
  </si>
  <si>
    <t>Uzņēmējdarbības attīstībai nepieciešamās infrastruktūras nodrošināšana Apes novada Apes pagastā</t>
  </si>
  <si>
    <t>Uzņēmējdarbības attīstībai nepieciešamās infrastruktūras nodrošināšana Apes novada Gaujienas un Virešu pagastos</t>
  </si>
  <si>
    <t>Teritorijas Klapukrogā publiskās infrastruktūras attīstība</t>
  </si>
  <si>
    <t>Uzņēmējdarbības attīstībai nepieciešamās infrastruktūras attīstība Carnikavas novada Garciemā</t>
  </si>
  <si>
    <t>Jēkabpils novada pašvaldība</t>
  </si>
  <si>
    <t>Lielvārdes novada pašvaldība</t>
  </si>
  <si>
    <t>Uzņēmējdarbības attīstībai nepieciešamās publiskās infrastruktūras izveide Lielvārdes novada Lēdmanes pagastā</t>
  </si>
  <si>
    <t>Uzņēmējdarbībai nozīmīgas infrastruktūras attīstība Lielvārdes novada Lēdmanes pagastā</t>
  </si>
  <si>
    <t>Olaines novada pašvaldība</t>
  </si>
  <si>
    <t>Infrastruktūras uzlabošana uzņēmējdarbības attīstībai Rūpnīcu ielā, Olaines novadā</t>
  </si>
  <si>
    <t>Energoefektivitātes paaugstināšana Daugavpils pilsētas pašvaldības ēkās 18.novembra ielā 354A, Daugavpilī</t>
  </si>
  <si>
    <t>Energoefektivitātes paaugstināšana Daugavpils pilsētas speciālā pirmsskolas izglītības iestādē Nr.2 - Mihoelsa ielā 4, Daugavpilī</t>
  </si>
  <si>
    <t>Energoefektivitātes paaugstināšana Daugavpils pilsētas pirmsskolas izglītības iestādē Nr.28 - Liepājas ielā 37, Daugavpilī</t>
  </si>
  <si>
    <t>Energoefektivitātes paaugstināšana Daugavpils pilsētas izglītības iestādē Tautas ielā 7, Daugavpilī</t>
  </si>
  <si>
    <t>Kompleksi risinājumi energoefektivitātes paaugstināšanai Veselības centra "Ilūkste" jaunajā korpusā</t>
  </si>
  <si>
    <t>Pašvaldības administratīvās ēkas energoefektivitātes paaugstināšana</t>
  </si>
  <si>
    <t>VTU Valmiera, SIA</t>
  </si>
  <si>
    <t>Deviņu jaunu videi draudzīgāku sabiedriskā transprta transportlīdzekļu (autobusi) iegāde</t>
  </si>
  <si>
    <t>Būnas izbūve Baltijas jūrā</t>
  </si>
  <si>
    <t>Valsts nozīmes ūdensnotekas Durbe,  ŪSIK kods 3546:01, pik. 448/16-573/26 atjaunošana Tadaiķu un Dunalkas pagastā, Durbes novadā</t>
  </si>
  <si>
    <t>Kuldīgas novada dome</t>
  </si>
  <si>
    <t>Jēkaba ceļa kultūras mantojuma un mākslas jaunrades magnēti (projekta idejas nosaukums)</t>
  </si>
  <si>
    <t xml:space="preserve"> Jēkabpils pilsētas dome</t>
  </si>
  <si>
    <t>Kultūras mantojuma saglabāšana un attīstība Daugavas ceļā (projekta idejas nosaukums)</t>
  </si>
  <si>
    <t>Daugavpils pilsētas Križu rūpnieciskās teritorijas publiskās infrastruktūras attīstība</t>
  </si>
  <si>
    <t>Ražošanai nozīmīgas publiskās infrastruktūras sakārtošana Spaļu ielā, Ziemeļu rūpnieciskajā zonā</t>
  </si>
  <si>
    <t>Daugavpils pilsētas Ziemeļu rūpnieciskās zonas publiskās infrastruktūras attīstība II kārta</t>
  </si>
  <si>
    <t>Industriālās teritorijas attīstība revitalizējot īpašumus Balvu novadā</t>
  </si>
  <si>
    <t>Degradētās teritorijas revitalizācija Limbažu pilsētas ZA daļā, izbūvējot ražošanas telpas</t>
  </si>
  <si>
    <t>Degradētās teritorijas revitalizācija Limbažu pagastā, uzlabojot pieejamību</t>
  </si>
  <si>
    <t>Lādezera ciemata revitalizācija</t>
  </si>
  <si>
    <t>Saldus novada pašvaldība</t>
  </si>
  <si>
    <t>Saldus sabiedriskā un vēsturiskā centra revitalizācija uzņēmējdarbības attīstībai.</t>
  </si>
  <si>
    <t>Uzņēmējdarbības vides attīstība Saldus pilsētas Dienvidu daļā, pārbūvējot publisko infrastruktūru</t>
  </si>
  <si>
    <t>Uzņēmējdarbības vides attīstība Saldus pilsētas Ziemeļu daļā, pārbūvējot publisko infrastruktūru</t>
  </si>
  <si>
    <t>Smiltenes novada pašvaldība</t>
  </si>
  <si>
    <t>Autoceļa posma  Smiltene-Rauziņa  infrastruktūras rekonstrukcija uzņēmējdarbības vides uzlabošanai</t>
  </si>
  <si>
    <t xml:space="preserve">Daugavpils pilsētas degradēto objektu revitalizācija uzņēmējdarbības veicināšanai </t>
  </si>
  <si>
    <t>Alūksnes novada vispārējās izglītības iestāžu mācību vides uzlabošana</t>
  </si>
  <si>
    <t>Limbažu pašvaldība</t>
  </si>
  <si>
    <t>Preiļu novada pašvaldība</t>
  </si>
  <si>
    <t>Preiļu novada vispārējās izglītības iestāžu mācību vides uzlabošana un modernizēšana</t>
  </si>
  <si>
    <t xml:space="preserve">Nacionālajai Mākslu vidusskola </t>
  </si>
  <si>
    <t>Uzņēmējdarbības attīstībai nepieciešamās infrastruktūras attīstība Jēkabpils novada Kalna pagastā</t>
  </si>
  <si>
    <t>Engures novada dome</t>
  </si>
  <si>
    <t>Engures novada Smārdes pagasta sociālās mājas energoefektivitātes paaugstināšana</t>
  </si>
  <si>
    <t>Jaunjelgavas novada dome</t>
  </si>
  <si>
    <t>Energoefektivitātes paaugstināšana Jaunjelgavas novada ēkā.</t>
  </si>
  <si>
    <t>LVDC tīkls, drošības platforma un LVDC "koplietošanas daļa"</t>
  </si>
  <si>
    <t>IeM Informācijas centrs</t>
  </si>
  <si>
    <t>Vienota kontaktu centra platforma operatīvo dienestu darba atbalstam un publisko pakalpojumu piegādei</t>
  </si>
  <si>
    <t xml:space="preserve">Loģiski vienotais datu centrs </t>
  </si>
  <si>
    <t>Veselības ministrijas un padotības iestāžu IKT centralizācijas atbalsts</t>
  </si>
  <si>
    <t>Nacionālais veselības dienests</t>
  </si>
  <si>
    <t>Veselības nozares informācijas sistēmu (reģistri) modernizācija, attīstība un  integrācija ar e-veselības informācijas sistēmu</t>
  </si>
  <si>
    <t>Vienotās veselības nozares elektroniskās informācijas sistēmas tālāka pilnveidošana, sasaistot to ar personas identifikāciju</t>
  </si>
  <si>
    <t>Limbažu novada ģimnāzijas mācību vides uzlabošana</t>
  </si>
  <si>
    <t>a</t>
  </si>
  <si>
    <t>b</t>
  </si>
  <si>
    <t>c</t>
  </si>
  <si>
    <t>d</t>
  </si>
  <si>
    <t>Ventspils digitālais centrs</t>
  </si>
  <si>
    <t>Koplietošanas IKT resursu attīstība pašvaldību vajadzībām</t>
  </si>
  <si>
    <t>Uzņēmējdarbības atbalsta infrastruktūras attīstība Engures novadā</t>
  </si>
  <si>
    <t>Inčukalna novada dome</t>
  </si>
  <si>
    <t>Infrastruktūras attīstība Inčukalna novadā, veicot ieguldījumus komercdarbības attīstībai</t>
  </si>
  <si>
    <t>Alsungas novada dome</t>
  </si>
  <si>
    <t>Uzņēmējdarbības attīstībai nepieciešamās infrastruktūras pārbūve Alsungas novadā</t>
  </si>
  <si>
    <t>Transporta infrastruktūras attīstība Talsu pilsētā</t>
  </si>
  <si>
    <t>Uzņēmējdarbības attīstībai nepieciešamās infrastruktūras attīstība Ventspils novada Popes pagastā</t>
  </si>
  <si>
    <t>Uzņēmējdarbības attīstībai nepieciešamās infrastruktūras sakārtošana Smiltenes pilsētā</t>
  </si>
  <si>
    <t>Preiļu novada uzņēmējdarbības vides attīstība</t>
  </si>
  <si>
    <t>Investīcijas uzņēmējdarbības dažādošanai un konkurētspējas uzlabošanai Balvu novadā.</t>
  </si>
  <si>
    <t>Transporta infrastruktūras attīstība Ludzas pilsētā</t>
  </si>
  <si>
    <t>Valsts vides dienesta informācijas sistēmas “TULPE” pilnveide</t>
  </si>
  <si>
    <t>Madonas novada pašvaldība</t>
  </si>
  <si>
    <t>Ielu pārbūve un maģistrālās siltumtrases un ūdens un kanalizācijas vadu izbūve Madonā, izbūvējot piekļuves ceļu un nodrošinot sabiedriskos pakalpojumus uzņēmumiem</t>
  </si>
  <si>
    <t>Dobeles pašvaldība</t>
  </si>
  <si>
    <t>Dobeles novada vispārējās izglītības iestāžu mācību vides uzlabošana</t>
  </si>
  <si>
    <t>"Vispārējās izglītības iestāžu mācību vides uzlabošana Madonas novadā"</t>
  </si>
  <si>
    <t>Ārstniecības un ārstniecības atbalsta personu pieejamības uzlabošana ārpus Rīgas</t>
  </si>
  <si>
    <t>Jūlija MK ziņojumā precizētais termiņš</t>
  </si>
  <si>
    <t>Radās novirzes no termiņa, jo bija grūtības ar ieguvumu izdevumu analīzes sagatavošanu. Visdrīzāk ietekme uz naudas plūsmu nebūs, jo būvdarbu līgums jau ir noslēgts.</t>
  </si>
  <si>
    <t>Valsts sociālās aprūpes centrs „Rīga”</t>
  </si>
  <si>
    <t>„Energoefektivitātes paaugstināšanas pasākumu īstenošana Valsts sociālās aprūpes centra „Rīga” filiāles “Baldone” ēkai Mežvidu ielā 17, Baldonē, Baldones novadā”</t>
  </si>
  <si>
    <t>Energoefektivitātes paaugstināšanas pasākumu īstenošana Valsts sociālās aprūpes centra „Rīga” filiāles “Jugla” ēkai Pāles ielā 12, Rīgā</t>
  </si>
  <si>
    <t>Precizētais termiņš vēl nav iestājies</t>
  </si>
  <si>
    <t xml:space="preserve">30.09.2017
</t>
  </si>
  <si>
    <t>2018.g.</t>
  </si>
  <si>
    <t>30.09.2017 (31.10.2017)</t>
  </si>
  <si>
    <t>29.11.2017.</t>
  </si>
  <si>
    <t>Projekta iesniedzējs plāno projektu iesniegt līdz septembra beigām.</t>
  </si>
  <si>
    <t>Projekta iesnieguma sagatavošana aizkavējusies saistībā ar būvprojekta izstrādi. Izmaiņas finanšu plūsmā - visi izdevumi pārcelti uz 2018.gadu.</t>
  </si>
  <si>
    <t>Projekta iesnieguma sagatavošana aizkavējusies saistībā ar to, ka būvprojekta izstrāde nav pabeigta līgumā noteiktajā termiņā. Ietekmi uz finanšu plūsmu neradīs.</t>
  </si>
  <si>
    <t>Projekta iesnieguma sagatavošana aizkavējusies saistībā ar būvprojekta izstrādi. Ir ietekme uz finanšu plūsmu - visi izdevumi pārcelti uz 2018.gadu.</t>
  </si>
  <si>
    <t>Projekta iesnieguma sagatavošana aizkavējusies saistībā ar to, ka nav veikts iepirkums būvdarbiem. Ir ietekme uz naudas plūsmu. Iepriekš plānotie 2017.g. izdevumi tiek pārcelti uz 2018.g., t.i., izdevumu apjoms 2018.g. palielinās.</t>
  </si>
  <si>
    <t>Projekta iesnieguma sagatavošana aizkavējusies saistībā ar to, ka pašvaldība veic atkārtotu iepirkuma procedūru, jo pirmā tika pārtraukta. Īstenošana notiks nākamajā gadā - kas atbilst iepriekš plānotajai finanšu plūsmai.</t>
  </si>
  <si>
    <t>Projekta iesnieguma sagatavošana aizkavējusies,  jo tika pārtraukta iepirkuma procedūra par ēkas pārbūvi. Šobrīd ir izsludināts atkārtots iepirkums par būvniecību un projekta pieteikumu plānots iesniegt, tiklīdz būs noslēgts iepirkuma līgums par būvniecību. Izmaiņas finanšu plūsmā - daļa 2017.gada izdevumu pārcelti uz 2018.gadu.</t>
  </si>
  <si>
    <t>Projekta iesnieguma sagatavošana aizkavējusies, jo notiek būvprojekta izstrāde. Nav ietekmes uz naudas plūsmu.</t>
  </si>
  <si>
    <t xml:space="preserve">Projekta iesnieguma sagatavošana aizkavējusies projekta vadības personāla noslogotības dēļ. Ir ietekme uz naudas plūsmu. Iepriekš plānotie 2017.g. izdevumi tiek pārcelti uz 2018.g., t.i., izdevumu apjoms 2018.g. palielinās. </t>
  </si>
  <si>
    <t>Projekta iesnieguma sagatavošana aizkavējusies saistībā ar to, ka pakalpojuma sniedzējs kavē būvniecības ieceres dokumentu izstrādes termiņu. Nav ietekmes uz naudas plūsmu.</t>
  </si>
  <si>
    <t>Projekta iesnieguma sagatavošana aizkavējusies, jo tehniskās dokumentācijas izstrādātājs kavēja līgumā noteiktos termiņus. Šobrīd tā ir saņemta un projekta iesniegums tiks iesniegts līdz oktobra beigām. Izmaiņas finanšu plūsmā - visas izmaksas pārceltas uz 2018.gadu.</t>
  </si>
  <si>
    <t>31.01.2018.</t>
  </si>
  <si>
    <t>Projekta iesnieguma sagatavošana aizkavējusies, jo šobrīd notiek būvprojekta izstrāde. Pašvaldība plāno iesniegt projekta iesniegumu 2017.gada novembrī un kopā ar projekta iesniegumu plāno iesniegt būvvaldē akceptētu būvprojektu kultūras nama pārbūvei.</t>
  </si>
  <si>
    <t>Projekta iesnieguma sagatavošana aizkavējusies, jo ir nepieciešams ilgāks laika posms gan projekta pieteikuma un tā pielikumu, gan iepirkuma tehniskās specifikācijas kvalitatīvai sagatavošanai, ņemot vērā, projekta ietvaros plānoto sabiedriskā transporta transportlīdzekļu iegādes tehnisko sarežģītību.  Nav ietekmes uz finanšu plūsmu.</t>
  </si>
  <si>
    <r>
      <t xml:space="preserve">Projekts tiks iesniegts pēc Liepājas pilsētas domes lēmuma par projekta īstenošanu (Domes sēde plānota 14.09.2017.)  </t>
    </r>
    <r>
      <rPr>
        <sz val="10"/>
        <color theme="1"/>
        <rFont val="Times New Roman"/>
        <family val="1"/>
        <charset val="186"/>
      </rPr>
      <t>Ir ietekme uz finanšu plūsmu - 2019.gadā paredzētie izdevumi tiek pārdalīti starp 2019. un 2020. gadu.</t>
    </r>
  </si>
  <si>
    <t>Projekta iesnieguma sagatavošana aizkavējusies saistībā ar to, ka projekta partneri identificējuši neskaidrības par projekta darbībām, līdz ar to tiek kavēta informācijas sniegšana projekta iesniedzējam. Paralēli vēl tiek papildināts un gatavots projekta iesniegums. Nav ietekmes uz finanšu plūsmu.</t>
  </si>
  <si>
    <t>30.09.2017.</t>
  </si>
  <si>
    <t>Projekta iesnieguma sagatavošana aizkavējusies saistībā ar to, ka projekta iesniegums tiek izstrādātas un projekts tiks īstenots partnerībā ar Jūrmalas pilsētas, Engures, Mērsraga un Rojas novada pašvaldībām. Līdz ar to  projekta pamatojošās dokumentācijas (tai skaitā būvniecības izmaksu tāmes) sagatavošana ir laikietiplīga.  Projekta īstenošana sākas nākamajā gadā un turpinās līdz 2020.g. (ieskaitot). Nav ietekmes uz finanšu plūsmu.</t>
  </si>
  <si>
    <t>Projekta iesnieguma sagatavošana aizkavējusies saistībā ar būvprojekta izstrādi. Tehnisko projektu dokumentācija vēl ir izstrādē.</t>
  </si>
  <si>
    <t xml:space="preserve">Projekta iesnieguma  sagatavošana aizkavējusies saistībā ar to, ka Balvu novada pašvaldība orientējās uz maksimālo iesniegšanas termiņu - līdz 25.09.2017.
</t>
  </si>
  <si>
    <t>Projekta iesnieguma sagatavošana aizkavējusies saistībā ar projekta iesniedzēja cilvēkresursu kapacitātes trūkumu. Nav ietekmes uz finanšu plūsmu.</t>
  </si>
  <si>
    <t xml:space="preserve">Projekta iesnieguma sagatavošana aizkavējusies saistībā ar to, ka projekta pieteikuma iesniegšanai un tā veiksmīgai apstiprināšanai nepieciešams pieteikumam pievienot Būvvaldes apstiprinātus būvprojektus. Projekta ietvaros izbūvējamiem objektiem izstrādātie būvprojekti ir iesniegti Būvvaldē uz apstiprināšanu.
</t>
  </si>
  <si>
    <r>
      <t xml:space="preserve">Projekta iesnieguma sagatavošana aizkavējusies saistībā ar to, ka tika konstatētas  kļūdas izstrādātajos pievienojamos dokumentos. Pašlaik notiek darbs pie projekta iesnieguma pamatojošās dokumentācijas, tai skaita pielikumu sagatavošanas. </t>
    </r>
    <r>
      <rPr>
        <sz val="10"/>
        <color rgb="FFFF0000"/>
        <rFont val="Times New Roman"/>
        <family val="1"/>
        <charset val="186"/>
      </rPr>
      <t xml:space="preserve"> </t>
    </r>
    <r>
      <rPr>
        <sz val="10"/>
        <color theme="1"/>
        <rFont val="Times New Roman"/>
        <family val="1"/>
        <charset val="186"/>
      </rPr>
      <t>Nav ietekmes uz finanšu plūsmu.</t>
    </r>
  </si>
  <si>
    <t>Projekta iesnieguma sagatavošana aizkavējusies saistībā ar tehniskās dokumentācijas izstrādi.</t>
  </si>
  <si>
    <t xml:space="preserve">Projekta iesnieguma sagatavošana aizkavējusies saistībā ar to, ka projektu iesniegumu atlases izsludināšana 8.1.2. SAM ietvaros ir aizkavējusies, ieilgušās nolikuma saskaņošanas procedūras dēļ (uzsākta 11.04.2017.) ar plānoto projektu iesniegumu atlases uzsākšanu datumu 02.06.2017., bet saskaņojumi no Finanšu ministrijas un Izglītības un zinātnes ministrijas saņemti tikai augustā.  Ir ieteikme uz naudas plūsmu - sākotnēji prognozētie  maksājumi  tiek  pārcelti  par mēnesi uz priekšu. </t>
  </si>
  <si>
    <t xml:space="preserve">Projekta iesnieguma sagatavošana aizkavējusies saistībā ar to, ka MK noteikumu grozījumi stājās spēkā tikai 02.06.2017. Norit iepirkumu procesi. </t>
  </si>
  <si>
    <t xml:space="preserve">Projekts ir sagatavots iesniegšanai. Tas  tiks iesniegts tikko kā tiks saņemts Valsts nekustamo īpašumu apliecinājums par veicamajām izmaiņām Nacionālās Mākslu vidusskolas īpašumu apsaimniekošanas un lietošanas līgumos. Ir ietekme uz finanšu plūsmu.
</t>
  </si>
  <si>
    <t>Projekta iesnieguma sagatavošana aizkavējusies saistībā ar to, ka tikai jūlija beigās tika saņemta informācija no Eiropas Komisijas par izmaksu/ieguvumu analīzē aptveramo laika periodu. Pēc projekta iesniedzēja lūguma pagarināts  iesniegšanas termiņš. Nav ietekmes uz finanšu plūsmu. Projekta apstiprināšana un līguma slēgšana plānota 2018. gada II ceturksnī.</t>
  </si>
  <si>
    <r>
      <t>Projekta iesnieguma sagatavošana ir aizkavējusies, saistībā ar to, ka tiek aktualizēts tehniskais projekts. Pārejā projekta dokumentācija - pieteikums, izmaksu ieguvumu analīze, budžets ir sagatavota.</t>
    </r>
    <r>
      <rPr>
        <sz val="10"/>
        <rFont val="Times New Roman"/>
        <family val="1"/>
        <charset val="186"/>
      </rPr>
      <t xml:space="preserve"> Ir ietekme uz finanšu plūsmu - lielākā daļa izmaksu pārceltas uz 2018.gadu.</t>
    </r>
  </si>
  <si>
    <t>Projekta iesnieguma sagatavošana aizkavējusies, jo iepirkuma piedāvājumi būtiski pārsniedza paredzēto finansējumu. Tiks izsludināts jauns iepirkums un meklēti citi tehniskie risinājumi.</t>
  </si>
  <si>
    <t>Projekta iesnieguma iesniegšana kavēta īpašumtiesību sakārtošanas procesa dēļ.   Uz šo brīdi ēkas būvprojekts ir izstrādāts, būvekspertīze ir veikta, tiek plānots sludināt būvniecības darbu konkursu, lai redzētu reālās izmaksas. Ceļu būvprojekti arī ir izstrādāti un iesniegti Būvvaldei atzīmes par projektēšanas nosacījumu izpildi veikšanai. Izmaiņas naudas plūsmā - 2017.gadā plānotie izdevumi tiek pārlikti uz nākamajiem gadiem.</t>
  </si>
  <si>
    <t xml:space="preserve">Projekta iesnieguma sagatavošana aizkavējusies, jo pašvaldībai nav būvatļaujas, kurā būtu atzīme par projektēšanas nosacījumu izpildi. Alūksnes novada pašvaldība ir paredzējusi projekta ietvaros veikt ne tikai projektā attiecināmās darbības, bet arī papildus darbus, kas nepieciešami skolu ēku kopējā tehniskā stāvokļa uzlabošanai un dienestu prasību nodrošināšanai, šim mērķim paredzot arī ievērojamu pašvaldības līdzfinansējumu – līdz 40% no attiecināmajām izmaksām. Lai realizētu iecerētos darbus, katrai ēkai nepieciešama būvprojekta izstrāde un tā ekspertīzes veikšana. Būvprojekta izstrādātājs ievērojami kavē līgumā noteiktos termiņus un kopš š.g. jūnija sākuma nav veicis būvprojekta ekspertīzē konstatēto kļūdu novēršanu. </t>
  </si>
  <si>
    <t>Projektu iesniedzēju skaidrojumi aprīļa  MK ziņojumā</t>
  </si>
  <si>
    <t>Projektu iesniedzēju skaidrojumi maija MK ziņojumā</t>
  </si>
  <si>
    <t>Projektu iesniedzēju skaidrojumi jūnija MK ziņojumā</t>
  </si>
  <si>
    <t>Projektu iesniedzēju skaidrojumi  jūlija MK ziņojumā</t>
  </si>
  <si>
    <t>Projektu iesniedzēju skaidrojumi augusta MK ziņojumā</t>
  </si>
  <si>
    <t xml:space="preserve">Projekta iesniegums aizkavējies, jo Valsts vides dienests pieprasīja papildus sertificēta zālāju eksperta atzinumu, kas saņemts 26.07.2017.,  un  31.07.2017. projekta iesniedzējs ir iesniedzis visus nepieciešamos dokumentus tehnisko noteikumu saņemšanai. 
</t>
  </si>
  <si>
    <t xml:space="preserve">Projekta iesniegums aizkavējies, jo Jelgavas novada būvvalde pieprasa papildus informāciju par topogrāfiju apbūves teritorijās, informācija tiek gatavota.
</t>
  </si>
  <si>
    <t xml:space="preserve">Projekta iesniegums aizkavējies, jo veicot inženierizpēti tika konstatēts ievērojami lielāks izpildāmo darbu apjoms un aizkavējās būvprojekta minimālā sastāvā izstrāde   un būvatļaujas saņemšana. Darbus kavēja arī augstais ūdenslīmenis ūdensnotekā   un projekta skaņošana ar zemes īpašniekiem. Ir ietekme uz finanšu plūsmu, un projekta īstenošanas laiks pagarināts līdz 2019.gadam. </t>
  </si>
  <si>
    <t xml:space="preserve">Projekta iesniegums aizkavējies, jo projektēšanas iepirkums izludināts atkārtoti, jo  finanšu piedāvājumi pārsniedza plānoto budžeta summu, kā arī kavējās būvprojekta izstrāde un īpašumtiesību sakārtošana.
Pašvaldība papildus veica būvprojekta izstrādi dzelzceļa posma atjaunošanai. Šim projektam nepieciešams triju būvprojektu saskaņošana. Ir ietekme uz finanšu plūsmu - 2017.gadā plānotie izdevumi tiek pārcelti uz nākamajiem gadiem. 
 </t>
  </si>
  <si>
    <t xml:space="preserve">Projekta iesniegums aizkavējies, jo projektam ir problēmas ar iznākuma rādītāju nodrošināšanu.
Līdz septembra beigām Daugavpils domes sēdē tiek plānots aktualizēt un apstiprināt attīstības programmas investīciju plānu atbilstoši veiktajām izmaiņām.
</t>
  </si>
  <si>
    <t>Projekta iesniegums kavēts īpašumtiesību sakārtošanas dēļ.   Uz šo brīdi ēkas būvprojekts ir izstrādāts un tiek plānots sludināt būvniecības darbu konkursu. Ceļu būvprojekti  izstrādāti un iesniegti Būvvaldei atzīmes par projektēšanas nosacījumu izpildi veikšanai. Izmaiņas naudas plūsmā - 2017.gadā plānotie izdevumi tiek pārlikti uz nākamajiem gadiem.</t>
  </si>
  <si>
    <t xml:space="preserve">Projekta iesniegums aizkavējies, jo kavējas projektēšanas darbu uzsākšana (meklējot efektīvākos risinājumus elektroenerģijas nodrošināšanai). </t>
  </si>
  <si>
    <t>Projekta iesniegums aizkavējies, jo pašvaldība orientējās uz atlases noslēguma datumu. Tehniskais projekts izstrādē.</t>
  </si>
  <si>
    <t xml:space="preserve">Projekta iesniegums aizkavējies, jo pašvaldība orientējās uz atlases noslēguma datumu. </t>
  </si>
  <si>
    <t xml:space="preserve">Projekta iesniegums aizkavējies iesniedzēja cilvēkresursu kapacitātes trūkuma dēļ. Tehniskais projekts saņemts un sagatvota izmaksu ieguvumu analīze, izsludināti 2 iepirkumi. </t>
  </si>
  <si>
    <t>Projekta iesniegums aizkavējies, jo pakalpojuma sniedzējs kavē būvprojekta izstrādes termiņu. Nav ietekmes uz finanšu plūsmu.</t>
  </si>
  <si>
    <r>
      <t>Projekta iesniegums aizkavējies, jo būvniecības iepirkuma cenu piedāvājums ievērojami pārsniedza Limbažu novada pašvaldības investīciju plānā plānoto. Kā arī   pašvaldība jau ir uzsākusi vairāku ES fondu  projektus, un pašvaldības administratīvā kapacitāte nav pietiekama, lai operatīvi veiktu nepieciešamos pasākumus, lai  iesniegtu projekta iesniegumu plānotajā laikā.</t>
    </r>
    <r>
      <rPr>
        <sz val="10"/>
        <color rgb="FFFF0000"/>
        <rFont val="Times New Roman"/>
        <family val="1"/>
        <charset val="186"/>
      </rPr>
      <t xml:space="preserve"> </t>
    </r>
    <r>
      <rPr>
        <sz val="10"/>
        <color theme="1"/>
        <rFont val="Times New Roman"/>
        <family val="1"/>
        <charset val="186"/>
      </rPr>
      <t xml:space="preserve">Nav ietekmes uz finanšu plūsmu.
</t>
    </r>
  </si>
  <si>
    <t>Projekta iesniegums aizkavējies, jo mainījušās Saldus novada pašvaldības vadības prioritātes. Pastāv risks, ka projekts varētu netikt realizēts.</t>
  </si>
  <si>
    <t xml:space="preserve">Projekta iesniegums aizkavējies, jo pirmajā iepirkuma procedūra netika iesniegts neviens piedāvājums, kas aizkavēja būvprojekta izstrādes laiku. Ir ietekme uz finanšu plūsmu - 2017.gadā plānotie izdevumi tiek pārcelti uz nākamajiem gadiem. </t>
  </si>
  <si>
    <t xml:space="preserve">Projekta iesniegums aizkavējies, jo būvprojekta izstrādei nepieciešams pagarinājums, lai  saskaņotu būvprojektu  ar citiem izstrādes zonā esošiem būvprojektiem. Projektu plānots iesniegt 2018. gada sākumā. </t>
  </si>
  <si>
    <t xml:space="preserve">Projekta iesniegums aizkavējies projekta vadības personāla noslogotības dēļ. </t>
  </si>
  <si>
    <t>Projekta iesniegums aizkavējies, jo Ilūkstes novada domei nepieciešams termiņa pagarinājums tehniskā projekta izstrādei papildus iekļaujamajai darbībai.</t>
  </si>
  <si>
    <t>Projekta iesniegums aizkavējies, jo nav saņemts ēkas pārbūves būvprojekts. Projektēšanas gaitā radās neparedzēti apstākļi un  panākta vienošanās par būvprojekta termiņa pagarinājumu. Ir ietekme uz naudas plūsmu - 2017.gadā plānotie izdevumi tiek pārcelti uz nākamajiem gadiem.</t>
  </si>
  <si>
    <t>Daugavpils dome 15.08.2017. vēstulē  Finanšu ministrijai norāda, ka projekta iesnieguma sagatavošana aizkavējusies, saistībā ar to, ka tiek gatavota būvniecības u.c. dokumentācija.</t>
  </si>
  <si>
    <t>Aizkavējums saistībā ar to, ka projekta partneri identificējuši neskaidrības par projekta darbībām, līdz ar to tiek kavēta informācijas sniegšana projekta iesniedzējam. Paralēli vēl tiek papildināts un gatavots projekta iesniegums. Nav ietekmes uz finanšu plūsmu.</t>
  </si>
  <si>
    <r>
      <t>Aizkavējums saistīts ar to, ka radās neskaidrības par valsts atbalsta jautājumiem, par kuriem CFLA tiek uzdoti precizējoši jautājumi. Tāpat arī projektā ir iesaistīti daudz sadarbības partneri un dokumentu sagatavošana ir ļoti laikietilpīga. Jaunais termiņš tiek noteikts ar rezervi.</t>
    </r>
    <r>
      <rPr>
        <sz val="10"/>
        <color theme="1"/>
        <rFont val="Times New Roman"/>
        <family val="1"/>
        <charset val="186"/>
      </rPr>
      <t xml:space="preserve"> Ir ietekme uz finanšu plūsmu - 2017.gadā paredzētie izdevumi tiek pārcelti un palielina izdevumus 2018. un 2019.gadā.</t>
    </r>
  </si>
  <si>
    <t>Aizkavējums saistīts ar to, ka radās neskaidrības par valsts atbalsta jautājumiem, par kuriem CFLA tiek uzdoti precizējoši jautājumi. Tāpat arī projektā ir iesaistīti daudz sadarbības partneri un dokumentu sagatavošana ir ļoti laikietilpīga. Jaunais termiņš tiek noteikts ar rezervi. Ir ietekme uz finanšu plūsmu - 2017.gadā paredzētie izdevumi tiek pārcelti un palielina izdevumus 2018. un 2019.gadā.</t>
  </si>
  <si>
    <r>
      <t xml:space="preserve">Termiņš tiek pagarināts, jo tika konstatētas  kļūdas  projekta iesniegumam pievienotajos dokumentos. </t>
    </r>
    <r>
      <rPr>
        <sz val="10"/>
        <color rgb="FFFF0000"/>
        <rFont val="Times New Roman"/>
        <family val="1"/>
        <charset val="186"/>
      </rPr>
      <t xml:space="preserve"> </t>
    </r>
    <r>
      <rPr>
        <sz val="10"/>
        <rFont val="Times New Roman"/>
        <family val="1"/>
        <charset val="186"/>
      </rPr>
      <t xml:space="preserve">Ir ietekme uz finanšu plūsmu un lielākā daļa izmaksu pārceltas uz 2018.gadu. </t>
    </r>
  </si>
  <si>
    <t>Baložu komunālā saimniecība, SIA</t>
  </si>
  <si>
    <t>Ūdenssaimniecības pakalpojumu attīstība Baložos, III kārta</t>
  </si>
  <si>
    <t>Jaunpiebalga, Jaunpiebalgas komunālā saimniecība</t>
  </si>
  <si>
    <t>Ķegums, SIA „Ķeguma stars”</t>
  </si>
  <si>
    <t>Ūdenssaimniecības attīstība Ķeguma pašvaldībā</t>
  </si>
  <si>
    <t>Pļaviņas, SIA "Pļaviņu Komunālie pakalpojumi"</t>
  </si>
  <si>
    <t>Ūdenssaimniecības attīstība Preiļu novada Preiļu pilsētā</t>
  </si>
  <si>
    <t>Uzņēmējdarbībai publiskās infrastruktūras – Reiskatu ceļa  attīstība pie Marnoriem.</t>
  </si>
  <si>
    <t>atsaukts</t>
  </si>
  <si>
    <t>Dundagas novada pašvaldība</t>
  </si>
  <si>
    <t>Rūpnieciskās teritorijas attīstība Dundagas novadā</t>
  </si>
  <si>
    <t>Infrastruktūras izveide uzņēmējdarbības attīstībai Birzniekos, Olaines novadā</t>
  </si>
  <si>
    <t>Ropažu novada pašvaldība</t>
  </si>
  <si>
    <t>Uzņēmējdarbības attīstībai nepieciešamās infrastruktūras attīstība Ropažu novada Muceniekos</t>
  </si>
  <si>
    <t>Uzņēmējdarbības attīstībai nepieciešamās infrastruktūras attīstība Ropažu novada Zaķumuižā</t>
  </si>
  <si>
    <t>Uzņēmējdarbībai nozīmīgas infrastruktūras attīstība Lielvārdes novada Jumpravas pagastā</t>
  </si>
  <si>
    <t>Valsts sociālās aprūpes centrs „Latgale” </t>
  </si>
  <si>
    <t>Energoefektivitātes paaugstināšanas pasākumi valsts ēkā VSAC „Latgale” filiālē „Krastiņi” </t>
  </si>
  <si>
    <t>PIKC "Nacionālā Mākslu vidusskola" modernizācija</t>
  </si>
  <si>
    <t>Atlases kārta noslēgusies projekti nav iesniegti</t>
  </si>
  <si>
    <t>SIA "Pļaviņu Komunālie pakalpojumi"</t>
  </si>
  <si>
    <t>SIA „Ķeguma stars”</t>
  </si>
  <si>
    <t>Atlases kārta noslēgusies projekts nav iesniegts</t>
  </si>
  <si>
    <t>Jaunpiebalgas komunālā saimniecība</t>
  </si>
  <si>
    <t xml:space="preserve">SIA "PREIĻU NAMSAIMNIEKS" </t>
  </si>
  <si>
    <t xml:space="preserve"> SIA "PREIĻU NAMSAIMNIEKS" </t>
  </si>
  <si>
    <t>Karostas kanāla un Ziemeļu vārtu hidrotehnisko būvju atjaunošana</t>
  </si>
  <si>
    <t>Projekta iesniegums aizkavējies   šobrīd tiek strādāts pie projekta iesnieguma finanšu daļas. Pirms projekta iesniegšanas nepieciešams Ogres novada domes deputātu lēmums (domes deputātu sēde paredzēta 21.09.2017.).  Ir ietekme uz finanšu plūsmu - visas izmaksas pārceltas uz 2018.gadu.</t>
  </si>
  <si>
    <t>Projekts iesniegts 19.09.2017</t>
  </si>
  <si>
    <t>Projekta iesnieguma sagatavošana aizkavējusies saistībā ar to, ka jūlija beigās netika saņemts nozares ekspertu padomes saskaņojums aprīkojuma iegādei.</t>
  </si>
  <si>
    <t>Projekta iesnieguma sagatavošana aizkavējusies, jo aizkavējās projekta atlases izsludināšana pašvaldībā. Izsludināšana aizkavējusies saistībā ar ilgu saskaņošanas procesu - projektu atlases nolikums tika apstiprināts tikai 28.08.2017. Nav ietekmes uz finanšu plūsmu.</t>
  </si>
  <si>
    <r>
      <t>Projekta iesnieguma sagatavošana aizkavējusies saistībā ar to, ka Krāslavas pašvaldība vēl nav saņēmusi atzinumu par projekta idejas apstiprināšanu. Pēc apstiprināšanas projekta iesnieguma iesniegšanas termiņš ir 2- 3 mēnešu laikā.</t>
    </r>
    <r>
      <rPr>
        <sz val="10"/>
        <color rgb="FFFF0000"/>
        <rFont val="Times New Roman"/>
        <family val="1"/>
        <charset val="186"/>
      </rPr>
      <t xml:space="preserve"> </t>
    </r>
    <r>
      <rPr>
        <sz val="10"/>
        <rFont val="Times New Roman"/>
        <family val="1"/>
        <charset val="186"/>
      </rPr>
      <t>Ir ietekme uz finanšu plūsmu, izmaksas paredzētas arī 2021.gadā. 
Līdz 26.09.2017. balsstiesīgajām institūcijām jāsniedz atzinums Reģionālās attīstības koordinācijas padomei par  Krāslavas,  novada SAM 8.1.2. projektu ideju saskaņošanu rakstiskā procedūrā.</t>
    </r>
  </si>
  <si>
    <r>
      <t>Projekta iesnieguma sagatavošana aizkavējusies, jo par veikto iepirkumu saņemtas sūdzības. (Notiks izskatīšana.)  Tika pārsūdzēts iepirkums projektā “Daugavpils vispārējo izglītības iestāžu materiāli tehniskās bāzes un infrastruktūras sakārtošana atbilstoši mūsdienīgām prasībām”, līdz ar to, Daugavpils pilsētas dome neiesniedza projektu, kamēr netika precizēta informācija par projekta finanšu plūsmu.</t>
    </r>
    <r>
      <rPr>
        <sz val="10"/>
        <color theme="1"/>
        <rFont val="Times New Roman"/>
        <family val="1"/>
        <charset val="186"/>
      </rPr>
      <t xml:space="preserve"> Ir ietekme uz finanšu plūsmu - 2017.gada izdevumi tiek pārcelti uz 2018.gadu un 2019.gadu. </t>
    </r>
  </si>
  <si>
    <r>
      <t xml:space="preserve">Projekta iesnieguma sagatavošana aizkavējusies saistībā ar to, ka aizkavējās projekta atlases izsludināšana pašvaldībā.Azkavējusies saistībā ar MK noteikumu grozījumiem, pēc kuriem tika precizēts projektu atlases nolikums, kuru atkal bija nepieciešams saskaņot, līdz ar to, projektu iesniegumu atlase sākās tikai 04.08.2017.  </t>
    </r>
    <r>
      <rPr>
        <sz val="10"/>
        <color theme="1"/>
        <rFont val="Times New Roman"/>
        <family val="1"/>
        <charset val="186"/>
      </rPr>
      <t xml:space="preserve">Ir ietekme uz finanšu plūsmu - 2017.gada izdevumi pārceļas uz 2018.gadu  un 2019.gadu. </t>
    </r>
  </si>
  <si>
    <t xml:space="preserve">Projekta iesnieguma sagatavošana aizkavējusies saistībā ar to, ka aizkavējās projekta atlases izsludināšana pašvaldībā.Azkavējusies saistībā ar MK noteikumu grozījumiem, pēc kuriem tika precizēts projektu atlases nolikums, kuru atkal bija nepieciešams saskaņot, līdz ar to, projektu iesniegumu atlase sākās tikai 04.08.2017.  Ir ietekme uz finanšu plūsmu - 2017.gada izdevumi pārceļas uz 2018.gadu  un 2019.gadu. </t>
  </si>
  <si>
    <t xml:space="preserve">Projekta iesnieguma sagatavošana aizkavējusies, jo par veikto iepirkumu saņemtas sūdzības. (Notiks izskatīšana.)  Tika pārsūdzēts iepirkums projektā “Daugavpils vispārējo izglītības iestāžu materiāli tehniskās bāzes un infrastruktūras sakārtošana atbilstoši mūsdienīgām prasībām”, līdz ar to, Daugavpils pilsētas dome neiesniedza projektu, kamēr netika precizēta informācija par projekta finanšu plūsmu. Ir ietekme uz finanšu plūsmu - 2017.gada izdevumi tiek pārcelti uz 2018.gadu un 2019.gadu. </t>
  </si>
  <si>
    <r>
      <t>Projekta iesnieguma sagatavošana aizkavējusies saistībā ar to, ka Krāslavas pašvaldība vēl nav saņēmusi atzinumu par projekta idejas apstiprināšanu. Pēc apstiprināšanas projekta iesnieguma iesniegšanas termiņš 2- 3 mēnešu laikā.</t>
    </r>
    <r>
      <rPr>
        <sz val="10"/>
        <color rgb="FFFF0000"/>
        <rFont val="Times New Roman"/>
        <family val="1"/>
        <charset val="186"/>
      </rPr>
      <t xml:space="preserve"> </t>
    </r>
    <r>
      <rPr>
        <sz val="10"/>
        <rFont val="Times New Roman"/>
        <family val="1"/>
        <charset val="186"/>
      </rPr>
      <t>Ir ietekme uz finanšu plūsmu, izmaksas paredzētas arī 2021.gadā. 
Līdz 26.09.2017. balsstiesīgajām institūcijām jāsniedz atzinums Reģionālās attīstības koordinācijas padomei par  Krāslavas,  novada SAM 8.1.2. projektu ideju saskaņošanu rakstiskā procedūrā.</t>
    </r>
  </si>
  <si>
    <t>Projekta iesniegums aizkavējies būvprojekta izstrādes kavējuma, kas  radiesprojektētāju noslogotības un darbaspēka trūkuma dēļ. Teniskā projekta dokumentācija ir izstrādē.</t>
  </si>
  <si>
    <t xml:space="preserve">Projekta iesnieguma sagatavošana aizkavējusies saistībā ar iepirkuma problēmām. Paredzētais būvnieks līgumu izbeidza, tāpēc tika izsludināts jauns iepirkums un maijā noslēgts līgums. </t>
  </si>
  <si>
    <t>Brīvības bulvāra revitalizācija uzņēmējdarbības attīstībai</t>
  </si>
  <si>
    <t>Teritorijas revitalizācija Gailīšu pagastā, rekonstruējot vietējā autoceļa posmu </t>
  </si>
  <si>
    <t>Līdz 22.09.2017. plānoto ierobežotas projektu iesniegumu atlašu (IPIA) projektu iesniedzēju iesniegtie un prognozētajā termiņā neiesniegtie projekti</t>
  </si>
  <si>
    <t>Līdz 22.09.2017. plānoto ierobežotas projektu iesniegumu atlašu (IPIA) projektu iesniedzēju prognozētajā termiņā neiesniegtie projekti</t>
  </si>
  <si>
    <t>Līdz 22.09.2017. plānoto ierobežotas projektu iesniegumu atlases (IPIA) termiņā neiesniegto projektu kopsummas un īpatsvars kopējā neizpildē.</t>
  </si>
  <si>
    <t>Projekta iesniegums iesniegts 25.09.2017</t>
  </si>
  <si>
    <r>
      <t xml:space="preserve">Projekta nosaukums/Specifiskā atbalsta mērķa </t>
    </r>
    <r>
      <rPr>
        <b/>
        <sz val="12"/>
        <rFont val="Times New Roman"/>
        <family val="1"/>
        <charset val="186"/>
      </rPr>
      <t>kopējā kavējumu summa</t>
    </r>
  </si>
  <si>
    <r>
      <t xml:space="preserve">Konstatētas  kļūdas  projekta iesniegumam pievienotajos dokumentos. </t>
    </r>
    <r>
      <rPr>
        <sz val="10"/>
        <color rgb="FFFF0000"/>
        <rFont val="Times New Roman"/>
        <family val="1"/>
        <charset val="186"/>
      </rPr>
      <t xml:space="preserve"> </t>
    </r>
    <r>
      <rPr>
        <sz val="10"/>
        <rFont val="Times New Roman"/>
        <family val="1"/>
        <charset val="186"/>
      </rPr>
      <t xml:space="preserve">Ir ietekme uz finanšu plūsmu un lielākā daļa izmaksu pārceltas uz 2018.gadu. </t>
    </r>
  </si>
  <si>
    <t>Projekta iesnieguma sagatavošana aizkavējusies saistībā ar to, ka nav veikts iepirkums būvdarbiem. Ir ietekme uz naudas plūsmu. Iepriekš plānotie 2017.g. izdevumi tiek pārcelti uz 2018.g., t.i., izdevumu apjoms 2018.g. palielinās. Notiek komunikācija ar finansējuma saņēmēju, lai noskaidrotu projektu iesniegšanas plānus.</t>
  </si>
  <si>
    <t>Aizkavējums saistīts ar to, ka projekta iesniegums tiek izstrādātas un projekts tiks īstenots partnerībā ar vairākām pašvaldībām. Līdz ar to  projekta pamatojošās dokumentācijas (tai skaitā būvniecības izmaksu tāmes) sagatavošana ir laikietiplīga.  Projekta īstenošana sākas nākamajā gadā un turpinās līdz 2020.g. (ieskaitot). Nav ietekmes uz finanšu plūsmu. Notiek komunikācija ar finansējuma saņēmēju, lai noskaidrotu precīzu iesniegšanas laiku.</t>
  </si>
  <si>
    <t xml:space="preserve">Projekta iesnieguma sagatavošana aizkavējusies saistībā ar to, ka jūlija beigās netika saņemts nozares ekspertu padomes saskaņojums aprīkojuma iegādei. Notiek komunikācija ar finansējuma saņēmēju, lai noskaidrotu projektu iesniegšanas laiku. </t>
  </si>
  <si>
    <t>Projekta iesnieguma sagatavošana aizkavējusies projekta vadības personāla noslogotības dēļ. Aizkavējusies dokumentācijas sagatavošana. Notiek komunikācija ar finansējuma saņēmēju, lai noskaidrotu projekta iesniegšanas termiņu.</t>
  </si>
  <si>
    <t xml:space="preserve">4. pielikuma 1.tabula
Informatīvajam ziņojumam “Informatīvais ziņojums par Eiropas Savienības struktūrfondu un Kohēzijas fonda investīciju ieviešanas statusu” </t>
  </si>
  <si>
    <t xml:space="preserve">4. pielikuma 2.tabula
Informatīvajam ziņojumam “Informatīvais ziņojums par Eiropas Savienības struktūrfondu un Kohēzijas fonda investīciju ieviešanas statusu”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</si>
</sst>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
  </numFmts>
  <fonts count="33" x14ac:knownFonts="1">
    <font>
      <sz val="12"/>
      <color theme="1"/>
      <name val="Times New Roman"/>
      <family val="2"/>
      <charset val="186"/>
    </font>
    <font>
      <sz val="10"/>
      <color rgb="FF000000"/>
      <name val="Arial"/>
      <family val="2"/>
      <charset val="186"/>
    </font>
    <font>
      <b/>
      <sz val="9"/>
      <color indexed="81"/>
      <name val="Tahoma"/>
      <family val="2"/>
      <charset val="186"/>
    </font>
    <font>
      <sz val="9"/>
      <color indexed="81"/>
      <name val="Tahoma"/>
      <family val="2"/>
      <charset val="186"/>
    </font>
    <font>
      <b/>
      <sz val="12"/>
      <name val="Times New Roman"/>
      <family val="2"/>
      <charset val="186"/>
    </font>
    <font>
      <sz val="11"/>
      <color theme="1"/>
      <name val="Calibri"/>
      <family val="2"/>
      <charset val="186"/>
      <scheme val="minor"/>
    </font>
    <font>
      <sz val="10"/>
      <name val="Times New Roman"/>
      <family val="2"/>
      <charset val="186"/>
    </font>
    <font>
      <sz val="11"/>
      <color rgb="FF000000"/>
      <name val="Calibri"/>
      <family val="2"/>
      <scheme val="minor"/>
    </font>
    <font>
      <b/>
      <sz val="14"/>
      <color theme="1"/>
      <name val="Times New Roman"/>
      <family val="1"/>
      <charset val="186"/>
    </font>
    <font>
      <sz val="10"/>
      <color theme="1"/>
      <name val="Times New Roman"/>
      <family val="2"/>
      <charset val="186"/>
    </font>
    <font>
      <b/>
      <sz val="10"/>
      <name val="Times New Roman"/>
      <family val="2"/>
      <charset val="186"/>
    </font>
    <font>
      <sz val="12"/>
      <color theme="1"/>
      <name val="Times New Roman"/>
      <family val="2"/>
      <charset val="186"/>
    </font>
    <font>
      <sz val="10"/>
      <name val="Times New Roman"/>
      <family val="1"/>
      <charset val="186"/>
    </font>
    <font>
      <sz val="12"/>
      <name val="Times New Roman"/>
      <family val="2"/>
      <charset val="186"/>
    </font>
    <font>
      <sz val="14"/>
      <name val="Times New Roman"/>
      <family val="1"/>
      <charset val="186"/>
    </font>
    <font>
      <u/>
      <sz val="12"/>
      <color theme="10"/>
      <name val="Times New Roman"/>
      <family val="2"/>
      <charset val="186"/>
    </font>
    <font>
      <b/>
      <sz val="14"/>
      <name val="Times New Roman"/>
      <family val="1"/>
      <charset val="186"/>
    </font>
    <font>
      <b/>
      <sz val="16"/>
      <name val="Times New Roman"/>
      <family val="1"/>
      <charset val="186"/>
    </font>
    <font>
      <b/>
      <i/>
      <sz val="14"/>
      <name val="Times New Roman"/>
      <family val="1"/>
      <charset val="186"/>
    </font>
    <font>
      <i/>
      <sz val="14"/>
      <name val="Times New Roman"/>
      <family val="1"/>
      <charset val="186"/>
    </font>
    <font>
      <sz val="14"/>
      <color theme="1"/>
      <name val="Times New Roman"/>
      <family val="1"/>
      <charset val="186"/>
    </font>
    <font>
      <sz val="14"/>
      <color theme="1"/>
      <name val="Times New Roman"/>
      <family val="2"/>
      <charset val="186"/>
    </font>
    <font>
      <b/>
      <sz val="14"/>
      <name val="Times New Roman"/>
      <family val="2"/>
      <charset val="186"/>
    </font>
    <font>
      <b/>
      <sz val="12"/>
      <name val="Times New Roman"/>
      <family val="1"/>
      <charset val="186"/>
    </font>
    <font>
      <sz val="8"/>
      <color rgb="FF25396E"/>
      <name val="Arial"/>
      <family val="2"/>
      <charset val="186"/>
    </font>
    <font>
      <b/>
      <sz val="10"/>
      <name val="Times New Roman"/>
      <family val="1"/>
      <charset val="186"/>
    </font>
    <font>
      <sz val="10"/>
      <color rgb="FFFF0000"/>
      <name val="Times New Roman"/>
      <family val="1"/>
      <charset val="186"/>
    </font>
    <font>
      <sz val="12"/>
      <color theme="1"/>
      <name val="Times New Roman"/>
      <family val="1"/>
      <charset val="186"/>
    </font>
    <font>
      <b/>
      <i/>
      <sz val="14"/>
      <color rgb="FFFF0000"/>
      <name val="Times New Roman"/>
      <family val="1"/>
      <charset val="186"/>
    </font>
    <font>
      <b/>
      <sz val="14"/>
      <color rgb="FFFF0000"/>
      <name val="Times New Roman"/>
      <family val="1"/>
      <charset val="186"/>
    </font>
    <font>
      <sz val="10"/>
      <color theme="1"/>
      <name val="Times New Roman"/>
      <family val="1"/>
      <charset val="186"/>
    </font>
    <font>
      <b/>
      <sz val="10"/>
      <color rgb="FFFF0000"/>
      <name val="Times New Roman"/>
      <family val="1"/>
      <charset val="186"/>
    </font>
    <font>
      <sz val="12"/>
      <name val="Times New Roman"/>
      <family val="1"/>
      <charset val="186"/>
    </font>
  </fonts>
  <fills count="13">
    <fill>
      <patternFill patternType="none"/>
    </fill>
    <fill>
      <patternFill patternType="gray125"/>
    </fill>
    <fill>
      <patternFill patternType="solid">
        <fgColor theme="0"/>
        <bgColor indexed="64"/>
      </patternFill>
    </fill>
    <fill>
      <gradientFill degree="90">
        <stop position="0">
          <color theme="0"/>
        </stop>
        <stop position="1">
          <color theme="9"/>
        </stop>
      </gradientFill>
    </fill>
    <fill>
      <gradientFill degree="90">
        <stop position="0">
          <color rgb="FFFFFFFF"/>
        </stop>
        <stop position="1">
          <color rgb="FFBEBEBE"/>
        </stop>
      </gradientFill>
    </fill>
    <fill>
      <patternFill patternType="solid">
        <fgColor rgb="FFFFFFFF"/>
      </patternFill>
    </fill>
    <fill>
      <patternFill patternType="solid">
        <fgColor theme="4" tint="0.59999389629810485"/>
        <bgColor indexed="64"/>
      </patternFill>
    </fill>
    <fill>
      <patternFill patternType="solid">
        <fgColor theme="9" tint="0.39997558519241921"/>
        <bgColor indexed="64"/>
      </patternFill>
    </fill>
    <fill>
      <gradientFill degree="90">
        <stop position="0">
          <color theme="0"/>
        </stop>
        <stop position="1">
          <color theme="4" tint="0.59999389629810485"/>
        </stop>
      </gradient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1" fillId="0" borderId="0"/>
    <xf numFmtId="0" fontId="5" fillId="0" borderId="0"/>
    <xf numFmtId="0" fontId="7" fillId="0" borderId="0"/>
    <xf numFmtId="164" fontId="11" fillId="0" borderId="0" applyFont="0" applyFill="0" applyBorder="0" applyAlignment="0" applyProtection="0"/>
    <xf numFmtId="0" fontId="5" fillId="0" borderId="0"/>
    <xf numFmtId="0" fontId="15" fillId="0" borderId="0" applyNumberFormat="0" applyFill="0" applyBorder="0" applyAlignment="0" applyProtection="0"/>
    <xf numFmtId="9" fontId="11" fillId="0" borderId="0" applyFont="0" applyFill="0" applyBorder="0" applyAlignment="0" applyProtection="0"/>
  </cellStyleXfs>
  <cellXfs count="294">
    <xf numFmtId="0" fontId="0" fillId="0" borderId="0" xfId="0"/>
    <xf numFmtId="14" fontId="6" fillId="2"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2" applyFont="1" applyBorder="1" applyAlignment="1">
      <alignment horizontal="center" vertical="center" wrapText="1"/>
    </xf>
    <xf numFmtId="14" fontId="6" fillId="0" borderId="1" xfId="1" applyNumberFormat="1" applyFont="1" applyFill="1" applyBorder="1" applyAlignment="1">
      <alignment horizontal="center" vertical="center" wrapText="1"/>
    </xf>
    <xf numFmtId="49" fontId="6" fillId="4" borderId="1" xfId="2" applyNumberFormat="1" applyFont="1" applyFill="1" applyBorder="1" applyAlignment="1">
      <alignment horizontal="center" vertical="center" wrapText="1"/>
    </xf>
    <xf numFmtId="0" fontId="6" fillId="0" borderId="0" xfId="0" applyFont="1" applyAlignment="1">
      <alignment horizontal="center" vertical="center"/>
    </xf>
    <xf numFmtId="14" fontId="6" fillId="5" borderId="1" xfId="0" applyNumberFormat="1" applyFont="1" applyFill="1" applyBorder="1" applyAlignment="1">
      <alignment horizontal="center" vertical="center" wrapText="1"/>
    </xf>
    <xf numFmtId="14" fontId="6" fillId="0" borderId="0" xfId="0" applyNumberFormat="1" applyFont="1" applyAlignment="1">
      <alignment horizontal="center" vertical="center"/>
    </xf>
    <xf numFmtId="14" fontId="6" fillId="0" borderId="1" xfId="0" applyNumberFormat="1" applyFont="1" applyBorder="1" applyAlignment="1">
      <alignment horizontal="center" vertical="center" wrapText="1"/>
    </xf>
    <xf numFmtId="14" fontId="6" fillId="0" borderId="1" xfId="1" applyNumberFormat="1" applyFont="1" applyBorder="1" applyAlignment="1">
      <alignment horizontal="center" vertical="center" wrapText="1"/>
    </xf>
    <xf numFmtId="14" fontId="6" fillId="0" borderId="1" xfId="2" applyNumberFormat="1" applyFont="1" applyBorder="1" applyAlignment="1">
      <alignment horizontal="center" vertical="center" wrapText="1"/>
    </xf>
    <xf numFmtId="0" fontId="6" fillId="0" borderId="0" xfId="0" applyFont="1" applyAlignment="1">
      <alignment horizontal="center" vertical="center" wrapText="1"/>
    </xf>
    <xf numFmtId="0" fontId="6" fillId="4" borderId="1" xfId="2" applyNumberFormat="1" applyFont="1" applyFill="1" applyBorder="1" applyAlignment="1">
      <alignment horizontal="center" vertical="center" wrapText="1"/>
    </xf>
    <xf numFmtId="0" fontId="0" fillId="0" borderId="0" xfId="0" applyAlignment="1">
      <alignment horizontal="left"/>
    </xf>
    <xf numFmtId="3" fontId="0" fillId="0" borderId="0" xfId="0" applyNumberFormat="1" applyAlignment="1">
      <alignment horizontal="right"/>
    </xf>
    <xf numFmtId="14" fontId="6" fillId="0" borderId="1" xfId="0" applyNumberFormat="1" applyFont="1" applyFill="1" applyBorder="1" applyAlignment="1">
      <alignment horizontal="center" vertical="center" wrapText="1"/>
    </xf>
    <xf numFmtId="14" fontId="12" fillId="0" borderId="1" xfId="1" applyNumberFormat="1" applyFont="1" applyBorder="1" applyAlignment="1">
      <alignment horizontal="center" vertical="center" wrapText="1"/>
    </xf>
    <xf numFmtId="0" fontId="6" fillId="0" borderId="0" xfId="0" applyFont="1" applyBorder="1" applyAlignment="1">
      <alignment horizontal="center" vertical="center" wrapText="1"/>
    </xf>
    <xf numFmtId="0" fontId="12" fillId="0" borderId="1" xfId="1" applyFont="1" applyBorder="1" applyAlignment="1">
      <alignment horizontal="center" vertical="center" wrapText="1"/>
    </xf>
    <xf numFmtId="14" fontId="12" fillId="2" borderId="1" xfId="1"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3" fontId="6" fillId="0" borderId="0" xfId="0" applyNumberFormat="1" applyFont="1" applyBorder="1" applyAlignment="1">
      <alignment horizontal="center" vertical="center" wrapText="1"/>
    </xf>
    <xf numFmtId="3" fontId="6" fillId="4" borderId="1" xfId="2" applyNumberFormat="1" applyFont="1" applyFill="1" applyBorder="1" applyAlignment="1">
      <alignment horizontal="center" vertical="center" wrapText="1"/>
    </xf>
    <xf numFmtId="3" fontId="6" fillId="0" borderId="1" xfId="1" applyNumberFormat="1" applyFont="1" applyBorder="1" applyAlignment="1">
      <alignment horizontal="center" vertical="center" wrapText="1"/>
    </xf>
    <xf numFmtId="3" fontId="6" fillId="0" borderId="0" xfId="0" applyNumberFormat="1" applyFont="1" applyAlignment="1">
      <alignment horizontal="center" vertical="center" wrapText="1"/>
    </xf>
    <xf numFmtId="0" fontId="14" fillId="0" borderId="0" xfId="0" applyFont="1" applyFill="1" applyAlignment="1">
      <alignment horizontal="right" vertical="center"/>
    </xf>
    <xf numFmtId="3" fontId="0" fillId="0" borderId="0" xfId="0" applyNumberFormat="1"/>
    <xf numFmtId="0" fontId="0" fillId="0" borderId="0" xfId="0" applyFill="1" applyBorder="1"/>
    <xf numFmtId="49" fontId="16" fillId="6" borderId="15" xfId="2" applyNumberFormat="1" applyFont="1" applyFill="1" applyBorder="1" applyAlignment="1">
      <alignment horizontal="center" vertical="center" wrapText="1"/>
    </xf>
    <xf numFmtId="3" fontId="17" fillId="6" borderId="1" xfId="2" applyNumberFormat="1" applyFont="1" applyFill="1" applyBorder="1" applyAlignment="1">
      <alignment horizontal="center" vertical="center" wrapText="1"/>
    </xf>
    <xf numFmtId="9" fontId="17" fillId="6" borderId="1" xfId="7"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10" fontId="18" fillId="0" borderId="1" xfId="7" applyNumberFormat="1" applyFont="1" applyFill="1" applyBorder="1" applyAlignment="1">
      <alignment horizontal="center" vertical="center" wrapText="1"/>
    </xf>
    <xf numFmtId="0" fontId="16" fillId="0" borderId="0" xfId="0" applyFont="1" applyFill="1" applyBorder="1"/>
    <xf numFmtId="0" fontId="16" fillId="0" borderId="0" xfId="0" applyFont="1"/>
    <xf numFmtId="0" fontId="16" fillId="2" borderId="0" xfId="0" applyFont="1" applyFill="1"/>
    <xf numFmtId="0" fontId="8" fillId="0" borderId="0" xfId="0" applyFont="1" applyFill="1" applyBorder="1"/>
    <xf numFmtId="0" fontId="8" fillId="2" borderId="0" xfId="0" applyFont="1" applyFill="1"/>
    <xf numFmtId="0" fontId="8" fillId="0" borderId="0" xfId="0" applyFont="1"/>
    <xf numFmtId="3" fontId="14" fillId="0" borderId="1" xfId="1" applyNumberFormat="1" applyFont="1" applyFill="1" applyBorder="1" applyAlignment="1">
      <alignment horizontal="center" vertical="center" wrapText="1"/>
    </xf>
    <xf numFmtId="10" fontId="19" fillId="0" borderId="1" xfId="7" applyNumberFormat="1" applyFont="1" applyFill="1" applyBorder="1" applyAlignment="1">
      <alignment horizontal="center" vertical="center" wrapText="1"/>
    </xf>
    <xf numFmtId="0" fontId="20" fillId="0" borderId="0" xfId="0" applyFont="1" applyFill="1" applyBorder="1"/>
    <xf numFmtId="0" fontId="20" fillId="0" borderId="0" xfId="0" applyFont="1"/>
    <xf numFmtId="0" fontId="20" fillId="2" borderId="0" xfId="0" applyFont="1" applyFill="1"/>
    <xf numFmtId="0" fontId="21" fillId="0" borderId="0" xfId="0" applyFont="1" applyAlignment="1">
      <alignment horizontal="center" vertical="center"/>
    </xf>
    <xf numFmtId="14" fontId="6" fillId="7" borderId="1" xfId="1" applyNumberFormat="1" applyFont="1" applyFill="1" applyBorder="1" applyAlignment="1">
      <alignment horizontal="center" vertical="center" wrapText="1"/>
    </xf>
    <xf numFmtId="3" fontId="4" fillId="8" borderId="1" xfId="0" applyNumberFormat="1" applyFont="1" applyFill="1" applyBorder="1" applyAlignment="1" applyProtection="1">
      <alignment horizontal="center" vertical="center" wrapText="1"/>
    </xf>
    <xf numFmtId="0" fontId="23" fillId="8" borderId="1" xfId="0" applyFont="1" applyFill="1" applyBorder="1" applyAlignment="1" applyProtection="1">
      <alignment horizontal="center" vertical="center" wrapText="1"/>
    </xf>
    <xf numFmtId="0" fontId="12" fillId="0" borderId="1" xfId="1" applyFont="1" applyBorder="1" applyAlignment="1">
      <alignment horizontal="center" vertical="center"/>
    </xf>
    <xf numFmtId="14" fontId="12" fillId="0" borderId="1" xfId="1" applyNumberFormat="1" applyFont="1" applyBorder="1" applyAlignment="1">
      <alignment horizontal="center" vertical="center"/>
    </xf>
    <xf numFmtId="3" fontId="12" fillId="0" borderId="1" xfId="1" applyNumberFormat="1" applyFont="1" applyBorder="1" applyAlignment="1">
      <alignment horizontal="center" vertical="center" wrapText="1"/>
    </xf>
    <xf numFmtId="14" fontId="6" fillId="4" borderId="1" xfId="2"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0" xfId="0" applyBorder="1"/>
    <xf numFmtId="49" fontId="6" fillId="7" borderId="1" xfId="2" applyNumberFormat="1" applyFont="1" applyFill="1" applyBorder="1" applyAlignment="1">
      <alignment horizontal="center" vertical="center" wrapText="1"/>
    </xf>
    <xf numFmtId="3" fontId="6" fillId="7" borderId="1" xfId="2" applyNumberFormat="1" applyFont="1" applyFill="1" applyBorder="1" applyAlignment="1">
      <alignment horizontal="center" vertical="center" wrapText="1"/>
    </xf>
    <xf numFmtId="0" fontId="6" fillId="7" borderId="1" xfId="2"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1"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49" fontId="16" fillId="6" borderId="13" xfId="2"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3" fontId="12" fillId="0" borderId="1" xfId="1" applyNumberFormat="1" applyFont="1" applyBorder="1" applyAlignment="1">
      <alignment horizontal="center" vertical="center"/>
    </xf>
    <xf numFmtId="0" fontId="6" fillId="2" borderId="1" xfId="0" applyFont="1" applyFill="1" applyBorder="1" applyAlignment="1">
      <alignment horizontal="center" vertical="center" wrapText="1"/>
    </xf>
    <xf numFmtId="3" fontId="6" fillId="7" borderId="1" xfId="0" applyNumberFormat="1" applyFont="1" applyFill="1" applyBorder="1" applyAlignment="1">
      <alignment horizontal="center" vertical="center" wrapText="1"/>
    </xf>
    <xf numFmtId="0" fontId="0" fillId="0" borderId="1" xfId="0" applyBorder="1"/>
    <xf numFmtId="0" fontId="6" fillId="0" borderId="0" xfId="0" applyNumberFormat="1" applyFont="1" applyBorder="1" applyAlignment="1">
      <alignment horizontal="center" vertical="center"/>
    </xf>
    <xf numFmtId="0" fontId="6" fillId="0" borderId="1" xfId="1" applyNumberFormat="1" applyFont="1" applyBorder="1" applyAlignment="1">
      <alignment horizontal="center" vertical="center" wrapText="1"/>
    </xf>
    <xf numFmtId="0" fontId="0" fillId="0" borderId="0" xfId="0" applyNumberFormat="1"/>
    <xf numFmtId="0" fontId="6" fillId="0" borderId="0" xfId="0" applyNumberFormat="1" applyFont="1" applyAlignment="1">
      <alignment horizontal="center" vertical="center"/>
    </xf>
    <xf numFmtId="165" fontId="0" fillId="0" borderId="1" xfId="0" applyNumberFormat="1" applyBorder="1"/>
    <xf numFmtId="4" fontId="0" fillId="0" borderId="1" xfId="0" applyNumberFormat="1" applyBorder="1"/>
    <xf numFmtId="0" fontId="0" fillId="0" borderId="0" xfId="0" applyFont="1"/>
    <xf numFmtId="0" fontId="0" fillId="0" borderId="0" xfId="0" applyFont="1" applyAlignment="1">
      <alignment wrapText="1"/>
    </xf>
    <xf numFmtId="3" fontId="0" fillId="0" borderId="0" xfId="0" applyNumberFormat="1" applyFont="1" applyAlignment="1">
      <alignment horizontal="right"/>
    </xf>
    <xf numFmtId="14" fontId="0" fillId="0" borderId="0" xfId="0" applyNumberFormat="1" applyFont="1" applyAlignment="1">
      <alignment horizontal="right"/>
    </xf>
    <xf numFmtId="0" fontId="0" fillId="0" borderId="0" xfId="0" applyFont="1" applyAlignment="1">
      <alignment horizontal="left"/>
    </xf>
    <xf numFmtId="0" fontId="15" fillId="0" borderId="0" xfId="6" applyNumberFormat="1"/>
    <xf numFmtId="0" fontId="6"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0" fillId="0" borderId="0" xfId="0" applyFont="1" applyFill="1"/>
    <xf numFmtId="49" fontId="23" fillId="6" borderId="14" xfId="2" applyNumberFormat="1" applyFont="1" applyFill="1" applyBorder="1" applyAlignment="1">
      <alignment vertical="center" wrapText="1"/>
    </xf>
    <xf numFmtId="3" fontId="23" fillId="6" borderId="1" xfId="2" applyNumberFormat="1" applyFont="1" applyFill="1" applyBorder="1" applyAlignment="1">
      <alignment vertical="center" wrapText="1"/>
    </xf>
    <xf numFmtId="3" fontId="23" fillId="6" borderId="1" xfId="2" applyNumberFormat="1" applyFont="1" applyFill="1" applyBorder="1" applyAlignment="1">
      <alignment horizontal="center" vertical="center" wrapText="1"/>
    </xf>
    <xf numFmtId="0" fontId="15" fillId="0" borderId="0" xfId="6"/>
    <xf numFmtId="3" fontId="18" fillId="0" borderId="0" xfId="7" applyNumberFormat="1" applyFont="1" applyFill="1" applyBorder="1" applyAlignment="1">
      <alignment horizontal="center" vertical="center" wrapText="1"/>
    </xf>
    <xf numFmtId="10" fontId="28" fillId="0" borderId="1" xfId="7"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0" fontId="24" fillId="5" borderId="1" xfId="0" applyFont="1" applyFill="1" applyBorder="1" applyAlignment="1">
      <alignment horizontal="center" vertical="center" wrapText="1"/>
    </xf>
    <xf numFmtId="14" fontId="6" fillId="0" borderId="0"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horizontal="center" vertical="center"/>
    </xf>
    <xf numFmtId="14" fontId="6" fillId="0" borderId="1" xfId="2"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xf>
    <xf numFmtId="14"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1" xfId="2" applyFont="1" applyBorder="1" applyAlignment="1">
      <alignment horizontal="center" vertical="center"/>
    </xf>
    <xf numFmtId="0" fontId="0" fillId="0" borderId="1" xfId="0" applyFill="1" applyBorder="1" applyAlignment="1">
      <alignment horizontal="center" vertical="center"/>
    </xf>
    <xf numFmtId="0" fontId="6" fillId="0" borderId="0" xfId="0" applyNumberFormat="1" applyFont="1" applyBorder="1" applyAlignment="1">
      <alignment horizontal="center" vertical="center" wrapText="1"/>
    </xf>
    <xf numFmtId="0" fontId="6" fillId="0" borderId="0" xfId="2" applyFont="1" applyAlignment="1">
      <alignment horizontal="center" vertical="center"/>
    </xf>
    <xf numFmtId="14" fontId="12" fillId="9" borderId="1" xfId="1" applyNumberFormat="1" applyFont="1" applyFill="1" applyBorder="1" applyAlignment="1">
      <alignment horizontal="center" vertical="center"/>
    </xf>
    <xf numFmtId="14" fontId="6" fillId="9" borderId="1" xfId="0" applyNumberFormat="1" applyFont="1" applyFill="1" applyBorder="1" applyAlignment="1">
      <alignment horizontal="center" vertical="center"/>
    </xf>
    <xf numFmtId="0" fontId="12" fillId="0" borderId="1" xfId="1" applyFont="1" applyBorder="1" applyAlignment="1">
      <alignment horizontal="left" vertical="center" wrapText="1"/>
    </xf>
    <xf numFmtId="14"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14" fontId="6" fillId="2" borderId="1" xfId="1"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14" fontId="6" fillId="0" borderId="4" xfId="1" applyNumberFormat="1" applyFont="1" applyFill="1" applyBorder="1" applyAlignment="1">
      <alignment horizontal="center" vertical="center" wrapText="1"/>
    </xf>
    <xf numFmtId="0" fontId="6" fillId="0" borderId="5" xfId="0" applyFont="1" applyBorder="1" applyAlignment="1">
      <alignment horizontal="center" vertical="center"/>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10" borderId="1" xfId="0" applyFont="1" applyFill="1" applyBorder="1" applyAlignment="1">
      <alignment horizontal="center" vertical="center" wrapText="1"/>
    </xf>
    <xf numFmtId="14" fontId="6" fillId="0" borderId="0" xfId="0" applyNumberFormat="1" applyFont="1" applyBorder="1" applyAlignment="1">
      <alignment horizontal="center" vertical="center"/>
    </xf>
    <xf numFmtId="0" fontId="0" fillId="0" borderId="0" xfId="0" applyFont="1" applyAlignment="1">
      <alignment horizontal="right" wrapText="1"/>
    </xf>
    <xf numFmtId="49" fontId="23" fillId="6" borderId="0" xfId="2" applyNumberFormat="1" applyFont="1" applyFill="1" applyBorder="1" applyAlignment="1">
      <alignment horizontal="center" vertical="center" wrapText="1"/>
    </xf>
    <xf numFmtId="14" fontId="6" fillId="2" borderId="0" xfId="1" applyNumberFormat="1" applyFont="1" applyFill="1" applyBorder="1" applyAlignment="1">
      <alignment horizontal="center" vertical="center" wrapText="1"/>
    </xf>
    <xf numFmtId="0" fontId="6" fillId="0" borderId="0" xfId="0" applyNumberFormat="1" applyFont="1" applyAlignment="1">
      <alignment horizontal="center" vertical="center" wrapText="1"/>
    </xf>
    <xf numFmtId="0" fontId="12" fillId="0" borderId="1" xfId="1" applyNumberFormat="1" applyFont="1" applyBorder="1" applyAlignment="1">
      <alignment horizontal="center" vertical="center" wrapText="1"/>
    </xf>
    <xf numFmtId="0" fontId="12" fillId="0" borderId="1" xfId="1" applyNumberFormat="1" applyFont="1" applyFill="1" applyBorder="1" applyAlignment="1">
      <alignment horizontal="center" vertical="center" wrapText="1"/>
    </xf>
    <xf numFmtId="0" fontId="0" fillId="0" borderId="0" xfId="0" applyNumberFormat="1" applyFont="1" applyAlignment="1">
      <alignment horizontal="right"/>
    </xf>
    <xf numFmtId="0" fontId="6" fillId="7" borderId="1" xfId="1" applyNumberFormat="1" applyFont="1" applyFill="1" applyBorder="1" applyAlignment="1">
      <alignment horizontal="center" vertical="center" wrapText="1"/>
    </xf>
    <xf numFmtId="0" fontId="12" fillId="7" borderId="1" xfId="1" applyFont="1" applyFill="1" applyBorder="1" applyAlignment="1">
      <alignment horizontal="center" vertical="center" wrapText="1"/>
    </xf>
    <xf numFmtId="0" fontId="12" fillId="7" borderId="1" xfId="1" applyFont="1" applyFill="1" applyBorder="1" applyAlignment="1">
      <alignment horizontal="center" vertical="center"/>
    </xf>
    <xf numFmtId="3" fontId="12" fillId="7" borderId="1" xfId="1" applyNumberFormat="1" applyFont="1" applyFill="1" applyBorder="1" applyAlignment="1">
      <alignment horizontal="center" vertical="center" wrapText="1"/>
    </xf>
    <xf numFmtId="14" fontId="12" fillId="7" borderId="1" xfId="1" applyNumberFormat="1" applyFont="1" applyFill="1" applyBorder="1" applyAlignment="1">
      <alignment horizontal="center" vertical="center"/>
    </xf>
    <xf numFmtId="14" fontId="6" fillId="7" borderId="1" xfId="0" applyNumberFormat="1" applyFont="1" applyFill="1" applyBorder="1" applyAlignment="1">
      <alignment horizontal="center" vertical="center"/>
    </xf>
    <xf numFmtId="0"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14" fontId="12" fillId="7" borderId="1" xfId="1"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3" fontId="12" fillId="7" borderId="1" xfId="1"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31" fillId="0" borderId="1" xfId="1" applyFont="1" applyFill="1" applyBorder="1" applyAlignment="1">
      <alignment horizontal="center" vertical="center" wrapText="1"/>
    </xf>
    <xf numFmtId="0" fontId="25" fillId="0" borderId="1" xfId="1" applyFont="1" applyFill="1" applyBorder="1" applyAlignment="1">
      <alignment horizontal="center" vertical="center" wrapText="1"/>
    </xf>
    <xf numFmtId="0" fontId="25" fillId="0" borderId="1" xfId="0" applyFont="1" applyFill="1" applyBorder="1" applyAlignment="1">
      <alignment horizontal="center" vertical="center" wrapText="1"/>
    </xf>
    <xf numFmtId="0" fontId="6" fillId="0" borderId="0" xfId="0" applyFont="1" applyAlignment="1">
      <alignment vertical="center" wrapText="1"/>
    </xf>
    <xf numFmtId="3" fontId="6" fillId="0" borderId="1" xfId="1" applyNumberFormat="1" applyFont="1" applyFill="1" applyBorder="1" applyAlignment="1">
      <alignment horizontal="center" vertical="center" wrapText="1"/>
    </xf>
    <xf numFmtId="0" fontId="12" fillId="12" borderId="1" xfId="1" applyFont="1" applyFill="1" applyBorder="1" applyAlignment="1">
      <alignment horizontal="left" vertical="center"/>
    </xf>
    <xf numFmtId="0" fontId="12" fillId="12" borderId="1" xfId="1" applyFont="1" applyFill="1" applyBorder="1" applyAlignment="1">
      <alignment horizontal="left" vertical="center" wrapText="1"/>
    </xf>
    <xf numFmtId="14" fontId="12" fillId="12" borderId="1" xfId="1" applyNumberFormat="1" applyFont="1" applyFill="1" applyBorder="1" applyAlignment="1">
      <alignment horizontal="left" vertical="center"/>
    </xf>
    <xf numFmtId="0" fontId="6" fillId="12" borderId="1" xfId="0" applyNumberFormat="1" applyFont="1" applyFill="1" applyBorder="1" applyAlignment="1">
      <alignment horizontal="center" vertical="center" wrapText="1"/>
    </xf>
    <xf numFmtId="0" fontId="6" fillId="12"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6" fillId="12" borderId="4" xfId="0" applyFont="1" applyFill="1" applyBorder="1" applyAlignment="1">
      <alignment vertical="center" wrapText="1"/>
    </xf>
    <xf numFmtId="0" fontId="6" fillId="12" borderId="0" xfId="0" applyFont="1" applyFill="1" applyAlignment="1">
      <alignment horizontal="center" vertical="center"/>
    </xf>
    <xf numFmtId="0" fontId="6" fillId="12" borderId="3" xfId="0" applyFont="1" applyFill="1" applyBorder="1" applyAlignment="1">
      <alignment vertical="center" wrapText="1"/>
    </xf>
    <xf numFmtId="0" fontId="6" fillId="12" borderId="5" xfId="0" applyFont="1" applyFill="1" applyBorder="1" applyAlignment="1">
      <alignment vertical="center" wrapText="1"/>
    </xf>
    <xf numFmtId="0" fontId="12" fillId="12"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6" fillId="12" borderId="1" xfId="1" applyNumberFormat="1" applyFont="1" applyFill="1" applyBorder="1" applyAlignment="1">
      <alignment horizontal="center" vertical="center" wrapText="1"/>
    </xf>
    <xf numFmtId="14" fontId="6" fillId="12" borderId="1" xfId="0" applyNumberFormat="1" applyFont="1" applyFill="1" applyBorder="1" applyAlignment="1">
      <alignment horizontal="center" vertical="center" wrapText="1"/>
    </xf>
    <xf numFmtId="14" fontId="6" fillId="12" borderId="1" xfId="1" applyNumberFormat="1" applyFont="1" applyFill="1" applyBorder="1" applyAlignment="1">
      <alignment horizontal="center" vertical="center" wrapText="1"/>
    </xf>
    <xf numFmtId="3" fontId="9" fillId="12" borderId="1" xfId="0" applyNumberFormat="1" applyFont="1" applyFill="1" applyBorder="1" applyAlignment="1">
      <alignment horizontal="center" vertical="center" wrapText="1"/>
    </xf>
    <xf numFmtId="3" fontId="6" fillId="12" borderId="1" xfId="0" applyNumberFormat="1" applyFont="1" applyFill="1" applyBorder="1" applyAlignment="1">
      <alignment horizontal="center" vertical="center" wrapText="1"/>
    </xf>
    <xf numFmtId="3" fontId="12" fillId="12" borderId="1" xfId="1" applyNumberFormat="1" applyFont="1" applyFill="1" applyBorder="1" applyAlignment="1">
      <alignment horizontal="center" vertical="center"/>
    </xf>
    <xf numFmtId="0" fontId="6" fillId="0" borderId="0" xfId="1" applyNumberFormat="1" applyFont="1" applyBorder="1" applyAlignment="1">
      <alignment horizontal="center" vertical="center" wrapText="1"/>
    </xf>
    <xf numFmtId="14" fontId="6" fillId="0" borderId="0" xfId="1" applyNumberFormat="1" applyFont="1" applyFill="1" applyBorder="1" applyAlignment="1">
      <alignment horizontal="center" vertical="center" wrapText="1"/>
    </xf>
    <xf numFmtId="0" fontId="29"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0" fontId="12" fillId="0" borderId="0" xfId="1" applyFont="1" applyBorder="1" applyAlignment="1">
      <alignment horizontal="center" vertical="center"/>
    </xf>
    <xf numFmtId="0" fontId="12" fillId="0" borderId="0" xfId="1" applyFont="1" applyBorder="1" applyAlignment="1">
      <alignment horizontal="center" vertical="center" wrapText="1"/>
    </xf>
    <xf numFmtId="3" fontId="12" fillId="0" borderId="0" xfId="1" applyNumberFormat="1" applyFont="1" applyBorder="1" applyAlignment="1">
      <alignment horizontal="center" vertical="center" wrapText="1"/>
    </xf>
    <xf numFmtId="14" fontId="12" fillId="0" borderId="0" xfId="1" applyNumberFormat="1" applyFont="1" applyBorder="1" applyAlignment="1">
      <alignment horizontal="center" vertical="center"/>
    </xf>
    <xf numFmtId="0" fontId="6" fillId="0" borderId="0" xfId="1"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0" fontId="6" fillId="0" borderId="0" xfId="0" applyNumberFormat="1" applyFont="1" applyAlignment="1">
      <alignment horizontal="left" vertical="center"/>
    </xf>
    <xf numFmtId="0" fontId="6" fillId="0" borderId="13" xfId="0" applyFont="1" applyBorder="1" applyAlignment="1">
      <alignment horizontal="center" vertical="center"/>
    </xf>
    <xf numFmtId="0" fontId="12" fillId="0" borderId="13" xfId="1" applyFont="1" applyBorder="1" applyAlignment="1">
      <alignment horizontal="center" vertical="center" wrapText="1"/>
    </xf>
    <xf numFmtId="14" fontId="6" fillId="0" borderId="13"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3" xfId="1" applyFont="1" applyBorder="1" applyAlignment="1">
      <alignment horizontal="center" vertical="center" wrapText="1"/>
    </xf>
    <xf numFmtId="0" fontId="12" fillId="12" borderId="13" xfId="1" applyFont="1" applyFill="1" applyBorder="1" applyAlignment="1">
      <alignment horizontal="center" vertical="center"/>
    </xf>
    <xf numFmtId="14" fontId="6" fillId="12" borderId="13" xfId="0" applyNumberFormat="1" applyFont="1" applyFill="1" applyBorder="1" applyAlignment="1">
      <alignment horizontal="center" vertical="center" wrapText="1"/>
    </xf>
    <xf numFmtId="0" fontId="12" fillId="0" borderId="13" xfId="1" applyFont="1" applyBorder="1" applyAlignment="1">
      <alignment horizontal="center" vertical="center"/>
    </xf>
    <xf numFmtId="0" fontId="12" fillId="0" borderId="13" xfId="1" applyFont="1" applyFill="1" applyBorder="1" applyAlignment="1">
      <alignment horizontal="center" vertical="center"/>
    </xf>
    <xf numFmtId="14" fontId="6" fillId="0" borderId="13" xfId="1" applyNumberFormat="1" applyFont="1" applyFill="1" applyBorder="1" applyAlignment="1">
      <alignment horizontal="center" vertical="center" wrapText="1"/>
    </xf>
    <xf numFmtId="0"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12" fillId="12" borderId="13" xfId="1" applyFont="1" applyFill="1" applyBorder="1" applyAlignment="1">
      <alignment horizontal="left" vertical="center"/>
    </xf>
    <xf numFmtId="0" fontId="6" fillId="1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0" borderId="14" xfId="1" applyNumberFormat="1" applyFont="1" applyFill="1" applyBorder="1" applyAlignment="1">
      <alignment horizontal="center" vertical="center" wrapText="1"/>
    </xf>
    <xf numFmtId="14" fontId="6" fillId="11" borderId="15" xfId="0" applyNumberFormat="1" applyFont="1" applyFill="1" applyBorder="1" applyAlignment="1">
      <alignment horizontal="center" vertical="center" wrapText="1"/>
    </xf>
    <xf numFmtId="14" fontId="6" fillId="0" borderId="15" xfId="0" applyNumberFormat="1"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9" fillId="0" borderId="15" xfId="0" applyNumberFormat="1" applyFont="1" applyBorder="1" applyAlignment="1">
      <alignment horizontal="center" vertical="center" wrapText="1"/>
    </xf>
    <xf numFmtId="14" fontId="6" fillId="12" borderId="14" xfId="1" applyNumberFormat="1" applyFont="1" applyFill="1" applyBorder="1" applyAlignment="1">
      <alignment horizontal="center" vertical="center" wrapText="1"/>
    </xf>
    <xf numFmtId="14" fontId="6" fillId="12" borderId="15" xfId="0" applyNumberFormat="1" applyFont="1" applyFill="1" applyBorder="1" applyAlignment="1">
      <alignment horizontal="center" vertical="center" wrapText="1"/>
    </xf>
    <xf numFmtId="0" fontId="6" fillId="12" borderId="15" xfId="0" applyFont="1" applyFill="1" applyBorder="1" applyAlignment="1">
      <alignment horizontal="center" vertical="center"/>
    </xf>
    <xf numFmtId="14" fontId="6" fillId="0" borderId="14" xfId="1" applyNumberFormat="1" applyFont="1" applyFill="1" applyBorder="1" applyAlignment="1">
      <alignment horizontal="center" vertical="center" wrapText="1"/>
    </xf>
    <xf numFmtId="14" fontId="9" fillId="0" borderId="15" xfId="0" applyNumberFormat="1" applyFont="1" applyFill="1" applyBorder="1" applyAlignment="1">
      <alignment horizontal="center" vertical="center" wrapText="1"/>
    </xf>
    <xf numFmtId="0" fontId="6" fillId="0" borderId="15" xfId="0" applyNumberFormat="1" applyFont="1" applyBorder="1" applyAlignment="1">
      <alignment horizontal="center" vertical="center"/>
    </xf>
    <xf numFmtId="14" fontId="12" fillId="12" borderId="14" xfId="1" applyNumberFormat="1" applyFont="1" applyFill="1" applyBorder="1" applyAlignment="1">
      <alignment horizontal="left" vertical="center"/>
    </xf>
    <xf numFmtId="0" fontId="6" fillId="12" borderId="15" xfId="0" applyFont="1" applyFill="1" applyBorder="1" applyAlignment="1">
      <alignment horizontal="center" vertical="center" wrapText="1"/>
    </xf>
    <xf numFmtId="0" fontId="6" fillId="0" borderId="15"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25" fillId="11" borderId="1" xfId="0" applyFont="1" applyFill="1" applyBorder="1" applyAlignment="1">
      <alignment horizontal="center" vertical="center"/>
    </xf>
    <xf numFmtId="0" fontId="25" fillId="11" borderId="1" xfId="1" applyFont="1" applyFill="1" applyBorder="1" applyAlignment="1">
      <alignment horizontal="center" vertical="center" wrapText="1"/>
    </xf>
    <xf numFmtId="0" fontId="25" fillId="11" borderId="1" xfId="0" applyFont="1" applyFill="1" applyBorder="1" applyAlignment="1">
      <alignment horizontal="center" vertical="center" wrapText="1"/>
    </xf>
    <xf numFmtId="3" fontId="25" fillId="11" borderId="1" xfId="0" applyNumberFormat="1" applyFont="1" applyFill="1" applyBorder="1" applyAlignment="1">
      <alignment horizontal="center" vertical="center" wrapText="1"/>
    </xf>
    <xf numFmtId="3" fontId="25" fillId="11" borderId="1" xfId="0" applyNumberFormat="1" applyFont="1" applyFill="1" applyBorder="1" applyAlignment="1">
      <alignment horizontal="center" vertical="center"/>
    </xf>
    <xf numFmtId="14" fontId="25" fillId="11" borderId="1" xfId="0" applyNumberFormat="1" applyFont="1" applyFill="1" applyBorder="1" applyAlignment="1">
      <alignment horizontal="center" vertical="center" wrapText="1"/>
    </xf>
    <xf numFmtId="14" fontId="25" fillId="11" borderId="1" xfId="0" applyNumberFormat="1" applyFont="1" applyFill="1" applyBorder="1" applyAlignment="1">
      <alignment horizontal="center" vertical="center"/>
    </xf>
    <xf numFmtId="0" fontId="25" fillId="11" borderId="1" xfId="0" applyNumberFormat="1" applyFont="1" applyFill="1" applyBorder="1" applyAlignment="1">
      <alignment horizontal="center" vertical="center"/>
    </xf>
    <xf numFmtId="0" fontId="25" fillId="0" borderId="0" xfId="0" applyFont="1" applyAlignment="1">
      <alignment horizontal="center" vertical="center"/>
    </xf>
    <xf numFmtId="14" fontId="25" fillId="11" borderId="1" xfId="1" applyNumberFormat="1" applyFont="1" applyFill="1" applyBorder="1" applyAlignment="1">
      <alignment horizontal="center" vertical="center" wrapText="1"/>
    </xf>
    <xf numFmtId="0" fontId="25" fillId="11" borderId="1" xfId="1" applyFont="1" applyFill="1" applyBorder="1" applyAlignment="1">
      <alignment horizontal="center" vertical="center"/>
    </xf>
    <xf numFmtId="3" fontId="25" fillId="11" borderId="1" xfId="1" applyNumberFormat="1" applyFont="1" applyFill="1" applyBorder="1" applyAlignment="1">
      <alignment horizontal="center" vertical="center" wrapText="1"/>
    </xf>
    <xf numFmtId="0" fontId="25" fillId="11" borderId="1" xfId="1" applyNumberFormat="1" applyFont="1" applyFill="1" applyBorder="1" applyAlignment="1">
      <alignment horizontal="center" vertical="center" wrapText="1"/>
    </xf>
    <xf numFmtId="14" fontId="25" fillId="11" borderId="1" xfId="1" applyNumberFormat="1" applyFont="1" applyFill="1" applyBorder="1" applyAlignment="1">
      <alignment horizontal="center" vertical="center"/>
    </xf>
    <xf numFmtId="0" fontId="6" fillId="0" borderId="13" xfId="0" applyNumberFormat="1" applyFont="1" applyFill="1" applyBorder="1" applyAlignment="1">
      <alignment horizontal="center" vertical="center" wrapText="1"/>
    </xf>
    <xf numFmtId="0" fontId="23" fillId="8" borderId="14" xfId="0" applyFont="1" applyFill="1" applyBorder="1" applyAlignment="1" applyProtection="1">
      <alignment vertical="center" wrapText="1"/>
    </xf>
    <xf numFmtId="3" fontId="6" fillId="0"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6" fillId="0" borderId="0" xfId="0" applyFont="1" applyAlignment="1">
      <alignment horizontal="right" vertical="center" wrapText="1"/>
    </xf>
    <xf numFmtId="14" fontId="6" fillId="3" borderId="2" xfId="0" applyNumberFormat="1" applyFont="1" applyFill="1" applyBorder="1" applyAlignment="1" applyProtection="1">
      <alignment horizontal="center" vertical="center" wrapText="1"/>
    </xf>
    <xf numFmtId="14" fontId="6" fillId="3" borderId="3" xfId="0" applyNumberFormat="1" applyFont="1" applyFill="1" applyBorder="1" applyAlignment="1" applyProtection="1">
      <alignment horizontal="center" vertical="center" wrapText="1"/>
    </xf>
    <xf numFmtId="14" fontId="10" fillId="3" borderId="4" xfId="0" applyNumberFormat="1" applyFont="1" applyFill="1" applyBorder="1" applyAlignment="1" applyProtection="1">
      <alignment horizontal="center" vertical="center" wrapText="1"/>
    </xf>
    <xf numFmtId="14" fontId="10" fillId="3" borderId="3" xfId="0" applyNumberFormat="1" applyFont="1" applyFill="1" applyBorder="1" applyAlignment="1" applyProtection="1">
      <alignment horizontal="center" vertical="center" wrapText="1"/>
    </xf>
    <xf numFmtId="0" fontId="10" fillId="3" borderId="4" xfId="0" applyNumberFormat="1" applyFont="1" applyFill="1" applyBorder="1" applyAlignment="1" applyProtection="1">
      <alignment horizontal="center" vertical="center" wrapText="1"/>
    </xf>
    <xf numFmtId="0" fontId="10" fillId="3" borderId="3"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xf>
    <xf numFmtId="0" fontId="6" fillId="3" borderId="4" xfId="0" applyNumberFormat="1" applyFont="1" applyFill="1" applyBorder="1" applyAlignment="1" applyProtection="1">
      <alignment horizontal="center" vertical="center" wrapText="1"/>
    </xf>
    <xf numFmtId="0" fontId="6" fillId="3" borderId="3" xfId="0" applyNumberFormat="1" applyFont="1" applyFill="1" applyBorder="1" applyAlignment="1" applyProtection="1">
      <alignment horizontal="center" vertical="center" wrapText="1"/>
    </xf>
    <xf numFmtId="0" fontId="6" fillId="3" borderId="5" xfId="0" applyNumberFormat="1" applyFont="1" applyFill="1" applyBorder="1" applyAlignment="1" applyProtection="1">
      <alignment horizontal="center" vertical="center" wrapText="1"/>
    </xf>
    <xf numFmtId="0" fontId="8" fillId="0" borderId="0" xfId="0" applyNumberFormat="1" applyFont="1" applyBorder="1" applyAlignment="1">
      <alignment horizontal="center" vertical="center" wrapText="1"/>
    </xf>
    <xf numFmtId="3" fontId="4" fillId="3" borderId="3" xfId="0" applyNumberFormat="1"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23" fillId="8" borderId="15" xfId="0"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3" borderId="3" xfId="0" applyFont="1" applyFill="1" applyBorder="1" applyAlignment="1" applyProtection="1">
      <alignment horizontal="center" vertical="center" wrapText="1"/>
    </xf>
    <xf numFmtId="0" fontId="6" fillId="3" borderId="3" xfId="0" applyNumberFormat="1" applyFont="1" applyFill="1" applyBorder="1" applyAlignment="1" applyProtection="1">
      <alignment horizontal="center" vertical="center" textRotation="90" wrapText="1"/>
    </xf>
    <xf numFmtId="0" fontId="6" fillId="1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3" fillId="8" borderId="13" xfId="0" applyNumberFormat="1" applyFont="1" applyFill="1" applyBorder="1" applyAlignment="1" applyProtection="1">
      <alignment horizontal="right" vertical="center" wrapText="1"/>
    </xf>
    <xf numFmtId="0" fontId="23" fillId="8" borderId="14" xfId="0" applyNumberFormat="1" applyFont="1" applyFill="1" applyBorder="1" applyAlignment="1" applyProtection="1">
      <alignment horizontal="right" vertical="center" wrapText="1"/>
    </xf>
    <xf numFmtId="0" fontId="23" fillId="8" borderId="15" xfId="0" applyNumberFormat="1" applyFont="1" applyFill="1" applyBorder="1" applyAlignment="1" applyProtection="1">
      <alignment horizontal="right" vertical="center" wrapText="1"/>
    </xf>
    <xf numFmtId="0" fontId="13" fillId="3" borderId="3" xfId="0" applyFont="1" applyFill="1" applyBorder="1" applyAlignment="1" applyProtection="1">
      <alignment horizontal="center" vertical="center" wrapText="1"/>
    </xf>
    <xf numFmtId="0" fontId="32" fillId="3" borderId="3" xfId="0" applyFont="1" applyFill="1" applyBorder="1" applyAlignment="1" applyProtection="1">
      <alignment horizontal="center" vertical="center" wrapText="1"/>
    </xf>
    <xf numFmtId="14" fontId="0" fillId="0" borderId="0" xfId="0" applyNumberFormat="1" applyAlignment="1">
      <alignment horizontal="left"/>
    </xf>
    <xf numFmtId="0" fontId="0" fillId="0" borderId="0" xfId="0" applyFont="1" applyAlignment="1">
      <alignment horizontal="right" wrapText="1"/>
    </xf>
    <xf numFmtId="0" fontId="8" fillId="0" borderId="6" xfId="0" applyFont="1" applyBorder="1" applyAlignment="1">
      <alignment horizontal="center" vertical="center" wrapText="1"/>
    </xf>
    <xf numFmtId="0" fontId="22" fillId="3" borderId="1" xfId="0" applyFont="1" applyFill="1" applyBorder="1" applyAlignment="1" applyProtection="1">
      <alignment horizontal="center" vertical="center" wrapText="1"/>
    </xf>
    <xf numFmtId="3" fontId="22" fillId="3" borderId="7" xfId="0" applyNumberFormat="1" applyFont="1" applyFill="1" applyBorder="1" applyAlignment="1" applyProtection="1">
      <alignment horizontal="center" vertical="center" wrapText="1"/>
    </xf>
    <xf numFmtId="3" fontId="22" fillId="3" borderId="8" xfId="0" applyNumberFormat="1" applyFont="1" applyFill="1" applyBorder="1" applyAlignment="1" applyProtection="1">
      <alignment horizontal="center" vertical="center" wrapText="1"/>
    </xf>
    <xf numFmtId="3" fontId="22" fillId="3" borderId="9" xfId="0" applyNumberFormat="1" applyFont="1" applyFill="1" applyBorder="1" applyAlignment="1" applyProtection="1">
      <alignment horizontal="center" vertical="center" wrapText="1"/>
    </xf>
    <xf numFmtId="3" fontId="22" fillId="3" borderId="10" xfId="0" applyNumberFormat="1" applyFont="1" applyFill="1" applyBorder="1" applyAlignment="1" applyProtection="1">
      <alignment horizontal="center" vertical="center" wrapText="1"/>
    </xf>
    <xf numFmtId="3" fontId="22" fillId="3" borderId="11" xfId="0" applyNumberFormat="1" applyFont="1" applyFill="1" applyBorder="1" applyAlignment="1" applyProtection="1">
      <alignment horizontal="center" vertical="center" wrapText="1"/>
    </xf>
    <xf numFmtId="3" fontId="22" fillId="3" borderId="12" xfId="0" applyNumberFormat="1" applyFont="1" applyFill="1" applyBorder="1" applyAlignment="1" applyProtection="1">
      <alignment horizontal="center" vertical="center" wrapText="1"/>
    </xf>
    <xf numFmtId="0" fontId="6"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0" xfId="0" applyFont="1" applyBorder="1" applyAlignment="1">
      <alignment horizontal="center" vertical="center" wrapText="1"/>
    </xf>
    <xf numFmtId="49" fontId="23" fillId="6" borderId="14" xfId="2" applyNumberFormat="1" applyFont="1" applyFill="1" applyBorder="1" applyAlignment="1">
      <alignment horizontal="center" vertical="center" wrapText="1"/>
    </xf>
    <xf numFmtId="0" fontId="27" fillId="0" borderId="14" xfId="0" applyFont="1" applyBorder="1" applyAlignment="1">
      <alignment horizontal="center" vertical="center" wrapText="1"/>
    </xf>
    <xf numFmtId="49" fontId="23" fillId="6" borderId="1" xfId="2" applyNumberFormat="1" applyFont="1" applyFill="1" applyBorder="1" applyAlignment="1">
      <alignment horizontal="center" vertical="center" wrapText="1"/>
    </xf>
    <xf numFmtId="0" fontId="27" fillId="0" borderId="1" xfId="0" applyFont="1" applyBorder="1" applyAlignment="1">
      <alignment horizontal="center" vertical="center" wrapText="1"/>
    </xf>
    <xf numFmtId="49" fontId="23" fillId="6" borderId="0" xfId="2" applyNumberFormat="1" applyFont="1" applyFill="1" applyBorder="1" applyAlignment="1">
      <alignment horizontal="center" vertical="center" wrapText="1"/>
    </xf>
    <xf numFmtId="0" fontId="27" fillId="0" borderId="0" xfId="0" applyFont="1" applyBorder="1" applyAlignment="1">
      <alignment horizontal="center" vertical="center" wrapText="1"/>
    </xf>
    <xf numFmtId="3" fontId="4" fillId="3" borderId="1"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textRotation="90" wrapText="1"/>
    </xf>
    <xf numFmtId="0" fontId="6"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wrapText="1"/>
    </xf>
  </cellXfs>
  <cellStyles count="8">
    <cellStyle name="Comma 11" xfId="4"/>
    <cellStyle name="Hyperlink" xfId="6" builtinId="8"/>
    <cellStyle name="Normal" xfId="0" builtinId="0"/>
    <cellStyle name="Normal 2" xfId="2"/>
    <cellStyle name="Normal 2 2 2 2 2 3 13" xfId="5"/>
    <cellStyle name="Normal 3" xfId="1"/>
    <cellStyle name="Normal 4" xfId="3"/>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printerSettings" Target="../printerSettings/printerSettings12.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hyperlink" Target="mailto:Ints.Pelnis@fm.gov.lv" TargetMode="Externa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printerSettings" Target="../printerSettings/printerSettings18.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hyperlink" Target="mailto:Ints.Pelnis@fm.gov.lv" TargetMode="External"/><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Z372"/>
  <sheetViews>
    <sheetView tabSelected="1" view="pageBreakPreview" topLeftCell="G258" zoomScale="80" zoomScaleNormal="80" zoomScaleSheetLayoutView="80" workbookViewId="0">
      <selection activeCell="J286" sqref="J286"/>
    </sheetView>
  </sheetViews>
  <sheetFormatPr defaultRowHeight="12.75" outlineLevelRow="2" outlineLevelCol="1" x14ac:dyDescent="0.25"/>
  <cols>
    <col min="1" max="1" width="9" style="7" hidden="1" customWidth="1" outlineLevel="1"/>
    <col min="2" max="2" width="7.875" style="13" hidden="1" customWidth="1" outlineLevel="1"/>
    <col min="3" max="6" width="9" style="7" hidden="1" customWidth="1" outlineLevel="1"/>
    <col min="7" max="7" width="3.5" style="77" customWidth="1" collapsed="1"/>
    <col min="8" max="8" width="9.25" style="7" customWidth="1"/>
    <col min="9" max="9" width="20.25" style="13" customWidth="1"/>
    <col min="10" max="10" width="38.125" style="13" customWidth="1"/>
    <col min="11" max="11" width="13.25" style="29" customWidth="1"/>
    <col min="12" max="12" width="11" style="9" customWidth="1"/>
    <col min="13" max="13" width="10.75" style="111" hidden="1" customWidth="1" outlineLevel="1"/>
    <col min="14" max="14" width="9.25" style="112" customWidth="1" outlineLevel="1"/>
    <col min="15" max="15" width="10.125" style="113" customWidth="1" outlineLevel="1"/>
    <col min="16" max="16" width="9.25" style="113" customWidth="1" outlineLevel="1"/>
    <col min="17" max="17" width="9.375" style="113" customWidth="1" outlineLevel="1"/>
    <col min="18" max="18" width="12.375" style="113" hidden="1" customWidth="1"/>
    <col min="19" max="19" width="12.375" style="77" hidden="1" customWidth="1" outlineLevel="1"/>
    <col min="20" max="20" width="16.25" style="9" customWidth="1" collapsed="1"/>
    <col min="21" max="21" width="24.375" style="77" hidden="1" customWidth="1" outlineLevel="1"/>
    <col min="22" max="23" width="31.625" style="7" hidden="1" customWidth="1" outlineLevel="1"/>
    <col min="24" max="24" width="31.625" style="7" hidden="1" customWidth="1" outlineLevel="1" collapsed="1"/>
    <col min="25" max="25" width="56.5" style="7" customWidth="1" collapsed="1"/>
    <col min="26" max="16384" width="9" style="7"/>
  </cols>
  <sheetData>
    <row r="1" spans="1:25" ht="12.75" customHeight="1" x14ac:dyDescent="0.25">
      <c r="T1" s="159"/>
      <c r="U1" s="7"/>
      <c r="Y1" s="241" t="s">
        <v>895</v>
      </c>
    </row>
    <row r="2" spans="1:25" x14ac:dyDescent="0.25">
      <c r="H2" s="9">
        <v>43003</v>
      </c>
      <c r="I2" s="136"/>
      <c r="T2" s="159"/>
      <c r="U2" s="7"/>
      <c r="Y2" s="241"/>
    </row>
    <row r="3" spans="1:25" x14ac:dyDescent="0.25">
      <c r="A3" s="25"/>
      <c r="B3" s="19"/>
      <c r="C3" s="25"/>
      <c r="D3" s="25"/>
      <c r="E3" s="25"/>
      <c r="F3" s="25"/>
      <c r="I3" s="19"/>
      <c r="J3" s="19"/>
      <c r="K3" s="26"/>
      <c r="L3" s="100"/>
      <c r="M3" s="102"/>
      <c r="N3" s="103"/>
      <c r="O3" s="104"/>
      <c r="P3" s="104"/>
      <c r="Q3" s="104"/>
      <c r="R3" s="104"/>
      <c r="S3" s="74"/>
      <c r="T3" s="159"/>
      <c r="U3" s="7"/>
      <c r="Y3" s="241"/>
    </row>
    <row r="4" spans="1:25" ht="18.75" customHeight="1" x14ac:dyDescent="0.25">
      <c r="A4" s="25"/>
      <c r="B4" s="25"/>
      <c r="C4" s="25"/>
      <c r="D4" s="25"/>
      <c r="E4" s="25"/>
      <c r="F4" s="25"/>
      <c r="G4" s="252" t="s">
        <v>886</v>
      </c>
      <c r="H4" s="252"/>
      <c r="I4" s="252"/>
      <c r="J4" s="252"/>
      <c r="K4" s="252"/>
      <c r="L4" s="252"/>
      <c r="M4" s="252"/>
      <c r="N4" s="252"/>
      <c r="O4" s="252"/>
      <c r="P4" s="252"/>
      <c r="Q4" s="252"/>
      <c r="R4" s="252"/>
      <c r="S4" s="252"/>
      <c r="T4" s="252"/>
      <c r="U4" s="252"/>
      <c r="V4" s="252"/>
      <c r="W4" s="252"/>
      <c r="X4" s="252"/>
      <c r="Y4" s="252"/>
    </row>
    <row r="5" spans="1:25" ht="15.75" customHeight="1" x14ac:dyDescent="0.25">
      <c r="B5" s="238"/>
      <c r="C5" s="238"/>
      <c r="D5" s="238"/>
      <c r="E5" s="238"/>
      <c r="F5" s="238"/>
      <c r="G5" s="254" t="s">
        <v>502</v>
      </c>
      <c r="H5" s="255"/>
      <c r="I5" s="255"/>
      <c r="J5" s="256"/>
      <c r="K5" s="51">
        <f>SUM(K12:K643)</f>
        <v>1133361731.6877992</v>
      </c>
      <c r="L5" s="7"/>
      <c r="N5" s="119"/>
      <c r="O5" s="119"/>
      <c r="U5" s="7"/>
    </row>
    <row r="6" spans="1:25" ht="15.75" customHeight="1" x14ac:dyDescent="0.25">
      <c r="A6" s="52"/>
      <c r="B6" s="52"/>
      <c r="C6" s="52"/>
      <c r="D6" s="52"/>
      <c r="E6" s="52"/>
      <c r="F6" s="52"/>
      <c r="G6" s="264" t="s">
        <v>501</v>
      </c>
      <c r="H6" s="265"/>
      <c r="I6" s="265"/>
      <c r="J6" s="266"/>
      <c r="K6" s="51">
        <f>SUMIF(R12:R643, "nav iesniegts", K12:K643)</f>
        <v>138669449.77522448</v>
      </c>
      <c r="L6" s="7"/>
      <c r="N6" s="119"/>
      <c r="O6" s="119"/>
      <c r="U6" s="7"/>
    </row>
    <row r="7" spans="1:25" ht="16.5" customHeight="1" thickBot="1" x14ac:dyDescent="0.3">
      <c r="A7" s="52"/>
      <c r="B7" s="52"/>
      <c r="C7" s="52"/>
      <c r="D7" s="52"/>
      <c r="E7" s="52"/>
      <c r="F7" s="52"/>
      <c r="G7" s="264" t="s">
        <v>616</v>
      </c>
      <c r="H7" s="265"/>
      <c r="I7" s="265"/>
      <c r="J7" s="266"/>
      <c r="K7" s="51">
        <f>SUMIF(L12:L643, "nebija plānots", K12:K643)</f>
        <v>427517859.78999996</v>
      </c>
      <c r="L7" s="7"/>
      <c r="N7" s="119"/>
      <c r="O7" s="119"/>
      <c r="U7" s="7"/>
    </row>
    <row r="8" spans="1:25" x14ac:dyDescent="0.25">
      <c r="A8" s="259" t="s">
        <v>55</v>
      </c>
      <c r="B8" s="259" t="s">
        <v>408</v>
      </c>
      <c r="C8" s="259" t="s">
        <v>274</v>
      </c>
      <c r="D8" s="259" t="s">
        <v>409</v>
      </c>
      <c r="E8" s="259" t="s">
        <v>275</v>
      </c>
      <c r="F8" s="259" t="s">
        <v>276</v>
      </c>
      <c r="G8" s="260" t="s">
        <v>60</v>
      </c>
      <c r="H8" s="259" t="s">
        <v>55</v>
      </c>
      <c r="I8" s="267" t="s">
        <v>61</v>
      </c>
      <c r="J8" s="268" t="s">
        <v>889</v>
      </c>
      <c r="K8" s="253" t="s">
        <v>246</v>
      </c>
      <c r="L8" s="242" t="s">
        <v>63</v>
      </c>
      <c r="M8" s="248" t="s">
        <v>623</v>
      </c>
      <c r="N8" s="248" t="s">
        <v>244</v>
      </c>
      <c r="O8" s="248" t="s">
        <v>412</v>
      </c>
      <c r="P8" s="248" t="s">
        <v>555</v>
      </c>
      <c r="Q8" s="248" t="s">
        <v>774</v>
      </c>
      <c r="R8" s="249" t="s">
        <v>65</v>
      </c>
      <c r="S8" s="249" t="s">
        <v>623</v>
      </c>
      <c r="T8" s="244" t="s">
        <v>413</v>
      </c>
      <c r="U8" s="246" t="s">
        <v>816</v>
      </c>
      <c r="V8" s="246" t="s">
        <v>817</v>
      </c>
      <c r="W8" s="246" t="s">
        <v>818</v>
      </c>
      <c r="X8" s="246" t="s">
        <v>819</v>
      </c>
      <c r="Y8" s="246" t="s">
        <v>820</v>
      </c>
    </row>
    <row r="9" spans="1:25" x14ac:dyDescent="0.25">
      <c r="A9" s="259"/>
      <c r="B9" s="259"/>
      <c r="C9" s="259"/>
      <c r="D9" s="259"/>
      <c r="E9" s="259"/>
      <c r="F9" s="259"/>
      <c r="G9" s="260"/>
      <c r="H9" s="259"/>
      <c r="I9" s="267"/>
      <c r="J9" s="268"/>
      <c r="K9" s="253"/>
      <c r="L9" s="243"/>
      <c r="M9" s="248"/>
      <c r="N9" s="248"/>
      <c r="O9" s="248"/>
      <c r="P9" s="248"/>
      <c r="Q9" s="248"/>
      <c r="R9" s="250"/>
      <c r="S9" s="250"/>
      <c r="T9" s="245"/>
      <c r="U9" s="247"/>
      <c r="V9" s="247"/>
      <c r="W9" s="247"/>
      <c r="X9" s="247"/>
      <c r="Y9" s="247"/>
    </row>
    <row r="10" spans="1:25" ht="37.5" customHeight="1" x14ac:dyDescent="0.25">
      <c r="A10" s="259"/>
      <c r="B10" s="259"/>
      <c r="C10" s="259"/>
      <c r="D10" s="259"/>
      <c r="E10" s="259"/>
      <c r="F10" s="259"/>
      <c r="G10" s="260"/>
      <c r="H10" s="259"/>
      <c r="I10" s="267"/>
      <c r="J10" s="268"/>
      <c r="K10" s="253"/>
      <c r="L10" s="243"/>
      <c r="M10" s="249"/>
      <c r="N10" s="249"/>
      <c r="O10" s="249"/>
      <c r="P10" s="249"/>
      <c r="Q10" s="249"/>
      <c r="R10" s="251"/>
      <c r="S10" s="251"/>
      <c r="T10" s="245"/>
      <c r="U10" s="247"/>
      <c r="V10" s="247"/>
      <c r="W10" s="247"/>
      <c r="X10" s="247"/>
      <c r="Y10" s="247"/>
    </row>
    <row r="11" spans="1:25" x14ac:dyDescent="0.25">
      <c r="A11" s="6" t="s">
        <v>750</v>
      </c>
      <c r="B11" s="6" t="s">
        <v>751</v>
      </c>
      <c r="C11" s="6" t="s">
        <v>752</v>
      </c>
      <c r="D11" s="6" t="s">
        <v>753</v>
      </c>
      <c r="E11" s="6" t="s">
        <v>278</v>
      </c>
      <c r="F11" s="6" t="s">
        <v>278</v>
      </c>
      <c r="G11" s="14" t="s">
        <v>56</v>
      </c>
      <c r="H11" s="6" t="s">
        <v>57</v>
      </c>
      <c r="I11" s="6" t="s">
        <v>58</v>
      </c>
      <c r="J11" s="6" t="s">
        <v>59</v>
      </c>
      <c r="K11" s="27">
        <v>5</v>
      </c>
      <c r="L11" s="6">
        <v>6</v>
      </c>
      <c r="M11" s="14"/>
      <c r="N11" s="14">
        <v>7</v>
      </c>
      <c r="O11" s="14">
        <v>8</v>
      </c>
      <c r="P11" s="14">
        <v>9</v>
      </c>
      <c r="Q11" s="14">
        <v>10</v>
      </c>
      <c r="R11" s="14">
        <v>7</v>
      </c>
      <c r="S11" s="56"/>
      <c r="T11" s="14">
        <v>11</v>
      </c>
      <c r="U11" s="14"/>
      <c r="V11" s="14"/>
      <c r="W11" s="14"/>
      <c r="X11" s="14"/>
      <c r="Y11" s="14">
        <v>12</v>
      </c>
    </row>
    <row r="12" spans="1:25" ht="25.5" hidden="1" customHeight="1" x14ac:dyDescent="0.25">
      <c r="A12" s="2" t="s">
        <v>0</v>
      </c>
      <c r="B12" s="2" t="s">
        <v>1</v>
      </c>
      <c r="C12" s="2" t="s">
        <v>2</v>
      </c>
      <c r="D12" s="2" t="s">
        <v>3</v>
      </c>
      <c r="E12" s="2" t="s">
        <v>4</v>
      </c>
      <c r="F12" s="2" t="s">
        <v>277</v>
      </c>
      <c r="G12" s="2"/>
      <c r="H12" s="2" t="s">
        <v>0</v>
      </c>
      <c r="I12" s="2" t="s">
        <v>127</v>
      </c>
      <c r="J12" s="2" t="s">
        <v>442</v>
      </c>
      <c r="K12" s="28">
        <v>24016598</v>
      </c>
      <c r="L12" s="11">
        <v>42886</v>
      </c>
      <c r="M12" s="88">
        <f t="shared" ref="M12:M18" si="0">MONTH(L12)</f>
        <v>5</v>
      </c>
      <c r="N12" s="5"/>
      <c r="O12" s="5"/>
      <c r="P12" s="5"/>
      <c r="Q12" s="5"/>
      <c r="R12" s="17">
        <v>42901</v>
      </c>
      <c r="S12" s="24">
        <f t="shared" ref="S12:S76" si="1">MONTH(R12)</f>
        <v>6</v>
      </c>
      <c r="T12" s="5"/>
      <c r="U12" s="23"/>
      <c r="V12" s="3"/>
      <c r="W12" s="3"/>
      <c r="X12" s="3"/>
      <c r="Y12" s="59"/>
    </row>
    <row r="13" spans="1:25" ht="38.25" hidden="1" customHeight="1" x14ac:dyDescent="0.25">
      <c r="A13" s="20" t="s">
        <v>0</v>
      </c>
      <c r="B13" s="20" t="s">
        <v>1</v>
      </c>
      <c r="C13" s="20" t="s">
        <v>2</v>
      </c>
      <c r="D13" s="20" t="s">
        <v>3</v>
      </c>
      <c r="E13" s="20" t="s">
        <v>4</v>
      </c>
      <c r="F13" s="20" t="s">
        <v>277</v>
      </c>
      <c r="G13" s="2"/>
      <c r="H13" s="20" t="s">
        <v>0</v>
      </c>
      <c r="I13" s="20" t="s">
        <v>431</v>
      </c>
      <c r="J13" s="20" t="s">
        <v>441</v>
      </c>
      <c r="K13" s="28">
        <v>2991569.05</v>
      </c>
      <c r="L13" s="18">
        <v>42916</v>
      </c>
      <c r="M13" s="88">
        <f t="shared" si="0"/>
        <v>6</v>
      </c>
      <c r="N13" s="17"/>
      <c r="O13" s="86"/>
      <c r="P13" s="86"/>
      <c r="Q13" s="86"/>
      <c r="R13" s="17">
        <v>42901</v>
      </c>
      <c r="S13" s="24">
        <f t="shared" si="1"/>
        <v>6</v>
      </c>
      <c r="T13" s="5"/>
      <c r="U13" s="3"/>
      <c r="V13" s="3"/>
      <c r="W13" s="3"/>
      <c r="X13" s="3"/>
      <c r="Y13" s="59"/>
    </row>
    <row r="14" spans="1:25" ht="38.25" hidden="1" customHeight="1" x14ac:dyDescent="0.25">
      <c r="A14" s="20" t="s">
        <v>0</v>
      </c>
      <c r="B14" s="20" t="s">
        <v>1</v>
      </c>
      <c r="C14" s="20" t="s">
        <v>2</v>
      </c>
      <c r="D14" s="20" t="s">
        <v>3</v>
      </c>
      <c r="E14" s="20" t="s">
        <v>4</v>
      </c>
      <c r="F14" s="20" t="s">
        <v>277</v>
      </c>
      <c r="G14" s="2"/>
      <c r="H14" s="20" t="s">
        <v>0</v>
      </c>
      <c r="I14" s="20" t="s">
        <v>79</v>
      </c>
      <c r="J14" s="20" t="s">
        <v>415</v>
      </c>
      <c r="K14" s="28">
        <v>2478770</v>
      </c>
      <c r="L14" s="18">
        <v>42901</v>
      </c>
      <c r="M14" s="88">
        <f t="shared" si="0"/>
        <v>6</v>
      </c>
      <c r="N14" s="17"/>
      <c r="O14" s="86"/>
      <c r="P14" s="86"/>
      <c r="Q14" s="86"/>
      <c r="R14" s="17">
        <v>42900</v>
      </c>
      <c r="S14" s="24">
        <f t="shared" si="1"/>
        <v>6</v>
      </c>
      <c r="T14" s="5"/>
      <c r="U14" s="3"/>
      <c r="V14" s="3"/>
      <c r="W14" s="3"/>
      <c r="X14" s="3"/>
      <c r="Y14" s="59"/>
    </row>
    <row r="15" spans="1:25" ht="38.25" hidden="1" customHeight="1" x14ac:dyDescent="0.25">
      <c r="A15" s="20" t="s">
        <v>0</v>
      </c>
      <c r="B15" s="20" t="s">
        <v>1</v>
      </c>
      <c r="C15" s="20" t="s">
        <v>2</v>
      </c>
      <c r="D15" s="20" t="s">
        <v>3</v>
      </c>
      <c r="E15" s="20" t="s">
        <v>4</v>
      </c>
      <c r="F15" s="20" t="s">
        <v>277</v>
      </c>
      <c r="G15" s="2"/>
      <c r="H15" s="20" t="s">
        <v>0</v>
      </c>
      <c r="I15" s="20" t="s">
        <v>279</v>
      </c>
      <c r="J15" s="20" t="s">
        <v>418</v>
      </c>
      <c r="K15" s="28">
        <v>758995</v>
      </c>
      <c r="L15" s="18">
        <v>42916</v>
      </c>
      <c r="M15" s="88">
        <f t="shared" si="0"/>
        <v>6</v>
      </c>
      <c r="N15" s="17"/>
      <c r="O15" s="86"/>
      <c r="P15" s="86"/>
      <c r="Q15" s="86"/>
      <c r="R15" s="17">
        <v>42901</v>
      </c>
      <c r="S15" s="24">
        <f t="shared" si="1"/>
        <v>6</v>
      </c>
      <c r="T15" s="5"/>
      <c r="U15" s="3"/>
      <c r="V15" s="3"/>
      <c r="W15" s="3"/>
      <c r="X15" s="3"/>
      <c r="Y15" s="59"/>
    </row>
    <row r="16" spans="1:25" ht="38.25" hidden="1" customHeight="1" x14ac:dyDescent="0.25">
      <c r="A16" s="2" t="s">
        <v>0</v>
      </c>
      <c r="B16" s="2" t="s">
        <v>1</v>
      </c>
      <c r="C16" s="2" t="s">
        <v>2</v>
      </c>
      <c r="D16" s="2" t="s">
        <v>3</v>
      </c>
      <c r="E16" s="2" t="s">
        <v>4</v>
      </c>
      <c r="F16" s="2" t="s">
        <v>277</v>
      </c>
      <c r="G16" s="2"/>
      <c r="H16" s="2" t="s">
        <v>0</v>
      </c>
      <c r="I16" s="2" t="s">
        <v>125</v>
      </c>
      <c r="J16" s="2" t="s">
        <v>439</v>
      </c>
      <c r="K16" s="28">
        <v>2380031</v>
      </c>
      <c r="L16" s="1">
        <v>42885</v>
      </c>
      <c r="M16" s="88">
        <f t="shared" si="0"/>
        <v>5</v>
      </c>
      <c r="N16" s="17"/>
      <c r="O16" s="5"/>
      <c r="P16" s="5"/>
      <c r="Q16" s="5"/>
      <c r="R16" s="17">
        <v>42901</v>
      </c>
      <c r="S16" s="24">
        <f t="shared" si="1"/>
        <v>6</v>
      </c>
      <c r="T16" s="5"/>
      <c r="U16" s="23"/>
      <c r="V16" s="3"/>
      <c r="W16" s="3"/>
      <c r="X16" s="3"/>
      <c r="Y16" s="59"/>
    </row>
    <row r="17" spans="1:25" ht="51" hidden="1" customHeight="1" x14ac:dyDescent="0.25">
      <c r="A17" s="2" t="s">
        <v>0</v>
      </c>
      <c r="B17" s="2" t="s">
        <v>1</v>
      </c>
      <c r="C17" s="2" t="s">
        <v>2</v>
      </c>
      <c r="D17" s="2" t="s">
        <v>3</v>
      </c>
      <c r="E17" s="2" t="s">
        <v>4</v>
      </c>
      <c r="F17" s="2" t="s">
        <v>277</v>
      </c>
      <c r="G17" s="2"/>
      <c r="H17" s="2" t="s">
        <v>0</v>
      </c>
      <c r="I17" s="2" t="s">
        <v>126</v>
      </c>
      <c r="J17" s="2" t="s">
        <v>436</v>
      </c>
      <c r="K17" s="28">
        <v>13502330</v>
      </c>
      <c r="L17" s="1">
        <v>42886</v>
      </c>
      <c r="M17" s="88">
        <f t="shared" si="0"/>
        <v>5</v>
      </c>
      <c r="N17" s="17"/>
      <c r="O17" s="17"/>
      <c r="P17" s="17"/>
      <c r="Q17" s="17"/>
      <c r="R17" s="17">
        <v>42892</v>
      </c>
      <c r="S17" s="24">
        <f t="shared" si="1"/>
        <v>6</v>
      </c>
      <c r="T17" s="5"/>
      <c r="U17" s="23"/>
      <c r="V17" s="3"/>
      <c r="W17" s="3"/>
      <c r="X17" s="3"/>
      <c r="Y17" s="59"/>
    </row>
    <row r="18" spans="1:25" ht="38.25" hidden="1" customHeight="1" x14ac:dyDescent="0.25">
      <c r="A18" s="20" t="s">
        <v>0</v>
      </c>
      <c r="B18" s="20" t="s">
        <v>1</v>
      </c>
      <c r="C18" s="20" t="s">
        <v>2</v>
      </c>
      <c r="D18" s="20" t="s">
        <v>3</v>
      </c>
      <c r="E18" s="20" t="s">
        <v>4</v>
      </c>
      <c r="F18" s="20" t="s">
        <v>277</v>
      </c>
      <c r="G18" s="2"/>
      <c r="H18" s="20" t="s">
        <v>0</v>
      </c>
      <c r="I18" s="20" t="s">
        <v>280</v>
      </c>
      <c r="J18" s="20" t="s">
        <v>438</v>
      </c>
      <c r="K18" s="28">
        <v>8147502</v>
      </c>
      <c r="L18" s="18">
        <v>42901</v>
      </c>
      <c r="M18" s="88">
        <f t="shared" si="0"/>
        <v>6</v>
      </c>
      <c r="N18" s="17"/>
      <c r="O18" s="86"/>
      <c r="P18" s="86"/>
      <c r="Q18" s="86"/>
      <c r="R18" s="17">
        <v>42900</v>
      </c>
      <c r="S18" s="24">
        <f t="shared" si="1"/>
        <v>6</v>
      </c>
      <c r="T18" s="5"/>
      <c r="U18" s="3"/>
      <c r="V18" s="3"/>
      <c r="W18" s="3"/>
      <c r="X18" s="3"/>
      <c r="Y18" s="59"/>
    </row>
    <row r="19" spans="1:25" ht="51" hidden="1" customHeight="1" x14ac:dyDescent="0.25">
      <c r="A19" s="2" t="s">
        <v>0</v>
      </c>
      <c r="B19" s="2" t="s">
        <v>1</v>
      </c>
      <c r="C19" s="2" t="s">
        <v>2</v>
      </c>
      <c r="D19" s="2" t="s">
        <v>3</v>
      </c>
      <c r="E19" s="2" t="s">
        <v>4</v>
      </c>
      <c r="F19" s="2" t="s">
        <v>277</v>
      </c>
      <c r="G19" s="2"/>
      <c r="H19" s="2" t="s">
        <v>0</v>
      </c>
      <c r="I19" s="2" t="s">
        <v>129</v>
      </c>
      <c r="J19" s="2" t="s">
        <v>130</v>
      </c>
      <c r="K19" s="28">
        <v>12072166.100000001</v>
      </c>
      <c r="L19" s="11" t="s">
        <v>245</v>
      </c>
      <c r="M19" s="5" t="s">
        <v>245</v>
      </c>
      <c r="N19" s="5"/>
      <c r="O19" s="5"/>
      <c r="P19" s="5"/>
      <c r="Q19" s="5"/>
      <c r="R19" s="17">
        <v>42880</v>
      </c>
      <c r="S19" s="24">
        <f t="shared" si="1"/>
        <v>5</v>
      </c>
      <c r="T19" s="5"/>
      <c r="U19" s="23"/>
      <c r="V19" s="3"/>
      <c r="W19" s="3"/>
      <c r="X19" s="3"/>
      <c r="Y19" s="59"/>
    </row>
    <row r="20" spans="1:25" ht="38.25" hidden="1" customHeight="1" x14ac:dyDescent="0.25">
      <c r="A20" s="20" t="s">
        <v>0</v>
      </c>
      <c r="B20" s="20" t="s">
        <v>1</v>
      </c>
      <c r="C20" s="20" t="s">
        <v>2</v>
      </c>
      <c r="D20" s="20" t="s">
        <v>3</v>
      </c>
      <c r="E20" s="20" t="s">
        <v>4</v>
      </c>
      <c r="F20" s="20" t="s">
        <v>277</v>
      </c>
      <c r="G20" s="2"/>
      <c r="H20" s="20" t="s">
        <v>0</v>
      </c>
      <c r="I20" s="20" t="s">
        <v>281</v>
      </c>
      <c r="J20" s="20" t="s">
        <v>417</v>
      </c>
      <c r="K20" s="28">
        <v>5158030</v>
      </c>
      <c r="L20" s="18">
        <v>42901</v>
      </c>
      <c r="M20" s="88">
        <f t="shared" ref="M20:M56" si="2">MONTH(L20)</f>
        <v>6</v>
      </c>
      <c r="N20" s="17"/>
      <c r="O20" s="86"/>
      <c r="P20" s="86"/>
      <c r="Q20" s="86"/>
      <c r="R20" s="17">
        <v>42901</v>
      </c>
      <c r="S20" s="24">
        <f t="shared" si="1"/>
        <v>6</v>
      </c>
      <c r="T20" s="5"/>
      <c r="U20" s="3"/>
      <c r="V20" s="3"/>
      <c r="W20" s="3"/>
      <c r="X20" s="3"/>
      <c r="Y20" s="59"/>
    </row>
    <row r="21" spans="1:25" ht="38.25" hidden="1" customHeight="1" x14ac:dyDescent="0.25">
      <c r="A21" s="20" t="s">
        <v>0</v>
      </c>
      <c r="B21" s="20" t="s">
        <v>1</v>
      </c>
      <c r="C21" s="20" t="s">
        <v>2</v>
      </c>
      <c r="D21" s="20" t="s">
        <v>3</v>
      </c>
      <c r="E21" s="20" t="s">
        <v>4</v>
      </c>
      <c r="F21" s="20" t="s">
        <v>277</v>
      </c>
      <c r="G21" s="2"/>
      <c r="H21" s="20" t="s">
        <v>0</v>
      </c>
      <c r="I21" s="20" t="s">
        <v>282</v>
      </c>
      <c r="J21" s="20" t="s">
        <v>414</v>
      </c>
      <c r="K21" s="28">
        <v>5208902.0999999996</v>
      </c>
      <c r="L21" s="18">
        <v>42901</v>
      </c>
      <c r="M21" s="88">
        <f t="shared" si="2"/>
        <v>6</v>
      </c>
      <c r="N21" s="17"/>
      <c r="O21" s="86"/>
      <c r="P21" s="86"/>
      <c r="Q21" s="86"/>
      <c r="R21" s="17">
        <v>42898</v>
      </c>
      <c r="S21" s="24">
        <f t="shared" si="1"/>
        <v>6</v>
      </c>
      <c r="T21" s="5"/>
      <c r="U21" s="3"/>
      <c r="V21" s="3"/>
      <c r="W21" s="3"/>
      <c r="X21" s="3"/>
      <c r="Y21" s="59"/>
    </row>
    <row r="22" spans="1:25" ht="38.25" hidden="1" customHeight="1" x14ac:dyDescent="0.25">
      <c r="A22" s="20" t="s">
        <v>0</v>
      </c>
      <c r="B22" s="20" t="s">
        <v>1</v>
      </c>
      <c r="C22" s="20" t="s">
        <v>2</v>
      </c>
      <c r="D22" s="20" t="s">
        <v>3</v>
      </c>
      <c r="E22" s="20" t="s">
        <v>4</v>
      </c>
      <c r="F22" s="20" t="s">
        <v>277</v>
      </c>
      <c r="G22" s="2"/>
      <c r="H22" s="20" t="s">
        <v>0</v>
      </c>
      <c r="I22" s="20" t="s">
        <v>283</v>
      </c>
      <c r="J22" s="20" t="s">
        <v>416</v>
      </c>
      <c r="K22" s="28">
        <v>3013420</v>
      </c>
      <c r="L22" s="18">
        <v>42887</v>
      </c>
      <c r="M22" s="88">
        <f t="shared" si="2"/>
        <v>6</v>
      </c>
      <c r="N22" s="17"/>
      <c r="O22" s="86"/>
      <c r="P22" s="86"/>
      <c r="Q22" s="86"/>
      <c r="R22" s="17">
        <v>42901</v>
      </c>
      <c r="S22" s="24">
        <f t="shared" si="1"/>
        <v>6</v>
      </c>
      <c r="T22" s="5"/>
      <c r="U22" s="3"/>
      <c r="V22" s="3"/>
      <c r="W22" s="3"/>
      <c r="X22" s="3"/>
      <c r="Y22" s="59"/>
    </row>
    <row r="23" spans="1:25" ht="38.25" hidden="1" customHeight="1" x14ac:dyDescent="0.25">
      <c r="A23" s="20" t="s">
        <v>0</v>
      </c>
      <c r="B23" s="20" t="s">
        <v>1</v>
      </c>
      <c r="C23" s="20" t="s">
        <v>2</v>
      </c>
      <c r="D23" s="20" t="s">
        <v>3</v>
      </c>
      <c r="E23" s="20" t="s">
        <v>4</v>
      </c>
      <c r="F23" s="20" t="s">
        <v>277</v>
      </c>
      <c r="G23" s="2"/>
      <c r="H23" s="20" t="s">
        <v>0</v>
      </c>
      <c r="I23" s="20" t="s">
        <v>285</v>
      </c>
      <c r="J23" s="20" t="s">
        <v>437</v>
      </c>
      <c r="K23" s="28">
        <v>21445879.949999999</v>
      </c>
      <c r="L23" s="18">
        <v>42901</v>
      </c>
      <c r="M23" s="88">
        <f t="shared" si="2"/>
        <v>6</v>
      </c>
      <c r="N23" s="17"/>
      <c r="O23" s="86"/>
      <c r="P23" s="86"/>
      <c r="Q23" s="86"/>
      <c r="R23" s="17">
        <v>42894</v>
      </c>
      <c r="S23" s="24">
        <f t="shared" si="1"/>
        <v>6</v>
      </c>
      <c r="T23" s="5"/>
      <c r="U23" s="3"/>
      <c r="V23" s="3"/>
      <c r="W23" s="3"/>
      <c r="X23" s="3"/>
      <c r="Y23" s="59"/>
    </row>
    <row r="24" spans="1:25" ht="38.25" hidden="1" customHeight="1" x14ac:dyDescent="0.25">
      <c r="A24" s="2" t="s">
        <v>0</v>
      </c>
      <c r="B24" s="2" t="s">
        <v>1</v>
      </c>
      <c r="C24" s="2" t="s">
        <v>2</v>
      </c>
      <c r="D24" s="2" t="s">
        <v>3</v>
      </c>
      <c r="E24" s="2" t="s">
        <v>4</v>
      </c>
      <c r="F24" s="2" t="s">
        <v>277</v>
      </c>
      <c r="G24" s="2"/>
      <c r="H24" s="2" t="s">
        <v>0</v>
      </c>
      <c r="I24" s="2" t="s">
        <v>128</v>
      </c>
      <c r="J24" s="2" t="s">
        <v>440</v>
      </c>
      <c r="K24" s="28">
        <v>1332539.8999999999</v>
      </c>
      <c r="L24" s="11">
        <v>42886</v>
      </c>
      <c r="M24" s="88">
        <f t="shared" si="2"/>
        <v>5</v>
      </c>
      <c r="N24" s="5"/>
      <c r="O24" s="5"/>
      <c r="P24" s="5"/>
      <c r="Q24" s="5"/>
      <c r="R24" s="17">
        <v>42901</v>
      </c>
      <c r="S24" s="24">
        <f t="shared" si="1"/>
        <v>6</v>
      </c>
      <c r="T24" s="5"/>
      <c r="U24" s="23"/>
      <c r="V24" s="3"/>
      <c r="W24" s="3"/>
      <c r="X24" s="3"/>
      <c r="Y24" s="59"/>
    </row>
    <row r="25" spans="1:25" ht="38.25" hidden="1" customHeight="1" x14ac:dyDescent="0.25">
      <c r="A25" s="2" t="s">
        <v>0</v>
      </c>
      <c r="B25" s="2" t="s">
        <v>1</v>
      </c>
      <c r="C25" s="2" t="s">
        <v>2</v>
      </c>
      <c r="D25" s="2" t="s">
        <v>3</v>
      </c>
      <c r="E25" s="2" t="s">
        <v>4</v>
      </c>
      <c r="F25" s="2" t="s">
        <v>277</v>
      </c>
      <c r="G25" s="2"/>
      <c r="H25" s="2" t="s">
        <v>0</v>
      </c>
      <c r="I25" s="2" t="s">
        <v>5</v>
      </c>
      <c r="J25" s="2" t="s">
        <v>247</v>
      </c>
      <c r="K25" s="28">
        <v>457983.80000000005</v>
      </c>
      <c r="L25" s="1">
        <v>42846</v>
      </c>
      <c r="M25" s="88">
        <f t="shared" si="2"/>
        <v>4</v>
      </c>
      <c r="N25" s="17"/>
      <c r="O25" s="17"/>
      <c r="P25" s="17"/>
      <c r="Q25" s="17"/>
      <c r="R25" s="17">
        <v>42895</v>
      </c>
      <c r="S25" s="24">
        <f t="shared" si="1"/>
        <v>6</v>
      </c>
      <c r="T25" s="5"/>
      <c r="U25" s="23" t="s">
        <v>112</v>
      </c>
      <c r="V25" s="3"/>
      <c r="W25" s="3"/>
      <c r="X25" s="3"/>
      <c r="Y25" s="59"/>
    </row>
    <row r="26" spans="1:25" ht="38.25" hidden="1" customHeight="1" x14ac:dyDescent="0.25">
      <c r="A26" s="2" t="s">
        <v>105</v>
      </c>
      <c r="B26" s="2" t="s">
        <v>286</v>
      </c>
      <c r="C26" s="2" t="s">
        <v>107</v>
      </c>
      <c r="D26" s="2">
        <v>1</v>
      </c>
      <c r="E26" s="2" t="s">
        <v>9</v>
      </c>
      <c r="F26" s="2" t="s">
        <v>277</v>
      </c>
      <c r="G26" s="2"/>
      <c r="H26" s="2" t="s">
        <v>105</v>
      </c>
      <c r="I26" s="2" t="s">
        <v>133</v>
      </c>
      <c r="J26" s="2" t="s">
        <v>134</v>
      </c>
      <c r="K26" s="28">
        <v>1445000.0000000002</v>
      </c>
      <c r="L26" s="11">
        <v>42886</v>
      </c>
      <c r="M26" s="88">
        <f t="shared" si="2"/>
        <v>5</v>
      </c>
      <c r="N26" s="5"/>
      <c r="O26" s="5">
        <v>42979</v>
      </c>
      <c r="P26" s="5"/>
      <c r="Q26" s="5"/>
      <c r="R26" s="17">
        <v>42977</v>
      </c>
      <c r="S26" s="59">
        <f t="shared" si="1"/>
        <v>8</v>
      </c>
      <c r="T26" s="5"/>
      <c r="U26" s="23"/>
      <c r="V26" s="3" t="s">
        <v>248</v>
      </c>
      <c r="W26" s="3" t="s">
        <v>248</v>
      </c>
      <c r="X26" s="86" t="s">
        <v>657</v>
      </c>
      <c r="Y26" s="59"/>
    </row>
    <row r="27" spans="1:25" ht="140.25" hidden="1" customHeight="1" x14ac:dyDescent="0.25">
      <c r="A27" s="53" t="s">
        <v>105</v>
      </c>
      <c r="B27" s="53" t="s">
        <v>286</v>
      </c>
      <c r="C27" s="20" t="s">
        <v>107</v>
      </c>
      <c r="D27" s="53">
        <v>1</v>
      </c>
      <c r="E27" s="53" t="s">
        <v>9</v>
      </c>
      <c r="F27" s="53" t="s">
        <v>277</v>
      </c>
      <c r="G27" s="75">
        <f>MAX($G$3:G26)+1</f>
        <v>1</v>
      </c>
      <c r="H27" s="53" t="s">
        <v>105</v>
      </c>
      <c r="I27" s="20" t="s">
        <v>503</v>
      </c>
      <c r="J27" s="20" t="s">
        <v>504</v>
      </c>
      <c r="K27" s="55">
        <v>2125000</v>
      </c>
      <c r="L27" s="54">
        <v>42947</v>
      </c>
      <c r="M27" s="88">
        <f t="shared" si="2"/>
        <v>7</v>
      </c>
      <c r="N27" s="17"/>
      <c r="O27" s="5"/>
      <c r="P27" s="5"/>
      <c r="Q27" s="5">
        <v>42979</v>
      </c>
      <c r="R27" s="106">
        <v>42978</v>
      </c>
      <c r="S27" s="59">
        <f t="shared" si="1"/>
        <v>8</v>
      </c>
      <c r="T27" s="10"/>
      <c r="U27" s="3"/>
      <c r="V27" s="59"/>
      <c r="W27" s="59"/>
      <c r="X27" s="59" t="s">
        <v>647</v>
      </c>
      <c r="Y27" s="59"/>
    </row>
    <row r="28" spans="1:25" ht="25.5" hidden="1" customHeight="1" x14ac:dyDescent="0.25">
      <c r="A28" s="53" t="s">
        <v>105</v>
      </c>
      <c r="B28" s="53" t="s">
        <v>286</v>
      </c>
      <c r="C28" s="20" t="s">
        <v>107</v>
      </c>
      <c r="D28" s="53">
        <v>1</v>
      </c>
      <c r="E28" s="53" t="s">
        <v>9</v>
      </c>
      <c r="F28" s="53" t="s">
        <v>277</v>
      </c>
      <c r="G28" s="53"/>
      <c r="H28" s="53" t="s">
        <v>105</v>
      </c>
      <c r="I28" s="20" t="s">
        <v>742</v>
      </c>
      <c r="J28" s="20" t="s">
        <v>743</v>
      </c>
      <c r="K28" s="55">
        <v>4250000</v>
      </c>
      <c r="L28" s="8" t="s">
        <v>245</v>
      </c>
      <c r="M28" s="10" t="s">
        <v>245</v>
      </c>
      <c r="N28" s="108"/>
      <c r="O28" s="108"/>
      <c r="P28" s="109"/>
      <c r="Q28" s="108"/>
      <c r="R28" s="108">
        <v>42979</v>
      </c>
      <c r="S28" s="59">
        <f t="shared" si="1"/>
        <v>9</v>
      </c>
      <c r="T28" s="59"/>
      <c r="U28" s="59"/>
      <c r="V28" s="59"/>
      <c r="W28" s="59"/>
      <c r="X28" s="59"/>
      <c r="Y28" s="59"/>
    </row>
    <row r="29" spans="1:25" ht="48.75" hidden="1" customHeight="1" x14ac:dyDescent="0.25">
      <c r="A29" s="53" t="s">
        <v>105</v>
      </c>
      <c r="B29" s="53" t="s">
        <v>286</v>
      </c>
      <c r="C29" s="20" t="s">
        <v>107</v>
      </c>
      <c r="D29" s="53">
        <v>1</v>
      </c>
      <c r="E29" s="53" t="s">
        <v>9</v>
      </c>
      <c r="F29" s="53" t="s">
        <v>277</v>
      </c>
      <c r="G29" s="53"/>
      <c r="H29" s="53" t="s">
        <v>105</v>
      </c>
      <c r="I29" s="20" t="s">
        <v>742</v>
      </c>
      <c r="J29" s="20" t="s">
        <v>744</v>
      </c>
      <c r="K29" s="55">
        <v>3825000</v>
      </c>
      <c r="L29" s="8" t="s">
        <v>245</v>
      </c>
      <c r="M29" s="10" t="s">
        <v>245</v>
      </c>
      <c r="N29" s="108"/>
      <c r="O29" s="108"/>
      <c r="P29" s="109"/>
      <c r="Q29" s="108"/>
      <c r="R29" s="108">
        <v>42979</v>
      </c>
      <c r="S29" s="59">
        <f t="shared" si="1"/>
        <v>9</v>
      </c>
      <c r="T29" s="59"/>
      <c r="U29" s="59"/>
      <c r="V29" s="59"/>
      <c r="W29" s="59"/>
      <c r="X29" s="59"/>
      <c r="Y29" s="59"/>
    </row>
    <row r="30" spans="1:25" ht="25.5" hidden="1" customHeight="1" x14ac:dyDescent="0.25">
      <c r="A30" s="2" t="s">
        <v>105</v>
      </c>
      <c r="B30" s="2" t="s">
        <v>286</v>
      </c>
      <c r="C30" s="2" t="s">
        <v>107</v>
      </c>
      <c r="D30" s="2">
        <v>1</v>
      </c>
      <c r="E30" s="2" t="s">
        <v>9</v>
      </c>
      <c r="F30" s="2" t="s">
        <v>277</v>
      </c>
      <c r="G30" s="2"/>
      <c r="H30" s="2" t="s">
        <v>105</v>
      </c>
      <c r="I30" s="2" t="s">
        <v>141</v>
      </c>
      <c r="J30" s="2" t="s">
        <v>142</v>
      </c>
      <c r="K30" s="28">
        <v>403749.36300000001</v>
      </c>
      <c r="L30" s="11">
        <v>42886</v>
      </c>
      <c r="M30" s="88">
        <f t="shared" si="2"/>
        <v>5</v>
      </c>
      <c r="N30" s="5"/>
      <c r="O30" s="5">
        <v>42979</v>
      </c>
      <c r="P30" s="5"/>
      <c r="Q30" s="5"/>
      <c r="R30" s="17">
        <v>42969</v>
      </c>
      <c r="S30" s="59">
        <f t="shared" si="1"/>
        <v>8</v>
      </c>
      <c r="T30" s="5"/>
      <c r="U30" s="23"/>
      <c r="V30" s="3" t="s">
        <v>254</v>
      </c>
      <c r="W30" s="3"/>
      <c r="X30" s="86" t="s">
        <v>651</v>
      </c>
      <c r="Y30" s="59"/>
    </row>
    <row r="31" spans="1:25" ht="25.5" hidden="1" customHeight="1" x14ac:dyDescent="0.25">
      <c r="A31" s="53" t="s">
        <v>105</v>
      </c>
      <c r="B31" s="53" t="s">
        <v>286</v>
      </c>
      <c r="C31" s="20" t="s">
        <v>107</v>
      </c>
      <c r="D31" s="53">
        <v>1</v>
      </c>
      <c r="E31" s="53" t="s">
        <v>9</v>
      </c>
      <c r="F31" s="53" t="s">
        <v>277</v>
      </c>
      <c r="G31" s="2"/>
      <c r="H31" s="53" t="s">
        <v>105</v>
      </c>
      <c r="I31" s="20" t="s">
        <v>505</v>
      </c>
      <c r="J31" s="20" t="s">
        <v>506</v>
      </c>
      <c r="K31" s="55">
        <v>850000</v>
      </c>
      <c r="L31" s="54">
        <v>42919</v>
      </c>
      <c r="M31" s="88">
        <f t="shared" si="2"/>
        <v>7</v>
      </c>
      <c r="N31" s="17"/>
      <c r="O31" s="5"/>
      <c r="P31" s="5"/>
      <c r="Q31" s="5">
        <v>42979</v>
      </c>
      <c r="R31" s="106">
        <v>42978</v>
      </c>
      <c r="S31" s="59">
        <f t="shared" si="1"/>
        <v>8</v>
      </c>
      <c r="T31" s="10"/>
      <c r="U31" s="3"/>
      <c r="V31" s="59"/>
      <c r="W31" s="59"/>
      <c r="X31" s="59" t="s">
        <v>647</v>
      </c>
      <c r="Y31" s="59"/>
    </row>
    <row r="32" spans="1:25" ht="127.5" hidden="1" customHeight="1" x14ac:dyDescent="0.25">
      <c r="A32" s="20" t="s">
        <v>105</v>
      </c>
      <c r="B32" s="20" t="s">
        <v>286</v>
      </c>
      <c r="C32" s="20" t="s">
        <v>107</v>
      </c>
      <c r="D32" s="20">
        <v>1</v>
      </c>
      <c r="E32" s="20" t="s">
        <v>9</v>
      </c>
      <c r="F32" s="20" t="s">
        <v>277</v>
      </c>
      <c r="G32" s="2"/>
      <c r="H32" s="20" t="s">
        <v>105</v>
      </c>
      <c r="I32" s="20" t="s">
        <v>289</v>
      </c>
      <c r="J32" s="20" t="s">
        <v>290</v>
      </c>
      <c r="K32" s="28">
        <v>1699999.915</v>
      </c>
      <c r="L32" s="18">
        <v>42887</v>
      </c>
      <c r="M32" s="88">
        <f t="shared" ref="M32:M35" si="3">MONTH(L32)</f>
        <v>6</v>
      </c>
      <c r="N32" s="17"/>
      <c r="O32" s="86"/>
      <c r="P32" s="86"/>
      <c r="Q32" s="86"/>
      <c r="R32" s="17">
        <v>42933</v>
      </c>
      <c r="S32" s="59">
        <f t="shared" si="1"/>
        <v>7</v>
      </c>
      <c r="T32" s="5"/>
      <c r="U32" s="3"/>
      <c r="V32" s="3"/>
      <c r="W32" s="3"/>
      <c r="X32" s="3"/>
      <c r="Y32" s="59"/>
    </row>
    <row r="33" spans="1:25" ht="39.75" hidden="1" customHeight="1" x14ac:dyDescent="0.25">
      <c r="A33" s="53" t="s">
        <v>105</v>
      </c>
      <c r="B33" s="53" t="s">
        <v>286</v>
      </c>
      <c r="C33" s="20" t="s">
        <v>107</v>
      </c>
      <c r="D33" s="53">
        <v>1</v>
      </c>
      <c r="E33" s="53" t="s">
        <v>9</v>
      </c>
      <c r="F33" s="53" t="s">
        <v>277</v>
      </c>
      <c r="G33" s="75">
        <f>MAX($G$3:G32)+1</f>
        <v>2</v>
      </c>
      <c r="H33" s="53" t="s">
        <v>105</v>
      </c>
      <c r="I33" s="20" t="s">
        <v>289</v>
      </c>
      <c r="J33" s="20" t="s">
        <v>688</v>
      </c>
      <c r="K33" s="55">
        <v>1020000</v>
      </c>
      <c r="L33" s="54">
        <v>42978</v>
      </c>
      <c r="M33" s="88">
        <f t="shared" si="2"/>
        <v>8</v>
      </c>
      <c r="N33" s="17"/>
      <c r="O33" s="17"/>
      <c r="P33" s="107"/>
      <c r="Q33" s="5"/>
      <c r="R33" s="106">
        <v>42978</v>
      </c>
      <c r="S33" s="59">
        <f t="shared" si="1"/>
        <v>8</v>
      </c>
      <c r="T33" s="3"/>
      <c r="U33" s="3"/>
      <c r="V33" s="3"/>
      <c r="W33" s="59"/>
      <c r="X33" s="59"/>
      <c r="Y33" s="59"/>
    </row>
    <row r="34" spans="1:25" ht="36.75" hidden="1" customHeight="1" x14ac:dyDescent="0.25">
      <c r="A34" s="2" t="s">
        <v>105</v>
      </c>
      <c r="B34" s="2" t="s">
        <v>286</v>
      </c>
      <c r="C34" s="2" t="s">
        <v>107</v>
      </c>
      <c r="D34" s="2">
        <v>1</v>
      </c>
      <c r="E34" s="2" t="s">
        <v>9</v>
      </c>
      <c r="F34" s="2" t="s">
        <v>277</v>
      </c>
      <c r="G34" s="2"/>
      <c r="H34" s="2" t="s">
        <v>105</v>
      </c>
      <c r="I34" s="2" t="s">
        <v>135</v>
      </c>
      <c r="J34" s="2" t="s">
        <v>136</v>
      </c>
      <c r="K34" s="28">
        <v>425000</v>
      </c>
      <c r="L34" s="11">
        <v>42886</v>
      </c>
      <c r="M34" s="88">
        <f t="shared" si="2"/>
        <v>5</v>
      </c>
      <c r="N34" s="5"/>
      <c r="O34" s="5">
        <v>42979</v>
      </c>
      <c r="P34" s="5"/>
      <c r="Q34" s="5"/>
      <c r="R34" s="17">
        <v>42979</v>
      </c>
      <c r="S34" s="59">
        <f t="shared" si="1"/>
        <v>9</v>
      </c>
      <c r="T34" s="5"/>
      <c r="U34" s="23"/>
      <c r="V34" s="3" t="s">
        <v>248</v>
      </c>
      <c r="W34" s="3"/>
      <c r="X34" s="86" t="s">
        <v>647</v>
      </c>
      <c r="Y34" s="59"/>
    </row>
    <row r="35" spans="1:25" ht="25.5" hidden="1" customHeight="1" x14ac:dyDescent="0.25">
      <c r="A35" s="2" t="s">
        <v>105</v>
      </c>
      <c r="B35" s="2" t="s">
        <v>286</v>
      </c>
      <c r="C35" s="2" t="s">
        <v>107</v>
      </c>
      <c r="D35" s="2">
        <v>1</v>
      </c>
      <c r="E35" s="2" t="s">
        <v>9</v>
      </c>
      <c r="F35" s="2" t="s">
        <v>277</v>
      </c>
      <c r="G35" s="2"/>
      <c r="H35" s="2" t="s">
        <v>105</v>
      </c>
      <c r="I35" s="2" t="s">
        <v>131</v>
      </c>
      <c r="J35" s="2" t="s">
        <v>132</v>
      </c>
      <c r="K35" s="28">
        <v>2975000</v>
      </c>
      <c r="L35" s="11">
        <v>42857</v>
      </c>
      <c r="M35" s="88">
        <f t="shared" si="3"/>
        <v>5</v>
      </c>
      <c r="N35" s="5"/>
      <c r="O35" s="5"/>
      <c r="P35" s="5"/>
      <c r="Q35" s="5"/>
      <c r="R35" s="17">
        <v>42873</v>
      </c>
      <c r="S35" s="59">
        <f t="shared" si="1"/>
        <v>5</v>
      </c>
      <c r="T35" s="5"/>
      <c r="U35" s="23"/>
      <c r="V35" s="3"/>
      <c r="W35" s="3"/>
      <c r="X35" s="3"/>
      <c r="Y35" s="59"/>
    </row>
    <row r="36" spans="1:25" ht="242.25" hidden="1" customHeight="1" x14ac:dyDescent="0.25">
      <c r="A36" s="53" t="s">
        <v>105</v>
      </c>
      <c r="B36" s="53" t="s">
        <v>286</v>
      </c>
      <c r="C36" s="20" t="s">
        <v>107</v>
      </c>
      <c r="D36" s="53">
        <v>1</v>
      </c>
      <c r="E36" s="53" t="s">
        <v>9</v>
      </c>
      <c r="F36" s="53" t="s">
        <v>277</v>
      </c>
      <c r="G36" s="53"/>
      <c r="H36" s="53" t="s">
        <v>105</v>
      </c>
      <c r="I36" s="20" t="s">
        <v>131</v>
      </c>
      <c r="J36" s="20" t="s">
        <v>741</v>
      </c>
      <c r="K36" s="55">
        <v>1700000</v>
      </c>
      <c r="L36" s="8" t="s">
        <v>245</v>
      </c>
      <c r="M36" s="10" t="s">
        <v>245</v>
      </c>
      <c r="N36" s="108"/>
      <c r="O36" s="108"/>
      <c r="P36" s="109"/>
      <c r="Q36" s="108"/>
      <c r="R36" s="108">
        <v>42975</v>
      </c>
      <c r="S36" s="59">
        <f t="shared" si="1"/>
        <v>8</v>
      </c>
      <c r="T36" s="59"/>
      <c r="U36" s="59"/>
      <c r="V36" s="59"/>
      <c r="W36" s="59"/>
      <c r="X36" s="59"/>
      <c r="Y36" s="59"/>
    </row>
    <row r="37" spans="1:25" ht="242.25" hidden="1" customHeight="1" x14ac:dyDescent="0.25">
      <c r="A37" s="20" t="s">
        <v>105</v>
      </c>
      <c r="B37" s="20" t="s">
        <v>286</v>
      </c>
      <c r="C37" s="20" t="s">
        <v>107</v>
      </c>
      <c r="D37" s="20">
        <v>1</v>
      </c>
      <c r="E37" s="20" t="s">
        <v>9</v>
      </c>
      <c r="F37" s="20" t="s">
        <v>277</v>
      </c>
      <c r="G37" s="2"/>
      <c r="H37" s="20" t="s">
        <v>105</v>
      </c>
      <c r="I37" s="20" t="s">
        <v>295</v>
      </c>
      <c r="J37" s="20" t="s">
        <v>296</v>
      </c>
      <c r="K37" s="28">
        <v>935000</v>
      </c>
      <c r="L37" s="18">
        <v>42916</v>
      </c>
      <c r="M37" s="88">
        <f t="shared" si="2"/>
        <v>6</v>
      </c>
      <c r="N37" s="17"/>
      <c r="O37" s="86"/>
      <c r="P37" s="17">
        <v>42979</v>
      </c>
      <c r="Q37" s="5"/>
      <c r="R37" s="17">
        <v>42979</v>
      </c>
      <c r="S37" s="59">
        <f t="shared" si="1"/>
        <v>9</v>
      </c>
      <c r="T37" s="5"/>
      <c r="U37" s="3"/>
      <c r="V37" s="3"/>
      <c r="W37" s="3" t="s">
        <v>466</v>
      </c>
      <c r="X37" s="3" t="s">
        <v>647</v>
      </c>
      <c r="Y37" s="59"/>
    </row>
    <row r="38" spans="1:25" ht="41.25" hidden="1" customHeight="1" x14ac:dyDescent="0.25">
      <c r="A38" s="59" t="s">
        <v>105</v>
      </c>
      <c r="B38" s="3" t="s">
        <v>286</v>
      </c>
      <c r="C38" s="59" t="s">
        <v>107</v>
      </c>
      <c r="D38" s="59">
        <v>1</v>
      </c>
      <c r="E38" s="59" t="s">
        <v>9</v>
      </c>
      <c r="F38" s="59" t="s">
        <v>277</v>
      </c>
      <c r="G38" s="59"/>
      <c r="H38" s="53" t="s">
        <v>105</v>
      </c>
      <c r="I38" s="59" t="s">
        <v>746</v>
      </c>
      <c r="J38" s="24" t="s">
        <v>747</v>
      </c>
      <c r="K38" s="101">
        <v>4250000</v>
      </c>
      <c r="L38" s="10">
        <v>43008</v>
      </c>
      <c r="M38" s="88">
        <f t="shared" si="2"/>
        <v>9</v>
      </c>
      <c r="N38" s="108"/>
      <c r="O38" s="108"/>
      <c r="P38" s="108"/>
      <c r="Q38" s="109"/>
      <c r="R38" s="108">
        <v>42979</v>
      </c>
      <c r="S38" s="59">
        <f t="shared" si="1"/>
        <v>9</v>
      </c>
      <c r="T38" s="59"/>
      <c r="U38" s="59"/>
      <c r="V38" s="59"/>
      <c r="W38" s="59"/>
      <c r="X38" s="59"/>
      <c r="Y38" s="59"/>
    </row>
    <row r="39" spans="1:25" ht="253.5" hidden="1" customHeight="1" x14ac:dyDescent="0.25">
      <c r="A39" s="59" t="s">
        <v>105</v>
      </c>
      <c r="B39" s="3" t="s">
        <v>286</v>
      </c>
      <c r="C39" s="59" t="s">
        <v>107</v>
      </c>
      <c r="D39" s="59">
        <v>1</v>
      </c>
      <c r="E39" s="59" t="s">
        <v>9</v>
      </c>
      <c r="F39" s="59" t="s">
        <v>277</v>
      </c>
      <c r="G39" s="59"/>
      <c r="H39" s="59" t="s">
        <v>105</v>
      </c>
      <c r="I39" s="59" t="s">
        <v>746</v>
      </c>
      <c r="J39" s="24" t="s">
        <v>748</v>
      </c>
      <c r="K39" s="101">
        <v>4250000</v>
      </c>
      <c r="L39" s="10">
        <v>43008</v>
      </c>
      <c r="M39" s="88">
        <f t="shared" si="2"/>
        <v>9</v>
      </c>
      <c r="N39" s="108"/>
      <c r="O39" s="108"/>
      <c r="P39" s="108"/>
      <c r="Q39" s="109"/>
      <c r="R39" s="108">
        <v>42979</v>
      </c>
      <c r="S39" s="59">
        <f t="shared" si="1"/>
        <v>9</v>
      </c>
      <c r="T39" s="59"/>
      <c r="U39" s="59"/>
      <c r="V39" s="59"/>
      <c r="W39" s="59"/>
      <c r="X39" s="59"/>
      <c r="Y39" s="59"/>
    </row>
    <row r="40" spans="1:25" ht="69" hidden="1" customHeight="1" x14ac:dyDescent="0.25">
      <c r="A40" s="53" t="s">
        <v>105</v>
      </c>
      <c r="B40" s="53" t="s">
        <v>286</v>
      </c>
      <c r="C40" s="20" t="s">
        <v>107</v>
      </c>
      <c r="D40" s="53">
        <v>1</v>
      </c>
      <c r="E40" s="53" t="s">
        <v>9</v>
      </c>
      <c r="F40" s="53" t="s">
        <v>277</v>
      </c>
      <c r="G40" s="2"/>
      <c r="H40" s="53" t="s">
        <v>105</v>
      </c>
      <c r="I40" s="20" t="s">
        <v>689</v>
      </c>
      <c r="J40" s="20" t="s">
        <v>690</v>
      </c>
      <c r="K40" s="55">
        <v>850000</v>
      </c>
      <c r="L40" s="54">
        <v>42978</v>
      </c>
      <c r="M40" s="88">
        <f t="shared" si="2"/>
        <v>8</v>
      </c>
      <c r="N40" s="17"/>
      <c r="O40" s="17"/>
      <c r="P40" s="107"/>
      <c r="Q40" s="5"/>
      <c r="R40" s="106">
        <v>42979</v>
      </c>
      <c r="S40" s="59">
        <f t="shared" si="1"/>
        <v>9</v>
      </c>
      <c r="T40" s="3"/>
      <c r="U40" s="3"/>
      <c r="V40" s="3"/>
      <c r="W40" s="59"/>
      <c r="X40" s="59"/>
      <c r="Y40" s="59"/>
    </row>
    <row r="41" spans="1:25" ht="63" hidden="1" customHeight="1" x14ac:dyDescent="0.25">
      <c r="A41" s="20" t="s">
        <v>105</v>
      </c>
      <c r="B41" s="20" t="s">
        <v>286</v>
      </c>
      <c r="C41" s="20" t="s">
        <v>107</v>
      </c>
      <c r="D41" s="20">
        <v>1</v>
      </c>
      <c r="E41" s="20" t="s">
        <v>9</v>
      </c>
      <c r="F41" s="20" t="s">
        <v>277</v>
      </c>
      <c r="G41" s="2"/>
      <c r="H41" s="20" t="s">
        <v>105</v>
      </c>
      <c r="I41" s="20" t="s">
        <v>287</v>
      </c>
      <c r="J41" s="20" t="s">
        <v>288</v>
      </c>
      <c r="K41" s="28">
        <v>4250000</v>
      </c>
      <c r="L41" s="18">
        <v>42916</v>
      </c>
      <c r="M41" s="88">
        <f t="shared" ref="M41" si="4">MONTH(L41)</f>
        <v>6</v>
      </c>
      <c r="N41" s="17"/>
      <c r="O41" s="86"/>
      <c r="P41" s="17"/>
      <c r="Q41" s="17"/>
      <c r="R41" s="17">
        <v>42923</v>
      </c>
      <c r="S41" s="59">
        <f t="shared" si="1"/>
        <v>7</v>
      </c>
      <c r="T41" s="5"/>
      <c r="U41" s="3"/>
      <c r="V41" s="3"/>
      <c r="W41" s="3"/>
      <c r="X41" s="3"/>
      <c r="Y41" s="59"/>
    </row>
    <row r="42" spans="1:25" ht="42.75" hidden="1" customHeight="1" x14ac:dyDescent="0.25">
      <c r="A42" s="2" t="s">
        <v>105</v>
      </c>
      <c r="B42" s="2" t="s">
        <v>286</v>
      </c>
      <c r="C42" s="2" t="s">
        <v>107</v>
      </c>
      <c r="D42" s="2">
        <v>1</v>
      </c>
      <c r="E42" s="2" t="s">
        <v>9</v>
      </c>
      <c r="F42" s="2" t="s">
        <v>277</v>
      </c>
      <c r="G42" s="2"/>
      <c r="H42" s="2" t="s">
        <v>105</v>
      </c>
      <c r="I42" s="2" t="s">
        <v>143</v>
      </c>
      <c r="J42" s="2" t="s">
        <v>144</v>
      </c>
      <c r="K42" s="28">
        <v>359549.36300000001</v>
      </c>
      <c r="L42" s="11">
        <v>42886</v>
      </c>
      <c r="M42" s="88">
        <f t="shared" si="2"/>
        <v>5</v>
      </c>
      <c r="N42" s="5"/>
      <c r="O42" s="5">
        <v>42979</v>
      </c>
      <c r="P42" s="5"/>
      <c r="Q42" s="5"/>
      <c r="R42" s="17">
        <v>42969</v>
      </c>
      <c r="S42" s="59">
        <f t="shared" si="1"/>
        <v>8</v>
      </c>
      <c r="T42" s="5"/>
      <c r="U42" s="23"/>
      <c r="V42" s="3" t="s">
        <v>254</v>
      </c>
      <c r="W42" s="3"/>
      <c r="X42" s="3" t="s">
        <v>685</v>
      </c>
      <c r="Y42" s="59"/>
    </row>
    <row r="43" spans="1:25" s="123" customFormat="1" ht="229.5" hidden="1" customHeight="1" x14ac:dyDescent="0.25">
      <c r="A43" s="2" t="s">
        <v>105</v>
      </c>
      <c r="B43" s="2" t="s">
        <v>286</v>
      </c>
      <c r="C43" s="2" t="s">
        <v>107</v>
      </c>
      <c r="D43" s="2">
        <v>1</v>
      </c>
      <c r="E43" s="2" t="s">
        <v>9</v>
      </c>
      <c r="F43" s="2" t="s">
        <v>277</v>
      </c>
      <c r="G43" s="2"/>
      <c r="H43" s="2" t="s">
        <v>105</v>
      </c>
      <c r="I43" s="2" t="s">
        <v>139</v>
      </c>
      <c r="J43" s="2" t="s">
        <v>140</v>
      </c>
      <c r="K43" s="28">
        <v>789650.19649999985</v>
      </c>
      <c r="L43" s="11">
        <v>42886</v>
      </c>
      <c r="M43" s="88">
        <f t="shared" si="2"/>
        <v>5</v>
      </c>
      <c r="N43" s="5"/>
      <c r="O43" s="5">
        <v>42979</v>
      </c>
      <c r="P43" s="5"/>
      <c r="Q43" s="5"/>
      <c r="R43" s="17">
        <v>42969</v>
      </c>
      <c r="S43" s="59">
        <f t="shared" si="1"/>
        <v>8</v>
      </c>
      <c r="T43" s="5"/>
      <c r="U43" s="23"/>
      <c r="V43" s="3" t="s">
        <v>254</v>
      </c>
      <c r="W43" s="3"/>
      <c r="X43" s="3" t="s">
        <v>652</v>
      </c>
      <c r="Y43" s="59"/>
    </row>
    <row r="44" spans="1:25" s="123" customFormat="1" ht="65.25" hidden="1" customHeight="1" x14ac:dyDescent="0.25">
      <c r="A44" s="53" t="s">
        <v>105</v>
      </c>
      <c r="B44" s="53" t="s">
        <v>286</v>
      </c>
      <c r="C44" s="20" t="s">
        <v>107</v>
      </c>
      <c r="D44" s="53">
        <v>1</v>
      </c>
      <c r="E44" s="53" t="s">
        <v>9</v>
      </c>
      <c r="F44" s="53" t="s">
        <v>277</v>
      </c>
      <c r="G44" s="2"/>
      <c r="H44" s="53" t="s">
        <v>105</v>
      </c>
      <c r="I44" s="20" t="s">
        <v>382</v>
      </c>
      <c r="J44" s="20" t="s">
        <v>509</v>
      </c>
      <c r="K44" s="55">
        <v>1700000</v>
      </c>
      <c r="L44" s="54">
        <v>42917</v>
      </c>
      <c r="M44" s="88">
        <f t="shared" si="2"/>
        <v>7</v>
      </c>
      <c r="N44" s="17"/>
      <c r="O44" s="5"/>
      <c r="P44" s="5"/>
      <c r="Q44" s="5">
        <v>42979</v>
      </c>
      <c r="R44" s="106">
        <v>42978</v>
      </c>
      <c r="S44" s="59">
        <f t="shared" si="1"/>
        <v>8</v>
      </c>
      <c r="T44" s="10"/>
      <c r="U44" s="3"/>
      <c r="V44" s="59"/>
      <c r="W44" s="59"/>
      <c r="X44" s="59" t="s">
        <v>647</v>
      </c>
      <c r="Y44" s="59"/>
    </row>
    <row r="45" spans="1:25" s="123" customFormat="1" ht="25.5" hidden="1" customHeight="1" x14ac:dyDescent="0.25">
      <c r="A45" s="2" t="s">
        <v>105</v>
      </c>
      <c r="B45" s="2" t="s">
        <v>286</v>
      </c>
      <c r="C45" s="2" t="s">
        <v>107</v>
      </c>
      <c r="D45" s="2">
        <v>1</v>
      </c>
      <c r="E45" s="2" t="s">
        <v>9</v>
      </c>
      <c r="F45" s="2" t="s">
        <v>277</v>
      </c>
      <c r="G45" s="2"/>
      <c r="H45" s="2" t="s">
        <v>105</v>
      </c>
      <c r="I45" s="2" t="s">
        <v>137</v>
      </c>
      <c r="J45" s="2" t="s">
        <v>138</v>
      </c>
      <c r="K45" s="28">
        <v>2697048.79</v>
      </c>
      <c r="L45" s="11">
        <v>42886</v>
      </c>
      <c r="M45" s="88">
        <f t="shared" si="2"/>
        <v>5</v>
      </c>
      <c r="N45" s="5"/>
      <c r="O45" s="5">
        <v>42979</v>
      </c>
      <c r="P45" s="5"/>
      <c r="Q45" s="5"/>
      <c r="R45" s="17">
        <v>42969</v>
      </c>
      <c r="S45" s="59">
        <f t="shared" si="1"/>
        <v>8</v>
      </c>
      <c r="T45" s="5"/>
      <c r="U45" s="23"/>
      <c r="V45" s="3" t="s">
        <v>254</v>
      </c>
      <c r="W45" s="3"/>
      <c r="X45" s="3" t="s">
        <v>651</v>
      </c>
      <c r="Y45" s="59"/>
    </row>
    <row r="46" spans="1:25" ht="48.75" hidden="1" customHeight="1" x14ac:dyDescent="0.25">
      <c r="A46" s="2" t="s">
        <v>105</v>
      </c>
      <c r="B46" s="2" t="s">
        <v>286</v>
      </c>
      <c r="C46" s="2" t="s">
        <v>107</v>
      </c>
      <c r="D46" s="2">
        <v>1</v>
      </c>
      <c r="E46" s="2" t="s">
        <v>9</v>
      </c>
      <c r="F46" s="2" t="s">
        <v>277</v>
      </c>
      <c r="G46" s="2"/>
      <c r="H46" s="2" t="s">
        <v>105</v>
      </c>
      <c r="I46" s="2" t="s">
        <v>145</v>
      </c>
      <c r="J46" s="2" t="s">
        <v>146</v>
      </c>
      <c r="K46" s="28">
        <v>1700000</v>
      </c>
      <c r="L46" s="11">
        <v>42886</v>
      </c>
      <c r="M46" s="88">
        <f t="shared" si="2"/>
        <v>5</v>
      </c>
      <c r="N46" s="5"/>
      <c r="O46" s="5">
        <v>42979</v>
      </c>
      <c r="P46" s="5"/>
      <c r="Q46" s="5"/>
      <c r="R46" s="17">
        <v>42977</v>
      </c>
      <c r="S46" s="59">
        <f t="shared" si="1"/>
        <v>8</v>
      </c>
      <c r="T46" s="5"/>
      <c r="U46" s="23"/>
      <c r="V46" s="3" t="s">
        <v>254</v>
      </c>
      <c r="W46" s="3"/>
      <c r="X46" s="3" t="s">
        <v>667</v>
      </c>
      <c r="Y46" s="59"/>
    </row>
    <row r="47" spans="1:25" ht="184.5" hidden="1" customHeight="1" x14ac:dyDescent="0.25">
      <c r="A47" s="20" t="s">
        <v>105</v>
      </c>
      <c r="B47" s="20" t="s">
        <v>286</v>
      </c>
      <c r="C47" s="20" t="s">
        <v>107</v>
      </c>
      <c r="D47" s="20">
        <v>1</v>
      </c>
      <c r="E47" s="20" t="s">
        <v>9</v>
      </c>
      <c r="F47" s="20" t="s">
        <v>277</v>
      </c>
      <c r="G47" s="2"/>
      <c r="H47" s="20" t="s">
        <v>105</v>
      </c>
      <c r="I47" s="20" t="s">
        <v>145</v>
      </c>
      <c r="J47" s="20" t="s">
        <v>294</v>
      </c>
      <c r="K47" s="28">
        <v>1700000</v>
      </c>
      <c r="L47" s="18">
        <v>42916</v>
      </c>
      <c r="M47" s="88">
        <f t="shared" si="2"/>
        <v>6</v>
      </c>
      <c r="N47" s="17"/>
      <c r="O47" s="86"/>
      <c r="P47" s="17">
        <v>42979</v>
      </c>
      <c r="Q47" s="5"/>
      <c r="R47" s="17">
        <v>42975</v>
      </c>
      <c r="S47" s="59">
        <f t="shared" si="1"/>
        <v>8</v>
      </c>
      <c r="T47" s="5"/>
      <c r="U47" s="3"/>
      <c r="V47" s="3"/>
      <c r="W47" s="3" t="s">
        <v>467</v>
      </c>
      <c r="X47" s="3" t="s">
        <v>666</v>
      </c>
      <c r="Y47" s="59"/>
    </row>
    <row r="48" spans="1:25" s="119" customFormat="1" ht="63.75" hidden="1" customHeight="1" x14ac:dyDescent="0.25">
      <c r="A48" s="98" t="s">
        <v>105</v>
      </c>
      <c r="B48" s="98" t="s">
        <v>286</v>
      </c>
      <c r="C48" s="117" t="s">
        <v>107</v>
      </c>
      <c r="D48" s="98">
        <v>1</v>
      </c>
      <c r="E48" s="98" t="s">
        <v>9</v>
      </c>
      <c r="F48" s="98" t="s">
        <v>277</v>
      </c>
      <c r="G48" s="87"/>
      <c r="H48" s="98" t="s">
        <v>105</v>
      </c>
      <c r="I48" s="117" t="s">
        <v>145</v>
      </c>
      <c r="J48" s="117" t="s">
        <v>507</v>
      </c>
      <c r="K48" s="118">
        <v>850000</v>
      </c>
      <c r="L48" s="97">
        <v>42917</v>
      </c>
      <c r="M48" s="88">
        <f t="shared" si="2"/>
        <v>7</v>
      </c>
      <c r="N48" s="17"/>
      <c r="O48" s="5"/>
      <c r="P48" s="5"/>
      <c r="Q48" s="5">
        <v>42979</v>
      </c>
      <c r="R48" s="106">
        <v>42972</v>
      </c>
      <c r="S48" s="110">
        <f t="shared" si="1"/>
        <v>8</v>
      </c>
      <c r="T48" s="17"/>
      <c r="U48" s="86"/>
      <c r="V48" s="110"/>
      <c r="W48" s="110"/>
      <c r="X48" s="86" t="s">
        <v>665</v>
      </c>
      <c r="Y48" s="110"/>
    </row>
    <row r="49" spans="1:25" ht="63.75" hidden="1" customHeight="1" x14ac:dyDescent="0.25">
      <c r="A49" s="2" t="s">
        <v>105</v>
      </c>
      <c r="B49" s="2" t="s">
        <v>286</v>
      </c>
      <c r="C49" s="2" t="s">
        <v>107</v>
      </c>
      <c r="D49" s="2">
        <v>1</v>
      </c>
      <c r="E49" s="2" t="s">
        <v>9</v>
      </c>
      <c r="F49" s="2" t="s">
        <v>277</v>
      </c>
      <c r="G49" s="2"/>
      <c r="H49" s="2" t="s">
        <v>105</v>
      </c>
      <c r="I49" s="2" t="s">
        <v>93</v>
      </c>
      <c r="J49" s="2" t="s">
        <v>92</v>
      </c>
      <c r="K49" s="28">
        <v>1700000</v>
      </c>
      <c r="L49" s="11" t="s">
        <v>245</v>
      </c>
      <c r="M49" s="5" t="s">
        <v>245</v>
      </c>
      <c r="N49" s="5"/>
      <c r="O49" s="5"/>
      <c r="P49" s="5"/>
      <c r="Q49" s="5"/>
      <c r="R49" s="17">
        <v>42846</v>
      </c>
      <c r="S49" s="59">
        <f t="shared" si="1"/>
        <v>4</v>
      </c>
      <c r="T49" s="5"/>
      <c r="U49" s="23"/>
      <c r="V49" s="3"/>
      <c r="W49" s="3"/>
      <c r="X49" s="3"/>
      <c r="Y49" s="120"/>
    </row>
    <row r="50" spans="1:25" ht="63.75" hidden="1" customHeight="1" x14ac:dyDescent="0.25">
      <c r="A50" s="2" t="s">
        <v>105</v>
      </c>
      <c r="B50" s="2" t="s">
        <v>286</v>
      </c>
      <c r="C50" s="2" t="s">
        <v>107</v>
      </c>
      <c r="D50" s="2">
        <v>1</v>
      </c>
      <c r="E50" s="2" t="s">
        <v>9</v>
      </c>
      <c r="F50" s="2" t="s">
        <v>277</v>
      </c>
      <c r="G50" s="2"/>
      <c r="H50" s="2" t="s">
        <v>105</v>
      </c>
      <c r="I50" s="2" t="s">
        <v>93</v>
      </c>
      <c r="J50" s="2" t="s">
        <v>147</v>
      </c>
      <c r="K50" s="28">
        <v>849999.9999966668</v>
      </c>
      <c r="L50" s="11">
        <v>42886</v>
      </c>
      <c r="M50" s="88">
        <f t="shared" si="2"/>
        <v>5</v>
      </c>
      <c r="N50" s="5"/>
      <c r="O50" s="5">
        <v>42979</v>
      </c>
      <c r="P50" s="5"/>
      <c r="Q50" s="5"/>
      <c r="R50" s="17">
        <v>42958</v>
      </c>
      <c r="S50" s="59">
        <f t="shared" si="1"/>
        <v>8</v>
      </c>
      <c r="T50" s="5"/>
      <c r="U50" s="23"/>
      <c r="V50" s="3" t="s">
        <v>254</v>
      </c>
      <c r="W50" s="3"/>
      <c r="X50" s="3" t="s">
        <v>254</v>
      </c>
      <c r="Y50" s="120"/>
    </row>
    <row r="51" spans="1:25" ht="63.75" hidden="1" customHeight="1" x14ac:dyDescent="0.25">
      <c r="A51" s="20" t="s">
        <v>105</v>
      </c>
      <c r="B51" s="20" t="s">
        <v>286</v>
      </c>
      <c r="C51" s="20" t="s">
        <v>107</v>
      </c>
      <c r="D51" s="20">
        <v>1</v>
      </c>
      <c r="E51" s="20" t="s">
        <v>9</v>
      </c>
      <c r="F51" s="20" t="s">
        <v>277</v>
      </c>
      <c r="G51" s="2"/>
      <c r="H51" s="20" t="s">
        <v>105</v>
      </c>
      <c r="I51" s="2" t="s">
        <v>93</v>
      </c>
      <c r="J51" s="20" t="s">
        <v>293</v>
      </c>
      <c r="K51" s="28">
        <v>3400000.0049191522</v>
      </c>
      <c r="L51" s="18">
        <v>42888</v>
      </c>
      <c r="M51" s="88">
        <f t="shared" si="2"/>
        <v>6</v>
      </c>
      <c r="N51" s="17"/>
      <c r="O51" s="86"/>
      <c r="P51" s="17">
        <v>42979</v>
      </c>
      <c r="Q51" s="17"/>
      <c r="R51" s="17">
        <v>42965</v>
      </c>
      <c r="S51" s="59">
        <f t="shared" si="1"/>
        <v>8</v>
      </c>
      <c r="T51" s="5"/>
      <c r="U51" s="3"/>
      <c r="V51" s="3"/>
      <c r="W51" s="3" t="s">
        <v>469</v>
      </c>
      <c r="X51" s="3" t="s">
        <v>612</v>
      </c>
      <c r="Y51" s="59"/>
    </row>
    <row r="52" spans="1:25" ht="63.75" hidden="1" customHeight="1" x14ac:dyDescent="0.25">
      <c r="A52" s="53" t="s">
        <v>105</v>
      </c>
      <c r="B52" s="53" t="s">
        <v>286</v>
      </c>
      <c r="C52" s="20" t="s">
        <v>107</v>
      </c>
      <c r="D52" s="53">
        <v>1</v>
      </c>
      <c r="E52" s="53" t="s">
        <v>9</v>
      </c>
      <c r="F52" s="53" t="s">
        <v>277</v>
      </c>
      <c r="G52" s="2"/>
      <c r="H52" s="53" t="s">
        <v>105</v>
      </c>
      <c r="I52" s="2" t="s">
        <v>93</v>
      </c>
      <c r="J52" s="20" t="s">
        <v>508</v>
      </c>
      <c r="K52" s="55">
        <v>3825000</v>
      </c>
      <c r="L52" s="54">
        <v>42940</v>
      </c>
      <c r="M52" s="88">
        <f t="shared" si="2"/>
        <v>7</v>
      </c>
      <c r="N52" s="17"/>
      <c r="O52" s="5"/>
      <c r="P52" s="5"/>
      <c r="Q52" s="5">
        <v>42979</v>
      </c>
      <c r="R52" s="106">
        <v>42972</v>
      </c>
      <c r="S52" s="59">
        <f t="shared" si="1"/>
        <v>8</v>
      </c>
      <c r="T52" s="10"/>
      <c r="U52" s="3"/>
      <c r="V52" s="59"/>
      <c r="W52" s="59"/>
      <c r="X52" s="3" t="s">
        <v>663</v>
      </c>
      <c r="Y52" s="59"/>
    </row>
    <row r="53" spans="1:25" ht="63.75" hidden="1" customHeight="1" x14ac:dyDescent="0.25">
      <c r="A53" s="53" t="s">
        <v>105</v>
      </c>
      <c r="B53" s="53" t="s">
        <v>286</v>
      </c>
      <c r="C53" s="20" t="s">
        <v>107</v>
      </c>
      <c r="D53" s="53">
        <v>1</v>
      </c>
      <c r="E53" s="53" t="s">
        <v>9</v>
      </c>
      <c r="F53" s="53" t="s">
        <v>277</v>
      </c>
      <c r="G53" s="2"/>
      <c r="H53" s="53" t="s">
        <v>105</v>
      </c>
      <c r="I53" s="2" t="s">
        <v>195</v>
      </c>
      <c r="J53" s="20" t="s">
        <v>767</v>
      </c>
      <c r="K53" s="55">
        <v>340000.01</v>
      </c>
      <c r="L53" s="54" t="s">
        <v>245</v>
      </c>
      <c r="M53" s="10" t="s">
        <v>245</v>
      </c>
      <c r="N53" s="17"/>
      <c r="O53" s="5"/>
      <c r="P53" s="5"/>
      <c r="Q53" s="5"/>
      <c r="R53" s="106">
        <v>42978</v>
      </c>
      <c r="S53" s="59">
        <f t="shared" si="1"/>
        <v>8</v>
      </c>
      <c r="T53" s="10"/>
      <c r="U53" s="3"/>
      <c r="V53" s="59"/>
      <c r="W53" s="59"/>
      <c r="X53" s="3"/>
      <c r="Y53" s="59"/>
    </row>
    <row r="54" spans="1:25" ht="30.75" hidden="1" customHeight="1" x14ac:dyDescent="0.25">
      <c r="A54" s="20" t="s">
        <v>105</v>
      </c>
      <c r="B54" s="20" t="s">
        <v>286</v>
      </c>
      <c r="C54" s="20" t="s">
        <v>107</v>
      </c>
      <c r="D54" s="20">
        <v>1</v>
      </c>
      <c r="E54" s="20" t="s">
        <v>9</v>
      </c>
      <c r="F54" s="20" t="s">
        <v>277</v>
      </c>
      <c r="G54" s="75">
        <f>MAX($G$3:G51)+1</f>
        <v>3</v>
      </c>
      <c r="H54" s="20" t="s">
        <v>105</v>
      </c>
      <c r="I54" s="126" t="s">
        <v>754</v>
      </c>
      <c r="J54" s="126" t="s">
        <v>755</v>
      </c>
      <c r="K54" s="55">
        <v>1275000</v>
      </c>
      <c r="L54" s="54" t="s">
        <v>245</v>
      </c>
      <c r="M54" s="10" t="s">
        <v>245</v>
      </c>
      <c r="N54" s="17"/>
      <c r="O54" s="5"/>
      <c r="P54" s="5"/>
      <c r="Q54" s="5"/>
      <c r="R54" s="106">
        <v>42979</v>
      </c>
      <c r="S54" s="59">
        <f t="shared" si="1"/>
        <v>9</v>
      </c>
      <c r="T54" s="10"/>
      <c r="U54" s="3"/>
      <c r="V54" s="59"/>
      <c r="W54" s="59"/>
      <c r="X54" s="3"/>
      <c r="Y54" s="59"/>
    </row>
    <row r="55" spans="1:25" ht="63.75" hidden="1" customHeight="1" x14ac:dyDescent="0.25">
      <c r="A55" s="20" t="s">
        <v>105</v>
      </c>
      <c r="B55" s="20" t="s">
        <v>286</v>
      </c>
      <c r="C55" s="20" t="s">
        <v>107</v>
      </c>
      <c r="D55" s="20">
        <v>1</v>
      </c>
      <c r="E55" s="20" t="s">
        <v>9</v>
      </c>
      <c r="F55" s="20" t="s">
        <v>277</v>
      </c>
      <c r="G55" s="75">
        <f>MAX($G$3:G52)+1</f>
        <v>3</v>
      </c>
      <c r="H55" s="20" t="s">
        <v>105</v>
      </c>
      <c r="I55" s="20" t="s">
        <v>291</v>
      </c>
      <c r="J55" s="20" t="s">
        <v>292</v>
      </c>
      <c r="K55" s="28">
        <v>255000</v>
      </c>
      <c r="L55" s="18">
        <v>42916</v>
      </c>
      <c r="M55" s="88">
        <f t="shared" si="2"/>
        <v>6</v>
      </c>
      <c r="N55" s="17"/>
      <c r="O55" s="86"/>
      <c r="P55" s="17">
        <v>42979</v>
      </c>
      <c r="Q55" s="5"/>
      <c r="R55" s="17">
        <v>42979</v>
      </c>
      <c r="S55" s="59">
        <f t="shared" si="1"/>
        <v>9</v>
      </c>
      <c r="T55" s="5"/>
      <c r="U55" s="3"/>
      <c r="V55" s="3"/>
      <c r="W55" s="3" t="s">
        <v>468</v>
      </c>
      <c r="X55" s="3" t="s">
        <v>647</v>
      </c>
      <c r="Y55" s="120"/>
    </row>
    <row r="56" spans="1:25" ht="63.75" hidden="1" customHeight="1" x14ac:dyDescent="0.25">
      <c r="A56" s="59" t="s">
        <v>105</v>
      </c>
      <c r="B56" s="3" t="s">
        <v>286</v>
      </c>
      <c r="C56" s="59" t="s">
        <v>107</v>
      </c>
      <c r="D56" s="59">
        <v>1</v>
      </c>
      <c r="E56" s="59" t="s">
        <v>9</v>
      </c>
      <c r="F56" s="59" t="s">
        <v>277</v>
      </c>
      <c r="G56" s="59"/>
      <c r="H56" s="59" t="s">
        <v>105</v>
      </c>
      <c r="I56" s="3" t="s">
        <v>552</v>
      </c>
      <c r="J56" s="24" t="s">
        <v>745</v>
      </c>
      <c r="K56" s="101">
        <v>2975000</v>
      </c>
      <c r="L56" s="10">
        <v>42979</v>
      </c>
      <c r="M56" s="88">
        <f t="shared" si="2"/>
        <v>9</v>
      </c>
      <c r="N56" s="108"/>
      <c r="O56" s="108"/>
      <c r="P56" s="108"/>
      <c r="Q56" s="109"/>
      <c r="R56" s="108">
        <v>42979</v>
      </c>
      <c r="S56" s="59">
        <f t="shared" si="1"/>
        <v>9</v>
      </c>
      <c r="T56" s="59"/>
      <c r="U56" s="59"/>
      <c r="V56" s="59"/>
      <c r="W56" s="59"/>
      <c r="X56" s="59"/>
      <c r="Y56" s="59"/>
    </row>
    <row r="57" spans="1:25" s="231" customFormat="1" ht="39" customHeight="1" x14ac:dyDescent="0.25">
      <c r="A57" s="59"/>
      <c r="B57" s="3"/>
      <c r="C57" s="59"/>
      <c r="D57" s="59"/>
      <c r="E57" s="59"/>
      <c r="F57" s="192"/>
      <c r="G57" s="223"/>
      <c r="H57" s="224" t="s">
        <v>6</v>
      </c>
      <c r="I57" s="225" t="s">
        <v>8</v>
      </c>
      <c r="J57" s="226">
        <f>K58+K61+K62+K99+K100+K101+K102+K103+K104</f>
        <v>8461027.4977194443</v>
      </c>
      <c r="K57" s="227"/>
      <c r="L57" s="228"/>
      <c r="M57" s="207"/>
      <c r="N57" s="229"/>
      <c r="O57" s="229"/>
      <c r="P57" s="229"/>
      <c r="Q57" s="230"/>
      <c r="R57" s="208" t="s">
        <v>124</v>
      </c>
      <c r="S57" s="192"/>
      <c r="T57" s="223"/>
      <c r="U57" s="210"/>
      <c r="V57" s="59"/>
      <c r="W57" s="59"/>
      <c r="X57" s="192"/>
      <c r="Y57" s="223"/>
    </row>
    <row r="58" spans="1:25" ht="53.25" customHeight="1" outlineLevel="2" x14ac:dyDescent="0.25">
      <c r="A58" s="20" t="s">
        <v>6</v>
      </c>
      <c r="B58" s="20" t="s">
        <v>7</v>
      </c>
      <c r="C58" s="20" t="s">
        <v>8</v>
      </c>
      <c r="D58" s="20">
        <v>1</v>
      </c>
      <c r="E58" s="20" t="s">
        <v>9</v>
      </c>
      <c r="F58" s="193" t="s">
        <v>277</v>
      </c>
      <c r="G58" s="75">
        <v>1</v>
      </c>
      <c r="H58" s="20" t="s">
        <v>6</v>
      </c>
      <c r="I58" s="20" t="s">
        <v>67</v>
      </c>
      <c r="J58" s="20" t="s">
        <v>297</v>
      </c>
      <c r="K58" s="28">
        <v>1658546.4977194446</v>
      </c>
      <c r="L58" s="18">
        <v>42916</v>
      </c>
      <c r="M58" s="207">
        <f t="shared" ref="M58:M61" si="5">MONTH(L58)</f>
        <v>6</v>
      </c>
      <c r="N58" s="17"/>
      <c r="O58" s="86"/>
      <c r="P58" s="17">
        <v>43007</v>
      </c>
      <c r="Q58" s="5"/>
      <c r="R58" s="209" t="s">
        <v>124</v>
      </c>
      <c r="S58" s="194" t="s">
        <v>124</v>
      </c>
      <c r="T58" s="5"/>
      <c r="U58" s="211"/>
      <c r="V58" s="3"/>
      <c r="W58" s="3" t="s">
        <v>470</v>
      </c>
      <c r="X58" s="195" t="s">
        <v>613</v>
      </c>
      <c r="Y58" s="71" t="s">
        <v>894</v>
      </c>
    </row>
    <row r="59" spans="1:25" ht="63.75" hidden="1" customHeight="1" outlineLevel="2" x14ac:dyDescent="0.25">
      <c r="A59" s="2" t="s">
        <v>6</v>
      </c>
      <c r="B59" s="2" t="s">
        <v>7</v>
      </c>
      <c r="C59" s="2" t="s">
        <v>8</v>
      </c>
      <c r="D59" s="2">
        <v>1</v>
      </c>
      <c r="E59" s="2" t="s">
        <v>9</v>
      </c>
      <c r="F59" s="2" t="s">
        <v>277</v>
      </c>
      <c r="G59" s="2"/>
      <c r="H59" s="2" t="s">
        <v>6</v>
      </c>
      <c r="I59" s="2" t="s">
        <v>10</v>
      </c>
      <c r="J59" s="2" t="s">
        <v>11</v>
      </c>
      <c r="K59" s="28">
        <v>269188</v>
      </c>
      <c r="L59" s="11">
        <v>42855</v>
      </c>
      <c r="M59" s="88">
        <f t="shared" si="5"/>
        <v>4</v>
      </c>
      <c r="N59" s="5"/>
      <c r="O59" s="5"/>
      <c r="P59" s="5"/>
      <c r="Q59" s="5"/>
      <c r="R59" s="17">
        <v>42874</v>
      </c>
      <c r="S59" s="24">
        <f t="shared" si="1"/>
        <v>5</v>
      </c>
      <c r="T59" s="5"/>
      <c r="U59" s="23"/>
      <c r="V59" s="3"/>
      <c r="W59" s="3"/>
      <c r="X59" s="3"/>
      <c r="Y59" s="59"/>
    </row>
    <row r="60" spans="1:25" ht="15" hidden="1" customHeight="1" outlineLevel="2" x14ac:dyDescent="0.25">
      <c r="A60" s="53" t="s">
        <v>6</v>
      </c>
      <c r="B60" s="53" t="s">
        <v>7</v>
      </c>
      <c r="C60" s="20" t="s">
        <v>8</v>
      </c>
      <c r="D60" s="53">
        <v>1</v>
      </c>
      <c r="E60" s="53" t="s">
        <v>9</v>
      </c>
      <c r="F60" s="53" t="s">
        <v>277</v>
      </c>
      <c r="G60" s="2"/>
      <c r="H60" s="53" t="s">
        <v>6</v>
      </c>
      <c r="I60" s="3" t="s">
        <v>697</v>
      </c>
      <c r="J60" s="3" t="s">
        <v>736</v>
      </c>
      <c r="K60" s="57">
        <v>67957.89</v>
      </c>
      <c r="L60" s="8">
        <v>42978</v>
      </c>
      <c r="M60" s="88">
        <f t="shared" si="5"/>
        <v>8</v>
      </c>
      <c r="N60" s="17"/>
      <c r="O60" s="108"/>
      <c r="P60" s="108"/>
      <c r="Q60" s="108"/>
      <c r="R60" s="108">
        <v>42957</v>
      </c>
      <c r="S60" s="24">
        <f t="shared" si="1"/>
        <v>8</v>
      </c>
      <c r="T60" s="58"/>
      <c r="U60" s="69"/>
      <c r="V60" s="59"/>
      <c r="W60" s="59"/>
      <c r="X60" s="59"/>
      <c r="Y60" s="59"/>
    </row>
    <row r="61" spans="1:25" ht="56.25" customHeight="1" outlineLevel="2" x14ac:dyDescent="0.25">
      <c r="A61" s="2" t="s">
        <v>6</v>
      </c>
      <c r="B61" s="2" t="s">
        <v>7</v>
      </c>
      <c r="C61" s="2" t="s">
        <v>8</v>
      </c>
      <c r="D61" s="2">
        <v>1</v>
      </c>
      <c r="E61" s="2" t="s">
        <v>9</v>
      </c>
      <c r="F61" s="196" t="s">
        <v>277</v>
      </c>
      <c r="G61" s="2">
        <v>2</v>
      </c>
      <c r="H61" s="2" t="s">
        <v>6</v>
      </c>
      <c r="I61" s="2" t="s">
        <v>12</v>
      </c>
      <c r="J61" s="2" t="s">
        <v>13</v>
      </c>
      <c r="K61" s="28">
        <v>1572032</v>
      </c>
      <c r="L61" s="11">
        <v>42853</v>
      </c>
      <c r="M61" s="207">
        <f t="shared" si="5"/>
        <v>4</v>
      </c>
      <c r="N61" s="5">
        <v>42888</v>
      </c>
      <c r="O61" s="5"/>
      <c r="P61" s="5">
        <v>42947</v>
      </c>
      <c r="Q61" s="5">
        <v>42969</v>
      </c>
      <c r="R61" s="209" t="s">
        <v>124</v>
      </c>
      <c r="S61" s="194" t="s">
        <v>124</v>
      </c>
      <c r="T61" s="5" t="s">
        <v>780</v>
      </c>
      <c r="U61" s="212" t="s">
        <v>114</v>
      </c>
      <c r="V61" s="3"/>
      <c r="W61" s="3" t="s">
        <v>471</v>
      </c>
      <c r="X61" s="195" t="s">
        <v>775</v>
      </c>
      <c r="Y61" s="71" t="s">
        <v>890</v>
      </c>
    </row>
    <row r="62" spans="1:25" ht="56.25" hidden="1" customHeight="1" outlineLevel="2" x14ac:dyDescent="0.25">
      <c r="A62" s="2" t="s">
        <v>6</v>
      </c>
      <c r="B62" s="2" t="s">
        <v>7</v>
      </c>
      <c r="C62" s="2" t="s">
        <v>8</v>
      </c>
      <c r="D62" s="2">
        <v>1</v>
      </c>
      <c r="E62" s="2" t="s">
        <v>9</v>
      </c>
      <c r="F62" s="196" t="s">
        <v>277</v>
      </c>
      <c r="G62" s="75">
        <v>3</v>
      </c>
      <c r="H62" s="2" t="s">
        <v>6</v>
      </c>
      <c r="I62" s="2" t="s">
        <v>14</v>
      </c>
      <c r="J62" s="2" t="s">
        <v>15</v>
      </c>
      <c r="K62" s="28">
        <v>1289553</v>
      </c>
      <c r="L62" s="11">
        <v>42855</v>
      </c>
      <c r="M62" s="207">
        <f>MONTH(L62)</f>
        <v>4</v>
      </c>
      <c r="N62" s="5">
        <v>42908</v>
      </c>
      <c r="O62" s="17"/>
      <c r="P62" s="17"/>
      <c r="Q62" s="5">
        <v>42993</v>
      </c>
      <c r="R62" s="209">
        <v>42999</v>
      </c>
      <c r="S62" s="237">
        <f>MONTH(R62)</f>
        <v>9</v>
      </c>
      <c r="T62" s="5"/>
      <c r="U62" s="212" t="s">
        <v>115</v>
      </c>
      <c r="V62" s="3"/>
      <c r="W62" s="3" t="s">
        <v>472</v>
      </c>
      <c r="X62" s="195" t="s">
        <v>670</v>
      </c>
      <c r="Y62" s="71" t="s">
        <v>812</v>
      </c>
    </row>
    <row r="63" spans="1:25" ht="63.75" hidden="1" customHeight="1" outlineLevel="1" x14ac:dyDescent="0.25">
      <c r="A63" s="2" t="s">
        <v>6</v>
      </c>
      <c r="B63" s="2" t="s">
        <v>7</v>
      </c>
      <c r="C63" s="2" t="s">
        <v>8</v>
      </c>
      <c r="D63" s="2">
        <v>1</v>
      </c>
      <c r="E63" s="2" t="s">
        <v>9</v>
      </c>
      <c r="F63" s="2" t="s">
        <v>277</v>
      </c>
      <c r="G63" s="2"/>
      <c r="H63" s="2" t="s">
        <v>6</v>
      </c>
      <c r="I63" s="2" t="s">
        <v>14</v>
      </c>
      <c r="J63" s="2" t="s">
        <v>148</v>
      </c>
      <c r="K63" s="28">
        <v>1658358.090717914</v>
      </c>
      <c r="L63" s="11">
        <v>42855</v>
      </c>
      <c r="M63" s="88">
        <f>MONTH(L63)</f>
        <v>4</v>
      </c>
      <c r="N63" s="5">
        <v>42908</v>
      </c>
      <c r="O63" s="5"/>
      <c r="P63" s="5"/>
      <c r="Q63" s="5"/>
      <c r="R63" s="17">
        <v>42873</v>
      </c>
      <c r="S63" s="24">
        <f t="shared" si="1"/>
        <v>5</v>
      </c>
      <c r="T63" s="5"/>
      <c r="U63" s="23" t="s">
        <v>115</v>
      </c>
      <c r="V63" s="3"/>
      <c r="W63" s="3"/>
      <c r="X63" s="3"/>
      <c r="Y63" s="59"/>
    </row>
    <row r="64" spans="1:25" ht="63.75" hidden="1" customHeight="1" outlineLevel="1" x14ac:dyDescent="0.25">
      <c r="A64" s="2" t="s">
        <v>6</v>
      </c>
      <c r="B64" s="2" t="s">
        <v>7</v>
      </c>
      <c r="C64" s="2" t="s">
        <v>8</v>
      </c>
      <c r="D64" s="2">
        <v>1</v>
      </c>
      <c r="E64" s="2" t="s">
        <v>9</v>
      </c>
      <c r="F64" s="2" t="s">
        <v>277</v>
      </c>
      <c r="G64" s="2"/>
      <c r="H64" s="2" t="s">
        <v>6</v>
      </c>
      <c r="I64" s="3" t="s">
        <v>74</v>
      </c>
      <c r="J64" s="3" t="s">
        <v>84</v>
      </c>
      <c r="K64" s="28">
        <v>426909</v>
      </c>
      <c r="L64" s="8" t="s">
        <v>245</v>
      </c>
      <c r="M64" s="5" t="s">
        <v>245</v>
      </c>
      <c r="N64" s="17"/>
      <c r="O64" s="17"/>
      <c r="P64" s="17"/>
      <c r="Q64" s="17"/>
      <c r="R64" s="17">
        <v>42830</v>
      </c>
      <c r="S64" s="24">
        <f t="shared" si="1"/>
        <v>4</v>
      </c>
      <c r="T64" s="5"/>
      <c r="U64" s="23"/>
      <c r="V64" s="3"/>
      <c r="W64" s="3"/>
      <c r="X64" s="3"/>
      <c r="Y64" s="59"/>
    </row>
    <row r="65" spans="1:25" ht="63.75" hidden="1" customHeight="1" outlineLevel="1" x14ac:dyDescent="0.25">
      <c r="A65" s="2" t="s">
        <v>6</v>
      </c>
      <c r="B65" s="2" t="s">
        <v>7</v>
      </c>
      <c r="C65" s="2" t="s">
        <v>8</v>
      </c>
      <c r="D65" s="2">
        <v>1</v>
      </c>
      <c r="E65" s="2" t="s">
        <v>9</v>
      </c>
      <c r="F65" s="2" t="s">
        <v>277</v>
      </c>
      <c r="G65" s="2"/>
      <c r="H65" s="2" t="s">
        <v>6</v>
      </c>
      <c r="I65" s="3" t="s">
        <v>74</v>
      </c>
      <c r="J65" s="3" t="s">
        <v>762</v>
      </c>
      <c r="K65" s="28">
        <v>99600</v>
      </c>
      <c r="L65" s="8">
        <v>42981</v>
      </c>
      <c r="M65" s="88">
        <f t="shared" ref="M65:M66" si="6">MONTH(L65)</f>
        <v>9</v>
      </c>
      <c r="N65" s="17"/>
      <c r="O65" s="17"/>
      <c r="P65" s="17"/>
      <c r="Q65" s="17"/>
      <c r="R65" s="17">
        <v>42982</v>
      </c>
      <c r="S65" s="24">
        <f t="shared" si="1"/>
        <v>9</v>
      </c>
      <c r="T65" s="5"/>
      <c r="U65" s="23"/>
      <c r="V65" s="3"/>
      <c r="W65" s="3"/>
      <c r="X65" s="3"/>
      <c r="Y65" s="59"/>
    </row>
    <row r="66" spans="1:25" ht="63.75" hidden="1" customHeight="1" outlineLevel="1" x14ac:dyDescent="0.25">
      <c r="A66" s="2" t="s">
        <v>6</v>
      </c>
      <c r="B66" s="2" t="s">
        <v>7</v>
      </c>
      <c r="C66" s="2" t="s">
        <v>8</v>
      </c>
      <c r="D66" s="2">
        <v>2</v>
      </c>
      <c r="E66" s="2" t="s">
        <v>9</v>
      </c>
      <c r="F66" s="2" t="s">
        <v>277</v>
      </c>
      <c r="G66" s="2"/>
      <c r="H66" s="2" t="s">
        <v>6</v>
      </c>
      <c r="I66" s="3" t="s">
        <v>346</v>
      </c>
      <c r="J66" s="3" t="s">
        <v>765</v>
      </c>
      <c r="K66" s="28">
        <v>676713.5</v>
      </c>
      <c r="L66" s="8">
        <v>43007</v>
      </c>
      <c r="M66" s="88">
        <f t="shared" si="6"/>
        <v>9</v>
      </c>
      <c r="N66" s="17"/>
      <c r="O66" s="17"/>
      <c r="P66" s="17"/>
      <c r="Q66" s="17"/>
      <c r="R66" s="17">
        <v>42982</v>
      </c>
      <c r="S66" s="24">
        <f t="shared" si="1"/>
        <v>9</v>
      </c>
      <c r="T66" s="5"/>
      <c r="U66" s="23"/>
      <c r="V66" s="3"/>
      <c r="W66" s="3"/>
      <c r="X66" s="3"/>
      <c r="Y66" s="59"/>
    </row>
    <row r="67" spans="1:25" ht="63.75" hidden="1" customHeight="1" outlineLevel="1" x14ac:dyDescent="0.25">
      <c r="A67" s="2" t="s">
        <v>6</v>
      </c>
      <c r="B67" s="2" t="s">
        <v>7</v>
      </c>
      <c r="C67" s="2" t="s">
        <v>8</v>
      </c>
      <c r="D67" s="2">
        <v>2</v>
      </c>
      <c r="E67" s="2" t="s">
        <v>9</v>
      </c>
      <c r="F67" s="2" t="s">
        <v>277</v>
      </c>
      <c r="G67" s="2"/>
      <c r="H67" s="2" t="s">
        <v>6</v>
      </c>
      <c r="I67" s="3" t="s">
        <v>16</v>
      </c>
      <c r="J67" s="3" t="s">
        <v>158</v>
      </c>
      <c r="K67" s="28">
        <v>473855.61</v>
      </c>
      <c r="L67" s="10">
        <v>42855</v>
      </c>
      <c r="M67" s="88">
        <f t="shared" ref="M67:M85" si="7">MONTH(L67)</f>
        <v>4</v>
      </c>
      <c r="N67" s="17"/>
      <c r="O67" s="17"/>
      <c r="P67" s="17"/>
      <c r="Q67" s="17"/>
      <c r="R67" s="17">
        <v>42871</v>
      </c>
      <c r="S67" s="24">
        <f t="shared" si="1"/>
        <v>5</v>
      </c>
      <c r="T67" s="5"/>
      <c r="U67" s="23"/>
      <c r="V67" s="3"/>
      <c r="W67" s="3"/>
      <c r="X67" s="3"/>
      <c r="Y67" s="59"/>
    </row>
    <row r="68" spans="1:25" ht="63.75" hidden="1" customHeight="1" outlineLevel="1" x14ac:dyDescent="0.25">
      <c r="A68" s="53" t="s">
        <v>6</v>
      </c>
      <c r="B68" s="53" t="s">
        <v>7</v>
      </c>
      <c r="C68" s="20" t="s">
        <v>8</v>
      </c>
      <c r="D68" s="53">
        <v>2</v>
      </c>
      <c r="E68" s="53" t="s">
        <v>9</v>
      </c>
      <c r="F68" s="53" t="s">
        <v>277</v>
      </c>
      <c r="G68" s="75">
        <f>MAX($G$3:G67)+1</f>
        <v>4</v>
      </c>
      <c r="H68" s="53" t="s">
        <v>6</v>
      </c>
      <c r="I68" s="20" t="s">
        <v>164</v>
      </c>
      <c r="J68" s="20" t="s">
        <v>691</v>
      </c>
      <c r="K68" s="55">
        <v>473855.60509522061</v>
      </c>
      <c r="L68" s="54">
        <v>42978</v>
      </c>
      <c r="M68" s="88">
        <f t="shared" si="7"/>
        <v>8</v>
      </c>
      <c r="N68" s="17"/>
      <c r="O68" s="17"/>
      <c r="P68" s="107"/>
      <c r="Q68" s="5"/>
      <c r="R68" s="106">
        <v>42982</v>
      </c>
      <c r="S68" s="24">
        <f t="shared" si="1"/>
        <v>9</v>
      </c>
      <c r="T68" s="3"/>
      <c r="U68" s="3"/>
      <c r="V68" s="3"/>
      <c r="W68" s="59"/>
      <c r="X68" s="59"/>
      <c r="Y68" s="59"/>
    </row>
    <row r="69" spans="1:25" ht="63.75" hidden="1" customHeight="1" outlineLevel="1" x14ac:dyDescent="0.25">
      <c r="A69" s="2" t="s">
        <v>6</v>
      </c>
      <c r="B69" s="2" t="s">
        <v>7</v>
      </c>
      <c r="C69" s="2" t="s">
        <v>8</v>
      </c>
      <c r="D69" s="2">
        <v>2</v>
      </c>
      <c r="E69" s="2" t="s">
        <v>9</v>
      </c>
      <c r="F69" s="2" t="s">
        <v>277</v>
      </c>
      <c r="G69" s="2"/>
      <c r="H69" s="2" t="s">
        <v>6</v>
      </c>
      <c r="I69" s="2" t="s">
        <v>149</v>
      </c>
      <c r="J69" s="2" t="s">
        <v>445</v>
      </c>
      <c r="K69" s="28">
        <v>147973.9552540537</v>
      </c>
      <c r="L69" s="17">
        <v>42886</v>
      </c>
      <c r="M69" s="88">
        <f t="shared" si="7"/>
        <v>5</v>
      </c>
      <c r="N69" s="17"/>
      <c r="O69" s="17">
        <v>42908</v>
      </c>
      <c r="P69" s="17"/>
      <c r="Q69" s="17"/>
      <c r="R69" s="17">
        <v>42908</v>
      </c>
      <c r="S69" s="24">
        <f t="shared" si="1"/>
        <v>6</v>
      </c>
      <c r="T69" s="5"/>
      <c r="U69" s="23"/>
      <c r="V69" s="3" t="s">
        <v>255</v>
      </c>
      <c r="W69" s="3"/>
      <c r="X69" s="3"/>
      <c r="Y69" s="59"/>
    </row>
    <row r="70" spans="1:25" ht="63.75" hidden="1" customHeight="1" outlineLevel="1" x14ac:dyDescent="0.25">
      <c r="A70" s="2" t="s">
        <v>6</v>
      </c>
      <c r="B70" s="2" t="s">
        <v>7</v>
      </c>
      <c r="C70" s="2" t="s">
        <v>8</v>
      </c>
      <c r="D70" s="2">
        <v>2</v>
      </c>
      <c r="E70" s="2" t="s">
        <v>9</v>
      </c>
      <c r="F70" s="2" t="s">
        <v>277</v>
      </c>
      <c r="G70" s="2"/>
      <c r="H70" s="2" t="s">
        <v>6</v>
      </c>
      <c r="I70" s="2" t="s">
        <v>212</v>
      </c>
      <c r="J70" s="2" t="s">
        <v>766</v>
      </c>
      <c r="K70" s="28">
        <v>744090.5</v>
      </c>
      <c r="L70" s="17">
        <v>43008</v>
      </c>
      <c r="M70" s="88">
        <f t="shared" si="7"/>
        <v>9</v>
      </c>
      <c r="N70" s="17"/>
      <c r="O70" s="17"/>
      <c r="P70" s="17"/>
      <c r="Q70" s="17"/>
      <c r="R70" s="17">
        <v>42982</v>
      </c>
      <c r="S70" s="24">
        <f t="shared" si="1"/>
        <v>9</v>
      </c>
      <c r="T70" s="5"/>
      <c r="U70" s="23"/>
      <c r="V70" s="3"/>
      <c r="W70" s="3"/>
      <c r="X70" s="3"/>
      <c r="Y70" s="59"/>
    </row>
    <row r="71" spans="1:25" ht="63.75" hidden="1" customHeight="1" outlineLevel="1" x14ac:dyDescent="0.25">
      <c r="A71" s="2" t="s">
        <v>6</v>
      </c>
      <c r="B71" s="2" t="s">
        <v>7</v>
      </c>
      <c r="C71" s="2" t="s">
        <v>8</v>
      </c>
      <c r="D71" s="2">
        <v>2</v>
      </c>
      <c r="E71" s="2" t="s">
        <v>9</v>
      </c>
      <c r="F71" s="2" t="s">
        <v>277</v>
      </c>
      <c r="G71" s="2"/>
      <c r="H71" s="2" t="s">
        <v>6</v>
      </c>
      <c r="I71" s="2" t="s">
        <v>728</v>
      </c>
      <c r="J71" s="2" t="s">
        <v>763</v>
      </c>
      <c r="K71" s="28">
        <v>504636</v>
      </c>
      <c r="L71" s="17">
        <v>42982</v>
      </c>
      <c r="M71" s="88">
        <f t="shared" si="7"/>
        <v>9</v>
      </c>
      <c r="N71" s="17"/>
      <c r="O71" s="17"/>
      <c r="P71" s="17"/>
      <c r="Q71" s="17"/>
      <c r="R71" s="17">
        <v>42982</v>
      </c>
      <c r="S71" s="24">
        <f t="shared" si="1"/>
        <v>9</v>
      </c>
      <c r="T71" s="5"/>
      <c r="U71" s="23"/>
      <c r="V71" s="3"/>
      <c r="W71" s="3"/>
      <c r="X71" s="3"/>
      <c r="Y71" s="59"/>
    </row>
    <row r="72" spans="1:25" ht="63.75" hidden="1" customHeight="1" outlineLevel="1" x14ac:dyDescent="0.25">
      <c r="A72" s="2" t="s">
        <v>6</v>
      </c>
      <c r="B72" s="2" t="s">
        <v>7</v>
      </c>
      <c r="C72" s="2" t="s">
        <v>8</v>
      </c>
      <c r="D72" s="2">
        <v>2</v>
      </c>
      <c r="E72" s="2" t="s">
        <v>9</v>
      </c>
      <c r="F72" s="2" t="s">
        <v>277</v>
      </c>
      <c r="G72" s="2"/>
      <c r="H72" s="2" t="s">
        <v>6</v>
      </c>
      <c r="I72" s="2" t="s">
        <v>733</v>
      </c>
      <c r="J72" s="2" t="s">
        <v>764</v>
      </c>
      <c r="K72" s="28">
        <v>1101025</v>
      </c>
      <c r="L72" s="17">
        <v>42982</v>
      </c>
      <c r="M72" s="88">
        <f t="shared" si="7"/>
        <v>9</v>
      </c>
      <c r="N72" s="17"/>
      <c r="O72" s="17"/>
      <c r="P72" s="17"/>
      <c r="Q72" s="17"/>
      <c r="R72" s="17">
        <v>42982</v>
      </c>
      <c r="S72" s="24">
        <f t="shared" si="1"/>
        <v>9</v>
      </c>
      <c r="T72" s="5"/>
      <c r="U72" s="23"/>
      <c r="V72" s="3"/>
      <c r="W72" s="3"/>
      <c r="X72" s="3"/>
      <c r="Y72" s="59"/>
    </row>
    <row r="73" spans="1:25" ht="63.75" hidden="1" customHeight="1" outlineLevel="1" x14ac:dyDescent="0.25">
      <c r="A73" s="2" t="s">
        <v>6</v>
      </c>
      <c r="B73" s="2" t="s">
        <v>7</v>
      </c>
      <c r="C73" s="2" t="s">
        <v>8</v>
      </c>
      <c r="D73" s="2">
        <v>2</v>
      </c>
      <c r="E73" s="2" t="s">
        <v>9</v>
      </c>
      <c r="F73" s="2" t="s">
        <v>277</v>
      </c>
      <c r="G73" s="2"/>
      <c r="H73" s="2" t="s">
        <v>6</v>
      </c>
      <c r="I73" s="2" t="s">
        <v>150</v>
      </c>
      <c r="J73" s="2" t="s">
        <v>443</v>
      </c>
      <c r="K73" s="28">
        <v>430777.82281383692</v>
      </c>
      <c r="L73" s="11">
        <v>42886</v>
      </c>
      <c r="M73" s="88">
        <f t="shared" si="7"/>
        <v>5</v>
      </c>
      <c r="N73" s="5"/>
      <c r="O73" s="5">
        <v>42916</v>
      </c>
      <c r="P73" s="5"/>
      <c r="Q73" s="5"/>
      <c r="R73" s="17">
        <v>42907</v>
      </c>
      <c r="S73" s="24">
        <f t="shared" si="1"/>
        <v>6</v>
      </c>
      <c r="T73" s="5"/>
      <c r="U73" s="23"/>
      <c r="V73" s="3" t="s">
        <v>256</v>
      </c>
      <c r="W73" s="3"/>
      <c r="X73" s="3"/>
      <c r="Y73" s="59"/>
    </row>
    <row r="74" spans="1:25" ht="63.75" hidden="1" customHeight="1" outlineLevel="1" x14ac:dyDescent="0.25">
      <c r="A74" s="2" t="s">
        <v>6</v>
      </c>
      <c r="B74" s="2" t="s">
        <v>7</v>
      </c>
      <c r="C74" s="2" t="s">
        <v>8</v>
      </c>
      <c r="D74" s="2">
        <v>2</v>
      </c>
      <c r="E74" s="2" t="s">
        <v>9</v>
      </c>
      <c r="F74" s="2" t="s">
        <v>277</v>
      </c>
      <c r="G74" s="2"/>
      <c r="H74" s="2" t="s">
        <v>6</v>
      </c>
      <c r="I74" s="2" t="s">
        <v>376</v>
      </c>
      <c r="J74" s="2" t="s">
        <v>761</v>
      </c>
      <c r="K74" s="28">
        <v>417055</v>
      </c>
      <c r="L74" s="11">
        <v>42982</v>
      </c>
      <c r="M74" s="88">
        <f t="shared" si="7"/>
        <v>9</v>
      </c>
      <c r="N74" s="5"/>
      <c r="O74" s="5"/>
      <c r="P74" s="5"/>
      <c r="Q74" s="5"/>
      <c r="R74" s="17">
        <v>42982</v>
      </c>
      <c r="S74" s="24">
        <f t="shared" si="1"/>
        <v>9</v>
      </c>
      <c r="T74" s="5"/>
      <c r="U74" s="23"/>
      <c r="V74" s="3"/>
      <c r="W74" s="3"/>
      <c r="X74" s="3"/>
      <c r="Y74" s="59"/>
    </row>
    <row r="75" spans="1:25" ht="102" hidden="1" customHeight="1" outlineLevel="1" x14ac:dyDescent="0.25">
      <c r="A75" s="53" t="s">
        <v>6</v>
      </c>
      <c r="B75" s="53" t="s">
        <v>7</v>
      </c>
      <c r="C75" s="20" t="s">
        <v>8</v>
      </c>
      <c r="D75" s="53">
        <v>3</v>
      </c>
      <c r="E75" s="53" t="s">
        <v>9</v>
      </c>
      <c r="F75" s="53" t="s">
        <v>277</v>
      </c>
      <c r="G75" s="75">
        <f>MAX($G$3:G73)+1</f>
        <v>5</v>
      </c>
      <c r="H75" s="53" t="s">
        <v>6</v>
      </c>
      <c r="I75" s="20" t="s">
        <v>374</v>
      </c>
      <c r="J75" s="20" t="s">
        <v>696</v>
      </c>
      <c r="K75" s="55">
        <v>2989155</v>
      </c>
      <c r="L75" s="54">
        <v>42978</v>
      </c>
      <c r="M75" s="88">
        <f t="shared" si="7"/>
        <v>8</v>
      </c>
      <c r="N75" s="121"/>
      <c r="O75" s="108"/>
      <c r="P75" s="109"/>
      <c r="Q75" s="5"/>
      <c r="R75" s="106">
        <v>42982</v>
      </c>
      <c r="S75" s="24">
        <f t="shared" si="1"/>
        <v>9</v>
      </c>
      <c r="T75" s="59"/>
      <c r="U75" s="59"/>
      <c r="V75" s="59"/>
      <c r="W75" s="59"/>
      <c r="X75" s="59"/>
      <c r="Y75" s="59"/>
    </row>
    <row r="76" spans="1:25" ht="63.75" hidden="1" customHeight="1" outlineLevel="1" x14ac:dyDescent="0.25">
      <c r="A76" s="2" t="s">
        <v>6</v>
      </c>
      <c r="B76" s="2" t="s">
        <v>7</v>
      </c>
      <c r="C76" s="2" t="s">
        <v>8</v>
      </c>
      <c r="D76" s="2">
        <v>3</v>
      </c>
      <c r="E76" s="2" t="s">
        <v>9</v>
      </c>
      <c r="F76" s="2" t="s">
        <v>277</v>
      </c>
      <c r="G76" s="75">
        <f>MAX($G$3:G75)+1</f>
        <v>6</v>
      </c>
      <c r="H76" s="2" t="s">
        <v>6</v>
      </c>
      <c r="I76" s="3" t="s">
        <v>151</v>
      </c>
      <c r="J76" s="3" t="s">
        <v>152</v>
      </c>
      <c r="K76" s="28">
        <v>693060.2</v>
      </c>
      <c r="L76" s="10">
        <v>42886</v>
      </c>
      <c r="M76" s="88">
        <f t="shared" si="7"/>
        <v>5</v>
      </c>
      <c r="N76" s="17"/>
      <c r="O76" s="17">
        <v>42947</v>
      </c>
      <c r="P76" s="17"/>
      <c r="Q76" s="5">
        <v>42979</v>
      </c>
      <c r="R76" s="106">
        <v>42982</v>
      </c>
      <c r="S76" s="24">
        <f t="shared" si="1"/>
        <v>9</v>
      </c>
      <c r="T76" s="5"/>
      <c r="U76" s="23"/>
      <c r="V76" s="3" t="s">
        <v>257</v>
      </c>
      <c r="W76" s="3"/>
      <c r="X76" s="3" t="s">
        <v>655</v>
      </c>
      <c r="Y76" s="59"/>
    </row>
    <row r="77" spans="1:25" ht="54" hidden="1" customHeight="1" outlineLevel="1" x14ac:dyDescent="0.25">
      <c r="A77" s="2" t="s">
        <v>6</v>
      </c>
      <c r="B77" s="2" t="s">
        <v>7</v>
      </c>
      <c r="C77" s="2" t="s">
        <v>8</v>
      </c>
      <c r="D77" s="2">
        <v>3</v>
      </c>
      <c r="E77" s="2" t="s">
        <v>9</v>
      </c>
      <c r="F77" s="2" t="s">
        <v>277</v>
      </c>
      <c r="G77" s="75">
        <f>MAX($G$3:G76)+1</f>
        <v>7</v>
      </c>
      <c r="H77" s="2" t="s">
        <v>6</v>
      </c>
      <c r="I77" s="3" t="s">
        <v>759</v>
      </c>
      <c r="J77" s="3" t="s">
        <v>760</v>
      </c>
      <c r="K77" s="28">
        <v>59809.49</v>
      </c>
      <c r="L77" s="10" t="s">
        <v>245</v>
      </c>
      <c r="M77" s="10" t="s">
        <v>245</v>
      </c>
      <c r="N77" s="17"/>
      <c r="O77" s="17"/>
      <c r="P77" s="17"/>
      <c r="Q77" s="5"/>
      <c r="R77" s="106">
        <v>42982</v>
      </c>
      <c r="S77" s="24">
        <f t="shared" ref="S77:S91" si="8">MONTH(R77)</f>
        <v>9</v>
      </c>
      <c r="T77" s="5"/>
      <c r="U77" s="23"/>
      <c r="V77" s="3"/>
      <c r="W77" s="3"/>
      <c r="X77" s="3"/>
      <c r="Y77" s="59"/>
    </row>
    <row r="78" spans="1:25" ht="63.75" hidden="1" customHeight="1" outlineLevel="1" x14ac:dyDescent="0.25">
      <c r="A78" s="53" t="s">
        <v>6</v>
      </c>
      <c r="B78" s="53" t="s">
        <v>7</v>
      </c>
      <c r="C78" s="20" t="s">
        <v>8</v>
      </c>
      <c r="D78" s="53">
        <v>3</v>
      </c>
      <c r="E78" s="53" t="s">
        <v>9</v>
      </c>
      <c r="F78" s="53" t="s">
        <v>277</v>
      </c>
      <c r="G78" s="75">
        <f>MAX($G$3:G76)+1</f>
        <v>7</v>
      </c>
      <c r="H78" s="53" t="s">
        <v>6</v>
      </c>
      <c r="I78" s="20" t="s">
        <v>692</v>
      </c>
      <c r="J78" s="20" t="s">
        <v>693</v>
      </c>
      <c r="K78" s="55">
        <v>486625</v>
      </c>
      <c r="L78" s="54">
        <v>42978</v>
      </c>
      <c r="M78" s="88">
        <f t="shared" si="7"/>
        <v>8</v>
      </c>
      <c r="N78" s="17"/>
      <c r="O78" s="17"/>
      <c r="P78" s="107"/>
      <c r="Q78" s="5"/>
      <c r="R78" s="106">
        <v>42982</v>
      </c>
      <c r="S78" s="24">
        <f t="shared" si="8"/>
        <v>9</v>
      </c>
      <c r="T78" s="3"/>
      <c r="U78" s="3"/>
      <c r="V78" s="3"/>
      <c r="W78" s="59"/>
      <c r="X78" s="59"/>
      <c r="Y78" s="59"/>
    </row>
    <row r="79" spans="1:25" ht="63.75" hidden="1" customHeight="1" outlineLevel="1" x14ac:dyDescent="0.25">
      <c r="A79" s="53" t="s">
        <v>6</v>
      </c>
      <c r="B79" s="53" t="s">
        <v>7</v>
      </c>
      <c r="C79" s="20" t="s">
        <v>8</v>
      </c>
      <c r="D79" s="53">
        <v>3</v>
      </c>
      <c r="E79" s="53" t="s">
        <v>9</v>
      </c>
      <c r="F79" s="53" t="s">
        <v>277</v>
      </c>
      <c r="G79" s="75">
        <f>MAX($G$3:G78)+1</f>
        <v>8</v>
      </c>
      <c r="H79" s="53" t="s">
        <v>6</v>
      </c>
      <c r="I79" s="20" t="s">
        <v>692</v>
      </c>
      <c r="J79" s="20" t="s">
        <v>694</v>
      </c>
      <c r="K79" s="55">
        <v>193800</v>
      </c>
      <c r="L79" s="54">
        <v>42978</v>
      </c>
      <c r="M79" s="88">
        <f t="shared" si="7"/>
        <v>8</v>
      </c>
      <c r="N79" s="108"/>
      <c r="O79" s="114"/>
      <c r="P79" s="115"/>
      <c r="Q79" s="5"/>
      <c r="R79" s="106">
        <v>42982</v>
      </c>
      <c r="S79" s="24">
        <f t="shared" si="8"/>
        <v>9</v>
      </c>
      <c r="T79" s="116"/>
      <c r="U79" s="116"/>
      <c r="V79" s="59"/>
      <c r="W79" s="59"/>
      <c r="X79" s="59"/>
      <c r="Y79" s="59"/>
    </row>
    <row r="80" spans="1:25" ht="63.75" hidden="1" customHeight="1" outlineLevel="1" x14ac:dyDescent="0.25">
      <c r="A80" s="53" t="s">
        <v>6</v>
      </c>
      <c r="B80" s="53" t="s">
        <v>7</v>
      </c>
      <c r="C80" s="20" t="s">
        <v>8</v>
      </c>
      <c r="D80" s="53">
        <v>3</v>
      </c>
      <c r="E80" s="53" t="s">
        <v>9</v>
      </c>
      <c r="F80" s="53" t="s">
        <v>277</v>
      </c>
      <c r="G80" s="75">
        <f>MAX($G$3:G79)+1</f>
        <v>9</v>
      </c>
      <c r="H80" s="53" t="s">
        <v>6</v>
      </c>
      <c r="I80" s="20" t="s">
        <v>344</v>
      </c>
      <c r="J80" s="20" t="s">
        <v>695</v>
      </c>
      <c r="K80" s="55">
        <v>263071</v>
      </c>
      <c r="L80" s="54">
        <v>42978</v>
      </c>
      <c r="M80" s="88">
        <f t="shared" si="7"/>
        <v>8</v>
      </c>
      <c r="N80" s="121"/>
      <c r="O80" s="108"/>
      <c r="P80" s="109"/>
      <c r="Q80" s="5"/>
      <c r="R80" s="106">
        <v>42982</v>
      </c>
      <c r="S80" s="24">
        <f t="shared" si="8"/>
        <v>9</v>
      </c>
      <c r="T80" s="59"/>
      <c r="U80" s="59"/>
      <c r="V80" s="59"/>
      <c r="W80" s="59"/>
      <c r="X80" s="59"/>
      <c r="Y80" s="59"/>
    </row>
    <row r="81" spans="1:25" ht="63.75" hidden="1" customHeight="1" outlineLevel="1" x14ac:dyDescent="0.25">
      <c r="A81" s="2" t="s">
        <v>6</v>
      </c>
      <c r="B81" s="2" t="s">
        <v>7</v>
      </c>
      <c r="C81" s="2" t="s">
        <v>8</v>
      </c>
      <c r="D81" s="2">
        <v>3</v>
      </c>
      <c r="E81" s="2" t="s">
        <v>9</v>
      </c>
      <c r="F81" s="2" t="s">
        <v>277</v>
      </c>
      <c r="G81" s="2"/>
      <c r="H81" s="2" t="s">
        <v>6</v>
      </c>
      <c r="I81" s="3" t="s">
        <v>153</v>
      </c>
      <c r="J81" s="3" t="s">
        <v>154</v>
      </c>
      <c r="K81" s="28">
        <v>618250</v>
      </c>
      <c r="L81" s="10">
        <v>42886</v>
      </c>
      <c r="M81" s="88">
        <f t="shared" si="7"/>
        <v>5</v>
      </c>
      <c r="N81" s="17"/>
      <c r="O81" s="17">
        <v>42947</v>
      </c>
      <c r="P81" s="17"/>
      <c r="Q81" s="17"/>
      <c r="R81" s="106">
        <v>42957</v>
      </c>
      <c r="S81" s="24">
        <f t="shared" si="8"/>
        <v>8</v>
      </c>
      <c r="T81" s="131"/>
      <c r="U81" s="23"/>
      <c r="V81" s="3" t="s">
        <v>258</v>
      </c>
      <c r="W81" s="3"/>
      <c r="X81" s="3"/>
      <c r="Y81" s="59"/>
    </row>
    <row r="82" spans="1:25" ht="89.25" hidden="1" customHeight="1" outlineLevel="1" x14ac:dyDescent="0.25">
      <c r="A82" s="20" t="s">
        <v>6</v>
      </c>
      <c r="B82" s="20" t="s">
        <v>7</v>
      </c>
      <c r="C82" s="20" t="s">
        <v>8</v>
      </c>
      <c r="D82" s="20">
        <v>3</v>
      </c>
      <c r="E82" s="20" t="s">
        <v>9</v>
      </c>
      <c r="F82" s="20" t="s">
        <v>277</v>
      </c>
      <c r="G82" s="2"/>
      <c r="H82" s="20" t="s">
        <v>6</v>
      </c>
      <c r="I82" s="20" t="s">
        <v>298</v>
      </c>
      <c r="J82" s="20" t="s">
        <v>299</v>
      </c>
      <c r="K82" s="28">
        <v>157038</v>
      </c>
      <c r="L82" s="18">
        <v>42916</v>
      </c>
      <c r="M82" s="88">
        <f t="shared" si="7"/>
        <v>6</v>
      </c>
      <c r="N82" s="17"/>
      <c r="O82" s="86"/>
      <c r="P82" s="86"/>
      <c r="Q82" s="86"/>
      <c r="R82" s="17">
        <v>42929</v>
      </c>
      <c r="S82" s="24">
        <f t="shared" si="8"/>
        <v>7</v>
      </c>
      <c r="U82" s="3"/>
      <c r="V82" s="3"/>
      <c r="W82" s="3"/>
      <c r="X82" s="3"/>
      <c r="Y82" s="5"/>
    </row>
    <row r="83" spans="1:25" ht="89.25" hidden="1" customHeight="1" outlineLevel="1" x14ac:dyDescent="0.25">
      <c r="A83" s="20" t="s">
        <v>6</v>
      </c>
      <c r="B83" s="20" t="s">
        <v>7</v>
      </c>
      <c r="C83" s="20" t="s">
        <v>8</v>
      </c>
      <c r="D83" s="20">
        <v>3</v>
      </c>
      <c r="E83" s="20" t="s">
        <v>9</v>
      </c>
      <c r="F83" s="20" t="s">
        <v>277</v>
      </c>
      <c r="G83" s="2"/>
      <c r="H83" s="20" t="s">
        <v>6</v>
      </c>
      <c r="I83" s="20" t="s">
        <v>298</v>
      </c>
      <c r="J83" s="20" t="s">
        <v>756</v>
      </c>
      <c r="K83" s="28">
        <v>497265</v>
      </c>
      <c r="L83" s="18">
        <v>42979</v>
      </c>
      <c r="M83" s="88">
        <f t="shared" si="7"/>
        <v>9</v>
      </c>
      <c r="N83" s="17"/>
      <c r="O83" s="86"/>
      <c r="P83" s="86"/>
      <c r="Q83" s="86"/>
      <c r="R83" s="17">
        <v>42982</v>
      </c>
      <c r="S83" s="24">
        <f t="shared" si="8"/>
        <v>9</v>
      </c>
      <c r="U83" s="3"/>
      <c r="V83" s="3"/>
      <c r="W83" s="3"/>
      <c r="X83" s="3"/>
      <c r="Y83" s="5"/>
    </row>
    <row r="84" spans="1:25" ht="38.25" hidden="1" customHeight="1" outlineLevel="1" x14ac:dyDescent="0.25">
      <c r="A84" s="53" t="s">
        <v>6</v>
      </c>
      <c r="B84" s="53" t="s">
        <v>7</v>
      </c>
      <c r="C84" s="20" t="s">
        <v>8</v>
      </c>
      <c r="D84" s="53">
        <v>3</v>
      </c>
      <c r="E84" s="53" t="s">
        <v>9</v>
      </c>
      <c r="F84" s="53" t="s">
        <v>277</v>
      </c>
      <c r="G84" s="2"/>
      <c r="H84" s="53" t="s">
        <v>6</v>
      </c>
      <c r="I84" s="20" t="s">
        <v>510</v>
      </c>
      <c r="J84" s="20" t="s">
        <v>511</v>
      </c>
      <c r="K84" s="55">
        <v>114750</v>
      </c>
      <c r="L84" s="54">
        <v>42947</v>
      </c>
      <c r="M84" s="88">
        <f t="shared" si="7"/>
        <v>7</v>
      </c>
      <c r="N84" s="17"/>
      <c r="O84" s="5"/>
      <c r="P84" s="5"/>
      <c r="Q84" s="5">
        <v>42975</v>
      </c>
      <c r="R84" s="106">
        <v>42977</v>
      </c>
      <c r="S84" s="24">
        <f t="shared" si="8"/>
        <v>8</v>
      </c>
      <c r="U84" s="3"/>
      <c r="V84" s="59"/>
      <c r="W84" s="59"/>
      <c r="X84" s="3" t="s">
        <v>644</v>
      </c>
      <c r="Y84" s="10"/>
    </row>
    <row r="85" spans="1:25" ht="38.25" hidden="1" customHeight="1" outlineLevel="1" x14ac:dyDescent="0.25">
      <c r="A85" s="53" t="s">
        <v>6</v>
      </c>
      <c r="B85" s="53" t="s">
        <v>7</v>
      </c>
      <c r="C85" s="20" t="s">
        <v>8</v>
      </c>
      <c r="D85" s="53">
        <v>3</v>
      </c>
      <c r="E85" s="53" t="s">
        <v>9</v>
      </c>
      <c r="F85" s="53" t="s">
        <v>277</v>
      </c>
      <c r="G85" s="2"/>
      <c r="H85" s="53" t="s">
        <v>6</v>
      </c>
      <c r="I85" s="20" t="s">
        <v>757</v>
      </c>
      <c r="J85" s="20" t="s">
        <v>758</v>
      </c>
      <c r="K85" s="55">
        <v>2150500</v>
      </c>
      <c r="L85" s="54">
        <v>42979</v>
      </c>
      <c r="M85" s="88">
        <f t="shared" si="7"/>
        <v>9</v>
      </c>
      <c r="N85" s="17"/>
      <c r="O85" s="5"/>
      <c r="P85" s="5"/>
      <c r="Q85" s="5"/>
      <c r="R85" s="106">
        <v>42979</v>
      </c>
      <c r="S85" s="24">
        <f t="shared" si="8"/>
        <v>9</v>
      </c>
      <c r="U85" s="3"/>
      <c r="V85" s="59"/>
      <c r="W85" s="59"/>
      <c r="X85" s="3"/>
      <c r="Y85" s="10"/>
    </row>
    <row r="86" spans="1:25" ht="38.25" hidden="1" customHeight="1" outlineLevel="1" x14ac:dyDescent="0.25">
      <c r="A86" s="18" t="s">
        <v>6</v>
      </c>
      <c r="B86" s="20" t="s">
        <v>7</v>
      </c>
      <c r="C86" s="20" t="s">
        <v>8</v>
      </c>
      <c r="D86" s="20">
        <v>3</v>
      </c>
      <c r="E86" s="20" t="s">
        <v>9</v>
      </c>
      <c r="F86" s="20" t="s">
        <v>277</v>
      </c>
      <c r="G86" s="2"/>
      <c r="H86" s="20" t="s">
        <v>6</v>
      </c>
      <c r="I86" s="20" t="s">
        <v>419</v>
      </c>
      <c r="J86" s="20" t="s">
        <v>444</v>
      </c>
      <c r="K86" s="28">
        <v>42806.34</v>
      </c>
      <c r="L86" s="11" t="s">
        <v>245</v>
      </c>
      <c r="M86" s="5" t="s">
        <v>245</v>
      </c>
      <c r="N86" s="17"/>
      <c r="O86" s="86"/>
      <c r="P86" s="86"/>
      <c r="Q86" s="86"/>
      <c r="R86" s="17">
        <v>42905</v>
      </c>
      <c r="S86" s="24">
        <f t="shared" si="8"/>
        <v>6</v>
      </c>
      <c r="U86" s="3"/>
      <c r="V86" s="3"/>
      <c r="W86" s="3"/>
      <c r="X86" s="3"/>
      <c r="Y86" s="5"/>
    </row>
    <row r="87" spans="1:25" ht="63.75" hidden="1" customHeight="1" outlineLevel="1" x14ac:dyDescent="0.25">
      <c r="A87" s="53" t="s">
        <v>6</v>
      </c>
      <c r="B87" s="53" t="s">
        <v>7</v>
      </c>
      <c r="C87" s="20" t="s">
        <v>8</v>
      </c>
      <c r="D87" s="53">
        <v>3</v>
      </c>
      <c r="E87" s="53" t="s">
        <v>9</v>
      </c>
      <c r="F87" s="53" t="s">
        <v>277</v>
      </c>
      <c r="G87" s="75">
        <v>6</v>
      </c>
      <c r="H87" s="53" t="s">
        <v>6</v>
      </c>
      <c r="I87" s="20" t="s">
        <v>698</v>
      </c>
      <c r="J87" s="20" t="s">
        <v>699</v>
      </c>
      <c r="K87" s="55">
        <v>450500</v>
      </c>
      <c r="L87" s="54">
        <v>42978</v>
      </c>
      <c r="M87" s="88">
        <f t="shared" ref="M87:M90" si="9">MONTH(L87)</f>
        <v>8</v>
      </c>
      <c r="N87" s="108"/>
      <c r="O87" s="108"/>
      <c r="P87" s="109"/>
      <c r="Q87" s="5"/>
      <c r="R87" s="127">
        <v>42982</v>
      </c>
      <c r="S87" s="17" t="s">
        <v>124</v>
      </c>
      <c r="T87" s="58"/>
      <c r="U87" s="59"/>
      <c r="V87" s="59"/>
      <c r="W87" s="59"/>
      <c r="X87" s="59"/>
      <c r="Y87" s="128"/>
    </row>
    <row r="88" spans="1:25" ht="38.25" hidden="1" customHeight="1" outlineLevel="1" x14ac:dyDescent="0.25">
      <c r="A88" s="53" t="s">
        <v>6</v>
      </c>
      <c r="B88" s="53" t="s">
        <v>7</v>
      </c>
      <c r="C88" s="20" t="s">
        <v>8</v>
      </c>
      <c r="D88" s="53">
        <v>3</v>
      </c>
      <c r="E88" s="53" t="s">
        <v>9</v>
      </c>
      <c r="F88" s="53" t="s">
        <v>277</v>
      </c>
      <c r="G88" s="75">
        <v>7</v>
      </c>
      <c r="H88" s="53" t="s">
        <v>6</v>
      </c>
      <c r="I88" s="20" t="s">
        <v>698</v>
      </c>
      <c r="J88" s="20" t="s">
        <v>700</v>
      </c>
      <c r="K88" s="55">
        <v>650250</v>
      </c>
      <c r="L88" s="54">
        <v>42978</v>
      </c>
      <c r="M88" s="88">
        <f t="shared" si="9"/>
        <v>8</v>
      </c>
      <c r="N88" s="108"/>
      <c r="O88" s="108"/>
      <c r="P88" s="109"/>
      <c r="Q88" s="5"/>
      <c r="R88" s="127">
        <v>42982</v>
      </c>
      <c r="S88" s="17" t="s">
        <v>124</v>
      </c>
      <c r="T88" s="58"/>
      <c r="U88" s="59"/>
      <c r="V88" s="59"/>
      <c r="W88" s="59"/>
      <c r="X88" s="59"/>
      <c r="Y88" s="128"/>
    </row>
    <row r="89" spans="1:25" ht="51" hidden="1" customHeight="1" outlineLevel="1" x14ac:dyDescent="0.25">
      <c r="A89" s="53" t="s">
        <v>6</v>
      </c>
      <c r="B89" s="53" t="s">
        <v>7</v>
      </c>
      <c r="C89" s="20" t="s">
        <v>8</v>
      </c>
      <c r="D89" s="53">
        <v>3</v>
      </c>
      <c r="E89" s="53" t="s">
        <v>9</v>
      </c>
      <c r="F89" s="53" t="s">
        <v>277</v>
      </c>
      <c r="G89" s="75">
        <f>MAX($G$3:G88)+1</f>
        <v>10</v>
      </c>
      <c r="H89" s="53" t="s">
        <v>6</v>
      </c>
      <c r="I89" s="20" t="s">
        <v>512</v>
      </c>
      <c r="J89" s="20" t="s">
        <v>513</v>
      </c>
      <c r="K89" s="55">
        <v>225250</v>
      </c>
      <c r="L89" s="54">
        <v>42947</v>
      </c>
      <c r="M89" s="88">
        <f t="shared" si="9"/>
        <v>7</v>
      </c>
      <c r="N89" s="17"/>
      <c r="O89" s="5"/>
      <c r="P89" s="5"/>
      <c r="Q89" s="5">
        <v>43039</v>
      </c>
      <c r="R89" s="106">
        <v>42982</v>
      </c>
      <c r="S89" s="24">
        <f t="shared" si="8"/>
        <v>9</v>
      </c>
      <c r="U89" s="3"/>
      <c r="V89" s="59"/>
      <c r="W89" s="59"/>
      <c r="X89" s="3" t="s">
        <v>646</v>
      </c>
      <c r="Y89" s="10"/>
    </row>
    <row r="90" spans="1:25" ht="51" hidden="1" customHeight="1" outlineLevel="1" x14ac:dyDescent="0.25">
      <c r="A90" s="53" t="s">
        <v>6</v>
      </c>
      <c r="B90" s="53" t="s">
        <v>7</v>
      </c>
      <c r="C90" s="20" t="s">
        <v>8</v>
      </c>
      <c r="D90" s="53">
        <v>3</v>
      </c>
      <c r="E90" s="53" t="s">
        <v>9</v>
      </c>
      <c r="F90" s="53" t="s">
        <v>277</v>
      </c>
      <c r="G90" s="75">
        <f>MAX($G$3:G89)+1</f>
        <v>11</v>
      </c>
      <c r="H90" s="53" t="s">
        <v>6</v>
      </c>
      <c r="I90" s="20" t="s">
        <v>701</v>
      </c>
      <c r="J90" s="20" t="s">
        <v>702</v>
      </c>
      <c r="K90" s="55">
        <v>663189.54999999993</v>
      </c>
      <c r="L90" s="54">
        <v>42967</v>
      </c>
      <c r="M90" s="88">
        <f t="shared" si="9"/>
        <v>8</v>
      </c>
      <c r="N90" s="108"/>
      <c r="O90" s="108"/>
      <c r="P90" s="109"/>
      <c r="Q90" s="5"/>
      <c r="R90" s="106">
        <v>42982</v>
      </c>
      <c r="S90" s="24">
        <f t="shared" si="8"/>
        <v>9</v>
      </c>
      <c r="T90" s="132"/>
      <c r="U90" s="59"/>
      <c r="V90" s="59"/>
      <c r="W90" s="59"/>
      <c r="X90" s="59"/>
      <c r="Y90" s="59"/>
    </row>
    <row r="91" spans="1:25" ht="33" hidden="1" customHeight="1" outlineLevel="1" x14ac:dyDescent="0.25">
      <c r="A91" s="2" t="s">
        <v>6</v>
      </c>
      <c r="B91" s="2" t="s">
        <v>7</v>
      </c>
      <c r="C91" s="2" t="s">
        <v>8</v>
      </c>
      <c r="D91" s="2">
        <v>3</v>
      </c>
      <c r="E91" s="2" t="s">
        <v>9</v>
      </c>
      <c r="F91" s="2" t="s">
        <v>277</v>
      </c>
      <c r="G91" s="2"/>
      <c r="H91" s="2" t="s">
        <v>6</v>
      </c>
      <c r="I91" s="3" t="s">
        <v>75</v>
      </c>
      <c r="J91" s="3" t="s">
        <v>87</v>
      </c>
      <c r="K91" s="28">
        <v>426020</v>
      </c>
      <c r="L91" s="10" t="s">
        <v>245</v>
      </c>
      <c r="M91" s="5" t="s">
        <v>245</v>
      </c>
      <c r="N91" s="17"/>
      <c r="O91" s="17"/>
      <c r="P91" s="17"/>
      <c r="Q91" s="17"/>
      <c r="R91" s="17">
        <v>42838</v>
      </c>
      <c r="S91" s="24">
        <f t="shared" si="8"/>
        <v>4</v>
      </c>
      <c r="T91" s="5"/>
      <c r="U91" s="23"/>
      <c r="V91" s="3"/>
      <c r="W91" s="3"/>
      <c r="X91" s="3"/>
      <c r="Y91" s="59"/>
    </row>
    <row r="92" spans="1:25" ht="38.25" hidden="1" customHeight="1" outlineLevel="1" x14ac:dyDescent="0.25">
      <c r="A92" s="2" t="s">
        <v>6</v>
      </c>
      <c r="B92" s="2" t="s">
        <v>7</v>
      </c>
      <c r="C92" s="2" t="s">
        <v>8</v>
      </c>
      <c r="D92" s="2">
        <v>3</v>
      </c>
      <c r="E92" s="2" t="s">
        <v>9</v>
      </c>
      <c r="F92" s="2" t="s">
        <v>277</v>
      </c>
      <c r="G92" s="2"/>
      <c r="H92" s="2" t="s">
        <v>6</v>
      </c>
      <c r="I92" s="3" t="s">
        <v>157</v>
      </c>
      <c r="J92" s="3" t="s">
        <v>95</v>
      </c>
      <c r="K92" s="28">
        <v>425000</v>
      </c>
      <c r="L92" s="10" t="s">
        <v>245</v>
      </c>
      <c r="M92" s="5" t="s">
        <v>245</v>
      </c>
      <c r="N92" s="17"/>
      <c r="O92" s="17"/>
      <c r="P92" s="17"/>
      <c r="Q92" s="17"/>
      <c r="R92" s="17">
        <v>42849</v>
      </c>
      <c r="S92" s="24">
        <f>MONTH(R92)</f>
        <v>4</v>
      </c>
      <c r="T92" s="5"/>
      <c r="U92" s="23"/>
      <c r="V92" s="3"/>
      <c r="W92" s="3"/>
      <c r="X92" s="3"/>
      <c r="Y92" s="59"/>
    </row>
    <row r="93" spans="1:25" ht="51" hidden="1" customHeight="1" outlineLevel="1" x14ac:dyDescent="0.25">
      <c r="A93" s="20" t="s">
        <v>6</v>
      </c>
      <c r="B93" s="20" t="s">
        <v>7</v>
      </c>
      <c r="C93" s="20" t="s">
        <v>8</v>
      </c>
      <c r="D93" s="20">
        <v>3</v>
      </c>
      <c r="E93" s="20" t="s">
        <v>9</v>
      </c>
      <c r="F93" s="20" t="s">
        <v>277</v>
      </c>
      <c r="G93" s="75">
        <f>MAX($G$3:G92)+1</f>
        <v>12</v>
      </c>
      <c r="H93" s="20" t="s">
        <v>6</v>
      </c>
      <c r="I93" s="20" t="s">
        <v>300</v>
      </c>
      <c r="J93" s="20" t="s">
        <v>301</v>
      </c>
      <c r="K93" s="28">
        <v>313749</v>
      </c>
      <c r="L93" s="18">
        <v>42916</v>
      </c>
      <c r="M93" s="88">
        <f t="shared" ref="M93:M98" si="10">MONTH(L93)</f>
        <v>6</v>
      </c>
      <c r="N93" s="17"/>
      <c r="O93" s="86"/>
      <c r="P93" s="17"/>
      <c r="Q93" s="5">
        <v>43008</v>
      </c>
      <c r="R93" s="17">
        <v>42971</v>
      </c>
      <c r="S93" s="24">
        <f t="shared" ref="S93:S94" si="11">MONTH(R93)</f>
        <v>8</v>
      </c>
      <c r="T93" s="5"/>
      <c r="U93" s="3"/>
      <c r="V93" s="3"/>
      <c r="W93" s="3" t="s">
        <v>473</v>
      </c>
      <c r="X93" s="86" t="s">
        <v>649</v>
      </c>
      <c r="Y93" s="59"/>
    </row>
    <row r="94" spans="1:25" ht="51" hidden="1" customHeight="1" outlineLevel="1" x14ac:dyDescent="0.25">
      <c r="A94" s="20" t="s">
        <v>6</v>
      </c>
      <c r="B94" s="20" t="s">
        <v>7</v>
      </c>
      <c r="C94" s="20" t="s">
        <v>8</v>
      </c>
      <c r="D94" s="20">
        <v>3</v>
      </c>
      <c r="E94" s="20" t="s">
        <v>9</v>
      </c>
      <c r="F94" s="20" t="s">
        <v>277</v>
      </c>
      <c r="G94" s="2"/>
      <c r="H94" s="20" t="s">
        <v>6</v>
      </c>
      <c r="I94" s="20" t="s">
        <v>300</v>
      </c>
      <c r="J94" s="20" t="s">
        <v>302</v>
      </c>
      <c r="K94" s="28">
        <v>161577</v>
      </c>
      <c r="L94" s="18">
        <v>42916</v>
      </c>
      <c r="M94" s="88">
        <f t="shared" si="10"/>
        <v>6</v>
      </c>
      <c r="N94" s="17"/>
      <c r="O94" s="86"/>
      <c r="P94" s="17"/>
      <c r="Q94" s="17"/>
      <c r="R94" s="17">
        <v>42963</v>
      </c>
      <c r="S94" s="24">
        <f t="shared" si="11"/>
        <v>8</v>
      </c>
      <c r="T94" s="5"/>
      <c r="U94" s="3"/>
      <c r="V94" s="3"/>
      <c r="W94" s="3" t="s">
        <v>473</v>
      </c>
      <c r="X94" s="3"/>
      <c r="Y94" s="59"/>
    </row>
    <row r="95" spans="1:25" ht="51" hidden="1" customHeight="1" outlineLevel="1" x14ac:dyDescent="0.25">
      <c r="A95" s="20" t="s">
        <v>6</v>
      </c>
      <c r="B95" s="20" t="s">
        <v>7</v>
      </c>
      <c r="C95" s="20" t="s">
        <v>8</v>
      </c>
      <c r="D95" s="20">
        <v>3</v>
      </c>
      <c r="E95" s="20" t="s">
        <v>9</v>
      </c>
      <c r="F95" s="20" t="s">
        <v>277</v>
      </c>
      <c r="G95" s="75">
        <v>9</v>
      </c>
      <c r="H95" s="20" t="s">
        <v>6</v>
      </c>
      <c r="I95" s="20" t="s">
        <v>168</v>
      </c>
      <c r="J95" s="20" t="s">
        <v>303</v>
      </c>
      <c r="K95" s="28">
        <v>1688762</v>
      </c>
      <c r="L95" s="18">
        <v>42916</v>
      </c>
      <c r="M95" s="88">
        <f t="shared" si="10"/>
        <v>6</v>
      </c>
      <c r="N95" s="17"/>
      <c r="O95" s="86"/>
      <c r="P95" s="17">
        <v>42982</v>
      </c>
      <c r="Q95" s="5"/>
      <c r="R95" s="127">
        <v>42982</v>
      </c>
      <c r="S95" s="17" t="s">
        <v>124</v>
      </c>
      <c r="T95" s="129"/>
      <c r="U95" s="3"/>
      <c r="V95" s="3"/>
      <c r="W95" s="3" t="s">
        <v>474</v>
      </c>
      <c r="X95" s="3" t="s">
        <v>686</v>
      </c>
      <c r="Y95" s="86"/>
    </row>
    <row r="96" spans="1:25" ht="51" hidden="1" customHeight="1" outlineLevel="1" x14ac:dyDescent="0.25">
      <c r="A96" s="53" t="s">
        <v>6</v>
      </c>
      <c r="B96" s="53" t="s">
        <v>7</v>
      </c>
      <c r="C96" s="20" t="s">
        <v>8</v>
      </c>
      <c r="D96" s="53">
        <v>3</v>
      </c>
      <c r="E96" s="53" t="s">
        <v>9</v>
      </c>
      <c r="F96" s="53" t="s">
        <v>277</v>
      </c>
      <c r="G96" s="2"/>
      <c r="H96" s="53" t="s">
        <v>6</v>
      </c>
      <c r="I96" s="20" t="s">
        <v>514</v>
      </c>
      <c r="J96" s="20" t="s">
        <v>515</v>
      </c>
      <c r="K96" s="55">
        <v>1273782</v>
      </c>
      <c r="L96" s="54">
        <v>42947</v>
      </c>
      <c r="M96" s="88">
        <f t="shared" si="10"/>
        <v>7</v>
      </c>
      <c r="N96" s="17"/>
      <c r="O96" s="5"/>
      <c r="P96" s="5"/>
      <c r="Q96" s="5">
        <v>42979</v>
      </c>
      <c r="R96" s="106">
        <v>42977</v>
      </c>
      <c r="S96" s="24">
        <f t="shared" ref="S96" si="12">MONTH(R96)</f>
        <v>8</v>
      </c>
      <c r="T96" s="10"/>
      <c r="U96" s="3"/>
      <c r="V96" s="59"/>
      <c r="W96" s="59"/>
      <c r="X96" s="3" t="s">
        <v>656</v>
      </c>
      <c r="Y96" s="59"/>
    </row>
    <row r="97" spans="1:25" ht="51" hidden="1" customHeight="1" outlineLevel="1" x14ac:dyDescent="0.25">
      <c r="A97" s="2" t="s">
        <v>6</v>
      </c>
      <c r="B97" s="2" t="s">
        <v>7</v>
      </c>
      <c r="C97" s="2" t="s">
        <v>8</v>
      </c>
      <c r="D97" s="2">
        <v>3</v>
      </c>
      <c r="E97" s="2" t="s">
        <v>9</v>
      </c>
      <c r="F97" s="2" t="s">
        <v>277</v>
      </c>
      <c r="G97" s="75">
        <f>MAX($G$3:G96)+1</f>
        <v>13</v>
      </c>
      <c r="H97" s="2" t="s">
        <v>6</v>
      </c>
      <c r="I97" s="3" t="s">
        <v>155</v>
      </c>
      <c r="J97" s="3" t="s">
        <v>156</v>
      </c>
      <c r="K97" s="28">
        <v>170000</v>
      </c>
      <c r="L97" s="10">
        <v>42886</v>
      </c>
      <c r="M97" s="88">
        <f t="shared" si="10"/>
        <v>5</v>
      </c>
      <c r="N97" s="17"/>
      <c r="O97" s="17">
        <v>42982</v>
      </c>
      <c r="P97" s="17">
        <v>42982</v>
      </c>
      <c r="Q97" s="5"/>
      <c r="R97" s="17">
        <v>42978</v>
      </c>
      <c r="S97" s="24">
        <f t="shared" ref="S97:S98" si="13">MONTH(R97)</f>
        <v>8</v>
      </c>
      <c r="T97" s="5"/>
      <c r="U97" s="23"/>
      <c r="V97" s="3" t="s">
        <v>259</v>
      </c>
      <c r="W97" s="3" t="s">
        <v>259</v>
      </c>
      <c r="X97" s="3" t="s">
        <v>259</v>
      </c>
      <c r="Y97" s="59"/>
    </row>
    <row r="98" spans="1:25" ht="51" hidden="1" customHeight="1" outlineLevel="1" x14ac:dyDescent="0.25">
      <c r="A98" s="53" t="s">
        <v>6</v>
      </c>
      <c r="B98" s="53" t="s">
        <v>7</v>
      </c>
      <c r="C98" s="20" t="s">
        <v>8</v>
      </c>
      <c r="D98" s="53">
        <v>3</v>
      </c>
      <c r="E98" s="53" t="s">
        <v>9</v>
      </c>
      <c r="F98" s="53" t="s">
        <v>277</v>
      </c>
      <c r="G98" s="2"/>
      <c r="H98" s="53" t="s">
        <v>6</v>
      </c>
      <c r="I98" s="20" t="s">
        <v>516</v>
      </c>
      <c r="J98" s="20" t="s">
        <v>517</v>
      </c>
      <c r="K98" s="55">
        <v>340000</v>
      </c>
      <c r="L98" s="54">
        <v>42947</v>
      </c>
      <c r="M98" s="88">
        <f t="shared" si="10"/>
        <v>7</v>
      </c>
      <c r="N98" s="17"/>
      <c r="O98" s="5"/>
      <c r="P98" s="5"/>
      <c r="Q98" s="5">
        <v>42972</v>
      </c>
      <c r="R98" s="106">
        <v>42979</v>
      </c>
      <c r="S98" s="24">
        <f t="shared" si="13"/>
        <v>9</v>
      </c>
      <c r="T98" s="10"/>
      <c r="U98" s="3"/>
      <c r="V98" s="59"/>
      <c r="W98" s="59"/>
      <c r="X98" s="3" t="s">
        <v>650</v>
      </c>
      <c r="Y98" s="59"/>
    </row>
    <row r="99" spans="1:25" s="168" customFormat="1" ht="26.25" customHeight="1" outlineLevel="1" x14ac:dyDescent="0.25">
      <c r="A99" s="171" t="s">
        <v>6</v>
      </c>
      <c r="B99" s="171" t="s">
        <v>7</v>
      </c>
      <c r="C99" s="172" t="s">
        <v>8</v>
      </c>
      <c r="D99" s="171">
        <v>3</v>
      </c>
      <c r="E99" s="171" t="s">
        <v>9</v>
      </c>
      <c r="F99" s="197" t="s">
        <v>277</v>
      </c>
      <c r="G99" s="171">
        <v>3</v>
      </c>
      <c r="H99" s="171" t="s">
        <v>6</v>
      </c>
      <c r="I99" s="172" t="s">
        <v>344</v>
      </c>
      <c r="J99" s="173" t="s">
        <v>851</v>
      </c>
      <c r="K99" s="176">
        <v>102000</v>
      </c>
      <c r="L99" s="174" t="s">
        <v>852</v>
      </c>
      <c r="M99" s="213"/>
      <c r="N99" s="175"/>
      <c r="O99" s="175"/>
      <c r="P99" s="165"/>
      <c r="Q99" s="164"/>
      <c r="R99" s="214" t="s">
        <v>124</v>
      </c>
      <c r="S99" s="198" t="s">
        <v>124</v>
      </c>
      <c r="T99" s="165"/>
      <c r="U99" s="215"/>
      <c r="V99" s="166"/>
      <c r="W99" s="165"/>
      <c r="Y99" s="261" t="s">
        <v>863</v>
      </c>
    </row>
    <row r="100" spans="1:25" s="168" customFormat="1" ht="28.5" customHeight="1" outlineLevel="1" x14ac:dyDescent="0.25">
      <c r="A100" s="171" t="s">
        <v>6</v>
      </c>
      <c r="B100" s="171" t="s">
        <v>7</v>
      </c>
      <c r="C100" s="172" t="s">
        <v>8</v>
      </c>
      <c r="D100" s="171">
        <v>3</v>
      </c>
      <c r="E100" s="171" t="s">
        <v>9</v>
      </c>
      <c r="F100" s="197" t="s">
        <v>277</v>
      </c>
      <c r="G100" s="171">
        <v>4</v>
      </c>
      <c r="H100" s="171" t="s">
        <v>6</v>
      </c>
      <c r="I100" s="172" t="s">
        <v>853</v>
      </c>
      <c r="J100" s="173" t="s">
        <v>854</v>
      </c>
      <c r="K100" s="176">
        <v>41000</v>
      </c>
      <c r="L100" s="174">
        <v>42855</v>
      </c>
      <c r="M100" s="213"/>
      <c r="N100" s="175"/>
      <c r="O100" s="175"/>
      <c r="P100" s="165"/>
      <c r="Q100" s="164"/>
      <c r="R100" s="214" t="s">
        <v>124</v>
      </c>
      <c r="S100" s="198" t="s">
        <v>124</v>
      </c>
      <c r="T100" s="165"/>
      <c r="U100" s="215"/>
      <c r="V100" s="166"/>
      <c r="W100" s="165"/>
      <c r="Y100" s="261"/>
    </row>
    <row r="101" spans="1:25" s="168" customFormat="1" ht="26.25" customHeight="1" outlineLevel="1" x14ac:dyDescent="0.25">
      <c r="A101" s="171" t="s">
        <v>6</v>
      </c>
      <c r="B101" s="171" t="s">
        <v>7</v>
      </c>
      <c r="C101" s="172" t="s">
        <v>8</v>
      </c>
      <c r="D101" s="171">
        <v>3</v>
      </c>
      <c r="E101" s="171" t="s">
        <v>9</v>
      </c>
      <c r="F101" s="197" t="s">
        <v>277</v>
      </c>
      <c r="G101" s="171">
        <v>5</v>
      </c>
      <c r="H101" s="171" t="s">
        <v>6</v>
      </c>
      <c r="I101" s="173" t="s">
        <v>698</v>
      </c>
      <c r="J101" s="175" t="s">
        <v>859</v>
      </c>
      <c r="K101" s="177">
        <v>314500</v>
      </c>
      <c r="L101" s="175">
        <v>42978</v>
      </c>
      <c r="M101" s="213"/>
      <c r="N101" s="165"/>
      <c r="O101" s="164"/>
      <c r="P101" s="165"/>
      <c r="Q101" s="174"/>
      <c r="R101" s="214" t="s">
        <v>124</v>
      </c>
      <c r="S101" s="198" t="s">
        <v>124</v>
      </c>
      <c r="T101" s="166"/>
      <c r="U101" s="215"/>
      <c r="W101" s="169"/>
      <c r="Y101" s="261"/>
    </row>
    <row r="102" spans="1:25" s="168" customFormat="1" ht="27" customHeight="1" outlineLevel="1" x14ac:dyDescent="0.25">
      <c r="A102" s="171" t="s">
        <v>6</v>
      </c>
      <c r="B102" s="171" t="s">
        <v>7</v>
      </c>
      <c r="C102" s="172" t="s">
        <v>8</v>
      </c>
      <c r="D102" s="171">
        <v>3</v>
      </c>
      <c r="E102" s="171" t="s">
        <v>9</v>
      </c>
      <c r="F102" s="197" t="s">
        <v>277</v>
      </c>
      <c r="G102" s="171">
        <v>6</v>
      </c>
      <c r="H102" s="171" t="s">
        <v>6</v>
      </c>
      <c r="I102" s="172" t="s">
        <v>701</v>
      </c>
      <c r="J102" s="173" t="s">
        <v>855</v>
      </c>
      <c r="K102" s="176">
        <v>2336650</v>
      </c>
      <c r="L102" s="174">
        <v>42967</v>
      </c>
      <c r="M102" s="213"/>
      <c r="N102" s="175"/>
      <c r="O102" s="175"/>
      <c r="P102" s="165"/>
      <c r="Q102" s="164"/>
      <c r="R102" s="214" t="s">
        <v>124</v>
      </c>
      <c r="S102" s="198" t="s">
        <v>124</v>
      </c>
      <c r="T102" s="165"/>
      <c r="U102" s="215"/>
      <c r="V102" s="166"/>
      <c r="W102" s="165"/>
      <c r="Y102" s="261"/>
    </row>
    <row r="103" spans="1:25" s="168" customFormat="1" ht="26.25" customHeight="1" outlineLevel="1" x14ac:dyDescent="0.25">
      <c r="A103" s="171" t="s">
        <v>6</v>
      </c>
      <c r="B103" s="171" t="s">
        <v>7</v>
      </c>
      <c r="C103" s="172" t="s">
        <v>8</v>
      </c>
      <c r="D103" s="171">
        <v>3</v>
      </c>
      <c r="E103" s="171" t="s">
        <v>9</v>
      </c>
      <c r="F103" s="197" t="s">
        <v>277</v>
      </c>
      <c r="G103" s="171">
        <v>7</v>
      </c>
      <c r="H103" s="171" t="s">
        <v>6</v>
      </c>
      <c r="I103" s="172" t="s">
        <v>856</v>
      </c>
      <c r="J103" s="173" t="s">
        <v>857</v>
      </c>
      <c r="K103" s="176">
        <v>739075</v>
      </c>
      <c r="L103" s="174">
        <v>42979</v>
      </c>
      <c r="M103" s="213"/>
      <c r="N103" s="175"/>
      <c r="O103" s="175"/>
      <c r="P103" s="165"/>
      <c r="Q103" s="164"/>
      <c r="R103" s="214" t="s">
        <v>124</v>
      </c>
      <c r="S103" s="198" t="s">
        <v>124</v>
      </c>
      <c r="T103" s="165"/>
      <c r="U103" s="215"/>
      <c r="V103" s="166"/>
      <c r="W103" s="165"/>
      <c r="Y103" s="261"/>
    </row>
    <row r="104" spans="1:25" s="168" customFormat="1" ht="30" customHeight="1" outlineLevel="1" x14ac:dyDescent="0.25">
      <c r="A104" s="171" t="s">
        <v>6</v>
      </c>
      <c r="B104" s="171" t="s">
        <v>7</v>
      </c>
      <c r="C104" s="172" t="s">
        <v>8</v>
      </c>
      <c r="D104" s="171">
        <v>3</v>
      </c>
      <c r="E104" s="171" t="s">
        <v>9</v>
      </c>
      <c r="F104" s="197" t="s">
        <v>277</v>
      </c>
      <c r="G104" s="171">
        <v>8</v>
      </c>
      <c r="H104" s="171" t="s">
        <v>6</v>
      </c>
      <c r="I104" s="172" t="s">
        <v>856</v>
      </c>
      <c r="J104" s="173" t="s">
        <v>858</v>
      </c>
      <c r="K104" s="176">
        <v>407671</v>
      </c>
      <c r="L104" s="174">
        <v>42979</v>
      </c>
      <c r="M104" s="213"/>
      <c r="N104" s="175"/>
      <c r="O104" s="175"/>
      <c r="P104" s="165"/>
      <c r="Q104" s="164"/>
      <c r="R104" s="214" t="s">
        <v>124</v>
      </c>
      <c r="S104" s="198" t="s">
        <v>124</v>
      </c>
      <c r="T104" s="165"/>
      <c r="U104" s="215"/>
      <c r="V104" s="166"/>
      <c r="W104" s="165"/>
      <c r="Y104" s="261"/>
    </row>
    <row r="105" spans="1:25" ht="51" hidden="1" customHeight="1" x14ac:dyDescent="0.25">
      <c r="A105" s="2" t="s">
        <v>101</v>
      </c>
      <c r="B105" s="20" t="s">
        <v>410</v>
      </c>
      <c r="C105" s="20" t="s">
        <v>108</v>
      </c>
      <c r="D105" s="20" t="s">
        <v>3</v>
      </c>
      <c r="E105" s="20" t="s">
        <v>69</v>
      </c>
      <c r="F105" s="20" t="s">
        <v>277</v>
      </c>
      <c r="G105" s="2"/>
      <c r="H105" s="2" t="s">
        <v>101</v>
      </c>
      <c r="I105" s="4" t="s">
        <v>462</v>
      </c>
      <c r="J105" s="4" t="s">
        <v>449</v>
      </c>
      <c r="K105" s="28">
        <v>113900</v>
      </c>
      <c r="L105" s="12" t="s">
        <v>245</v>
      </c>
      <c r="M105" s="5" t="s">
        <v>245</v>
      </c>
      <c r="N105" s="105"/>
      <c r="O105" s="105"/>
      <c r="P105" s="105"/>
      <c r="Q105" s="105"/>
      <c r="R105" s="105">
        <v>42916</v>
      </c>
      <c r="S105" s="24">
        <f t="shared" ref="S105:S121" si="14">MONTH(R105)</f>
        <v>6</v>
      </c>
      <c r="T105" s="5"/>
      <c r="U105" s="23"/>
      <c r="V105" s="4"/>
      <c r="W105" s="4"/>
      <c r="X105" s="3"/>
      <c r="Y105" s="59"/>
    </row>
    <row r="106" spans="1:25" ht="51" hidden="1" customHeight="1" x14ac:dyDescent="0.25">
      <c r="A106" s="2" t="s">
        <v>101</v>
      </c>
      <c r="B106" s="20" t="s">
        <v>410</v>
      </c>
      <c r="C106" s="20" t="s">
        <v>108</v>
      </c>
      <c r="D106" s="20" t="s">
        <v>3</v>
      </c>
      <c r="E106" s="20" t="s">
        <v>69</v>
      </c>
      <c r="F106" s="20" t="s">
        <v>277</v>
      </c>
      <c r="G106" s="2"/>
      <c r="H106" s="2" t="s">
        <v>101</v>
      </c>
      <c r="I106" s="4" t="s">
        <v>79</v>
      </c>
      <c r="J106" s="4" t="s">
        <v>81</v>
      </c>
      <c r="K106" s="28">
        <v>574107</v>
      </c>
      <c r="L106" s="12" t="s">
        <v>245</v>
      </c>
      <c r="M106" s="5" t="s">
        <v>245</v>
      </c>
      <c r="N106" s="105"/>
      <c r="O106" s="105"/>
      <c r="P106" s="105"/>
      <c r="Q106" s="105"/>
      <c r="R106" s="105">
        <v>42828</v>
      </c>
      <c r="S106" s="24">
        <f t="shared" si="14"/>
        <v>4</v>
      </c>
      <c r="T106" s="5"/>
      <c r="U106" s="23"/>
      <c r="V106" s="4"/>
      <c r="W106" s="4"/>
      <c r="X106" s="3"/>
      <c r="Y106" s="59"/>
    </row>
    <row r="107" spans="1:25" ht="51" hidden="1" customHeight="1" x14ac:dyDescent="0.25">
      <c r="A107" s="2" t="s">
        <v>101</v>
      </c>
      <c r="B107" s="20" t="s">
        <v>410</v>
      </c>
      <c r="C107" s="20" t="s">
        <v>108</v>
      </c>
      <c r="D107" s="20" t="s">
        <v>3</v>
      </c>
      <c r="E107" s="20" t="s">
        <v>69</v>
      </c>
      <c r="F107" s="20" t="s">
        <v>277</v>
      </c>
      <c r="G107" s="2"/>
      <c r="H107" s="2" t="s">
        <v>101</v>
      </c>
      <c r="I107" s="4" t="s">
        <v>79</v>
      </c>
      <c r="J107" s="4" t="s">
        <v>446</v>
      </c>
      <c r="K107" s="28">
        <v>2043493.5</v>
      </c>
      <c r="L107" s="12" t="s">
        <v>245</v>
      </c>
      <c r="M107" s="5" t="s">
        <v>245</v>
      </c>
      <c r="N107" s="105"/>
      <c r="O107" s="105"/>
      <c r="P107" s="105"/>
      <c r="Q107" s="105"/>
      <c r="R107" s="105">
        <v>42912</v>
      </c>
      <c r="S107" s="24">
        <f t="shared" si="14"/>
        <v>6</v>
      </c>
      <c r="T107" s="5"/>
      <c r="U107" s="23"/>
      <c r="V107" s="4"/>
      <c r="W107" s="4"/>
      <c r="X107" s="3"/>
      <c r="Y107" s="59"/>
    </row>
    <row r="108" spans="1:25" ht="63.75" hidden="1" customHeight="1" x14ac:dyDescent="0.25">
      <c r="A108" s="2" t="s">
        <v>101</v>
      </c>
      <c r="B108" s="20" t="s">
        <v>410</v>
      </c>
      <c r="C108" s="20" t="s">
        <v>108</v>
      </c>
      <c r="D108" s="20" t="s">
        <v>3</v>
      </c>
      <c r="E108" s="20" t="s">
        <v>69</v>
      </c>
      <c r="F108" s="20" t="s">
        <v>277</v>
      </c>
      <c r="G108" s="2"/>
      <c r="H108" s="2" t="s">
        <v>101</v>
      </c>
      <c r="I108" s="4" t="s">
        <v>79</v>
      </c>
      <c r="J108" s="4" t="s">
        <v>447</v>
      </c>
      <c r="K108" s="28">
        <v>1006778.25</v>
      </c>
      <c r="L108" s="12" t="s">
        <v>245</v>
      </c>
      <c r="M108" s="5" t="s">
        <v>245</v>
      </c>
      <c r="N108" s="105"/>
      <c r="O108" s="105"/>
      <c r="P108" s="105"/>
      <c r="Q108" s="105"/>
      <c r="R108" s="105">
        <v>42916</v>
      </c>
      <c r="S108" s="24">
        <f t="shared" si="14"/>
        <v>6</v>
      </c>
      <c r="T108" s="5"/>
      <c r="U108" s="23"/>
      <c r="V108" s="4"/>
      <c r="W108" s="4"/>
      <c r="X108" s="3"/>
      <c r="Y108" s="59"/>
    </row>
    <row r="109" spans="1:25" ht="89.25" hidden="1" customHeight="1" x14ac:dyDescent="0.25">
      <c r="A109" s="2" t="s">
        <v>101</v>
      </c>
      <c r="B109" s="20" t="s">
        <v>410</v>
      </c>
      <c r="C109" s="20" t="s">
        <v>108</v>
      </c>
      <c r="D109" s="20" t="s">
        <v>3</v>
      </c>
      <c r="E109" s="20" t="s">
        <v>69</v>
      </c>
      <c r="F109" s="20" t="s">
        <v>277</v>
      </c>
      <c r="G109" s="2"/>
      <c r="H109" s="2" t="s">
        <v>101</v>
      </c>
      <c r="I109" s="3" t="s">
        <v>129</v>
      </c>
      <c r="J109" s="3" t="s">
        <v>159</v>
      </c>
      <c r="K109" s="28">
        <v>266900</v>
      </c>
      <c r="L109" s="8" t="s">
        <v>245</v>
      </c>
      <c r="M109" s="5" t="s">
        <v>245</v>
      </c>
      <c r="N109" s="17"/>
      <c r="O109" s="17"/>
      <c r="P109" s="17"/>
      <c r="Q109" s="17"/>
      <c r="R109" s="17">
        <v>42867</v>
      </c>
      <c r="S109" s="24">
        <f t="shared" si="14"/>
        <v>5</v>
      </c>
      <c r="T109" s="5"/>
      <c r="U109" s="23"/>
      <c r="V109" s="3"/>
      <c r="W109" s="3"/>
      <c r="X109" s="3"/>
      <c r="Y109" s="59"/>
    </row>
    <row r="110" spans="1:25" ht="51" hidden="1" customHeight="1" x14ac:dyDescent="0.25">
      <c r="A110" s="2" t="s">
        <v>101</v>
      </c>
      <c r="B110" s="20" t="s">
        <v>410</v>
      </c>
      <c r="C110" s="20" t="s">
        <v>108</v>
      </c>
      <c r="D110" s="20" t="s">
        <v>3</v>
      </c>
      <c r="E110" s="20" t="s">
        <v>69</v>
      </c>
      <c r="F110" s="20" t="s">
        <v>277</v>
      </c>
      <c r="G110" s="2"/>
      <c r="H110" s="2" t="s">
        <v>101</v>
      </c>
      <c r="I110" s="4" t="s">
        <v>207</v>
      </c>
      <c r="J110" s="4" t="s">
        <v>421</v>
      </c>
      <c r="K110" s="28">
        <v>511700</v>
      </c>
      <c r="L110" s="12" t="s">
        <v>245</v>
      </c>
      <c r="M110" s="5" t="s">
        <v>245</v>
      </c>
      <c r="N110" s="105"/>
      <c r="O110" s="105"/>
      <c r="P110" s="105"/>
      <c r="Q110" s="105"/>
      <c r="R110" s="105">
        <v>42907</v>
      </c>
      <c r="S110" s="24">
        <f t="shared" si="14"/>
        <v>6</v>
      </c>
      <c r="T110" s="5"/>
      <c r="U110" s="23"/>
      <c r="V110" s="4"/>
      <c r="W110" s="4"/>
      <c r="X110" s="3"/>
      <c r="Y110" s="59"/>
    </row>
    <row r="111" spans="1:25" ht="51" hidden="1" customHeight="1" x14ac:dyDescent="0.25">
      <c r="A111" s="2" t="s">
        <v>101</v>
      </c>
      <c r="B111" s="20" t="s">
        <v>410</v>
      </c>
      <c r="C111" s="20" t="s">
        <v>108</v>
      </c>
      <c r="D111" s="20" t="s">
        <v>3</v>
      </c>
      <c r="E111" s="20" t="s">
        <v>69</v>
      </c>
      <c r="F111" s="20" t="s">
        <v>277</v>
      </c>
      <c r="G111" s="2"/>
      <c r="H111" s="2" t="s">
        <v>101</v>
      </c>
      <c r="I111" s="4" t="s">
        <v>77</v>
      </c>
      <c r="J111" s="4" t="s">
        <v>83</v>
      </c>
      <c r="K111" s="28">
        <v>187000</v>
      </c>
      <c r="L111" s="12" t="s">
        <v>245</v>
      </c>
      <c r="M111" s="5" t="s">
        <v>245</v>
      </c>
      <c r="N111" s="105"/>
      <c r="O111" s="105"/>
      <c r="P111" s="105"/>
      <c r="Q111" s="105"/>
      <c r="R111" s="105">
        <v>42829</v>
      </c>
      <c r="S111" s="24">
        <f t="shared" si="14"/>
        <v>4</v>
      </c>
      <c r="T111" s="5"/>
      <c r="U111" s="23"/>
      <c r="V111" s="4"/>
      <c r="W111" s="4"/>
      <c r="X111" s="3"/>
      <c r="Y111" s="59"/>
    </row>
    <row r="112" spans="1:25" ht="51" hidden="1" customHeight="1" x14ac:dyDescent="0.25">
      <c r="A112" s="2" t="s">
        <v>101</v>
      </c>
      <c r="B112" s="20" t="s">
        <v>410</v>
      </c>
      <c r="C112" s="20" t="s">
        <v>108</v>
      </c>
      <c r="D112" s="20" t="s">
        <v>3</v>
      </c>
      <c r="E112" s="20" t="s">
        <v>69</v>
      </c>
      <c r="F112" s="20" t="s">
        <v>277</v>
      </c>
      <c r="G112" s="2"/>
      <c r="H112" s="2" t="s">
        <v>101</v>
      </c>
      <c r="I112" s="4" t="s">
        <v>76</v>
      </c>
      <c r="J112" s="4" t="s">
        <v>82</v>
      </c>
      <c r="K112" s="28">
        <v>138550</v>
      </c>
      <c r="L112" s="12" t="s">
        <v>245</v>
      </c>
      <c r="M112" s="5" t="s">
        <v>245</v>
      </c>
      <c r="N112" s="105"/>
      <c r="O112" s="105"/>
      <c r="P112" s="105"/>
      <c r="Q112" s="105"/>
      <c r="R112" s="105">
        <v>42828</v>
      </c>
      <c r="S112" s="24">
        <f t="shared" si="14"/>
        <v>4</v>
      </c>
      <c r="T112" s="5"/>
      <c r="U112" s="23"/>
      <c r="V112" s="4"/>
      <c r="W112" s="4"/>
      <c r="X112" s="3"/>
      <c r="Y112" s="59"/>
    </row>
    <row r="113" spans="1:25" ht="51" hidden="1" customHeight="1" x14ac:dyDescent="0.25">
      <c r="A113" s="2" t="s">
        <v>101</v>
      </c>
      <c r="B113" s="20" t="s">
        <v>410</v>
      </c>
      <c r="C113" s="20" t="s">
        <v>108</v>
      </c>
      <c r="D113" s="20" t="s">
        <v>3</v>
      </c>
      <c r="E113" s="20" t="s">
        <v>69</v>
      </c>
      <c r="F113" s="20" t="s">
        <v>277</v>
      </c>
      <c r="G113" s="2"/>
      <c r="H113" s="2" t="s">
        <v>101</v>
      </c>
      <c r="I113" s="4" t="s">
        <v>461</v>
      </c>
      <c r="J113" s="4" t="s">
        <v>448</v>
      </c>
      <c r="K113" s="28">
        <v>555900</v>
      </c>
      <c r="L113" s="12" t="s">
        <v>245</v>
      </c>
      <c r="M113" s="5" t="s">
        <v>245</v>
      </c>
      <c r="N113" s="105"/>
      <c r="O113" s="105"/>
      <c r="P113" s="105"/>
      <c r="Q113" s="105"/>
      <c r="R113" s="105">
        <v>42916</v>
      </c>
      <c r="S113" s="24">
        <f t="shared" si="14"/>
        <v>6</v>
      </c>
      <c r="T113" s="5"/>
      <c r="U113" s="23"/>
      <c r="V113" s="4"/>
      <c r="W113" s="4"/>
      <c r="X113" s="3"/>
      <c r="Y113" s="59"/>
    </row>
    <row r="114" spans="1:25" ht="51" hidden="1" customHeight="1" x14ac:dyDescent="0.25">
      <c r="A114" s="2" t="s">
        <v>101</v>
      </c>
      <c r="B114" s="20" t="s">
        <v>410</v>
      </c>
      <c r="C114" s="20" t="s">
        <v>108</v>
      </c>
      <c r="D114" s="20" t="s">
        <v>3</v>
      </c>
      <c r="E114" s="20" t="s">
        <v>69</v>
      </c>
      <c r="F114" s="20" t="s">
        <v>277</v>
      </c>
      <c r="G114" s="2"/>
      <c r="H114" s="2" t="s">
        <v>101</v>
      </c>
      <c r="I114" s="3" t="s">
        <v>556</v>
      </c>
      <c r="J114" s="3" t="s">
        <v>557</v>
      </c>
      <c r="K114" s="57">
        <v>880600</v>
      </c>
      <c r="L114" s="12" t="s">
        <v>245</v>
      </c>
      <c r="M114" s="5" t="s">
        <v>245</v>
      </c>
      <c r="N114" s="17"/>
      <c r="O114" s="108"/>
      <c r="P114" s="108"/>
      <c r="Q114" s="108"/>
      <c r="R114" s="108">
        <v>42928</v>
      </c>
      <c r="S114" s="24">
        <f t="shared" si="14"/>
        <v>7</v>
      </c>
      <c r="T114" s="58"/>
      <c r="U114" s="69"/>
      <c r="V114" s="59"/>
      <c r="W114" s="59"/>
      <c r="X114" s="59"/>
      <c r="Y114" s="59"/>
    </row>
    <row r="115" spans="1:25" ht="51" hidden="1" customHeight="1" x14ac:dyDescent="0.25">
      <c r="A115" s="2" t="s">
        <v>101</v>
      </c>
      <c r="B115" s="20" t="s">
        <v>410</v>
      </c>
      <c r="C115" s="20" t="s">
        <v>108</v>
      </c>
      <c r="D115" s="20" t="s">
        <v>3</v>
      </c>
      <c r="E115" s="20" t="s">
        <v>69</v>
      </c>
      <c r="F115" s="20" t="s">
        <v>277</v>
      </c>
      <c r="G115" s="2"/>
      <c r="H115" s="2" t="s">
        <v>101</v>
      </c>
      <c r="I115" s="3" t="s">
        <v>556</v>
      </c>
      <c r="J115" s="3" t="s">
        <v>558</v>
      </c>
      <c r="K115" s="57">
        <v>297500</v>
      </c>
      <c r="L115" s="12" t="s">
        <v>245</v>
      </c>
      <c r="M115" s="5" t="s">
        <v>245</v>
      </c>
      <c r="N115" s="17"/>
      <c r="O115" s="108"/>
      <c r="P115" s="108"/>
      <c r="Q115" s="108"/>
      <c r="R115" s="108">
        <v>42928</v>
      </c>
      <c r="S115" s="24">
        <f t="shared" si="14"/>
        <v>7</v>
      </c>
      <c r="T115" s="58"/>
      <c r="U115" s="69"/>
      <c r="V115" s="59"/>
      <c r="W115" s="59"/>
      <c r="X115" s="59"/>
      <c r="Y115" s="59"/>
    </row>
    <row r="116" spans="1:25" ht="51" hidden="1" customHeight="1" x14ac:dyDescent="0.25">
      <c r="A116" s="2" t="s">
        <v>101</v>
      </c>
      <c r="B116" s="20" t="s">
        <v>410</v>
      </c>
      <c r="C116" s="20" t="s">
        <v>108</v>
      </c>
      <c r="D116" s="20" t="s">
        <v>3</v>
      </c>
      <c r="E116" s="20" t="s">
        <v>69</v>
      </c>
      <c r="F116" s="20" t="s">
        <v>277</v>
      </c>
      <c r="G116" s="2"/>
      <c r="H116" s="2" t="s">
        <v>101</v>
      </c>
      <c r="I116" s="3" t="s">
        <v>556</v>
      </c>
      <c r="J116" s="3" t="s">
        <v>610</v>
      </c>
      <c r="K116" s="57">
        <v>631550</v>
      </c>
      <c r="L116" s="12" t="s">
        <v>245</v>
      </c>
      <c r="M116" s="5" t="s">
        <v>245</v>
      </c>
      <c r="N116" s="17"/>
      <c r="O116" s="108"/>
      <c r="P116" s="108"/>
      <c r="Q116" s="108"/>
      <c r="R116" s="108">
        <v>42928</v>
      </c>
      <c r="S116" s="24">
        <f t="shared" si="14"/>
        <v>7</v>
      </c>
      <c r="T116" s="58"/>
      <c r="U116" s="69"/>
      <c r="V116" s="59"/>
      <c r="W116" s="59"/>
      <c r="X116" s="59"/>
      <c r="Y116" s="59"/>
    </row>
    <row r="117" spans="1:25" ht="51" hidden="1" customHeight="1" x14ac:dyDescent="0.25">
      <c r="A117" s="2" t="s">
        <v>101</v>
      </c>
      <c r="B117" s="20" t="s">
        <v>410</v>
      </c>
      <c r="C117" s="20" t="s">
        <v>108</v>
      </c>
      <c r="D117" s="20" t="s">
        <v>3</v>
      </c>
      <c r="E117" s="20" t="s">
        <v>69</v>
      </c>
      <c r="F117" s="20" t="s">
        <v>277</v>
      </c>
      <c r="G117" s="2"/>
      <c r="H117" s="2" t="s">
        <v>101</v>
      </c>
      <c r="I117" s="4" t="s">
        <v>285</v>
      </c>
      <c r="J117" s="4" t="s">
        <v>420</v>
      </c>
      <c r="K117" s="28">
        <v>408850</v>
      </c>
      <c r="L117" s="12" t="s">
        <v>245</v>
      </c>
      <c r="M117" s="5" t="s">
        <v>245</v>
      </c>
      <c r="N117" s="105"/>
      <c r="O117" s="105"/>
      <c r="P117" s="105"/>
      <c r="Q117" s="105"/>
      <c r="R117" s="105">
        <v>42894</v>
      </c>
      <c r="S117" s="24">
        <f t="shared" si="14"/>
        <v>6</v>
      </c>
      <c r="T117" s="5"/>
      <c r="U117" s="23"/>
      <c r="V117" s="4"/>
      <c r="W117" s="4"/>
      <c r="X117" s="3"/>
      <c r="Y117" s="59"/>
    </row>
    <row r="118" spans="1:25" ht="51" hidden="1" customHeight="1" x14ac:dyDescent="0.25">
      <c r="A118" s="2" t="s">
        <v>101</v>
      </c>
      <c r="B118" s="20" t="s">
        <v>410</v>
      </c>
      <c r="C118" s="20" t="s">
        <v>108</v>
      </c>
      <c r="D118" s="20" t="s">
        <v>3</v>
      </c>
      <c r="E118" s="20" t="s">
        <v>69</v>
      </c>
      <c r="F118" s="20" t="s">
        <v>277</v>
      </c>
      <c r="G118" s="2"/>
      <c r="H118" s="2" t="s">
        <v>101</v>
      </c>
      <c r="I118" s="3" t="s">
        <v>559</v>
      </c>
      <c r="J118" s="3" t="s">
        <v>560</v>
      </c>
      <c r="K118" s="57">
        <v>419693.45</v>
      </c>
      <c r="L118" s="12" t="s">
        <v>245</v>
      </c>
      <c r="M118" s="5" t="s">
        <v>245</v>
      </c>
      <c r="N118" s="17"/>
      <c r="O118" s="108"/>
      <c r="P118" s="108"/>
      <c r="Q118" s="108"/>
      <c r="R118" s="108">
        <v>42944</v>
      </c>
      <c r="S118" s="24">
        <f t="shared" si="14"/>
        <v>7</v>
      </c>
      <c r="T118" s="58"/>
      <c r="U118" s="69"/>
      <c r="V118" s="59"/>
      <c r="W118" s="59"/>
      <c r="X118" s="59"/>
      <c r="Y118" s="59"/>
    </row>
    <row r="119" spans="1:25" ht="51" hidden="1" customHeight="1" x14ac:dyDescent="0.25">
      <c r="A119" s="2" t="s">
        <v>101</v>
      </c>
      <c r="B119" s="20" t="s">
        <v>410</v>
      </c>
      <c r="C119" s="20" t="s">
        <v>108</v>
      </c>
      <c r="D119" s="20" t="s">
        <v>3</v>
      </c>
      <c r="E119" s="20" t="s">
        <v>69</v>
      </c>
      <c r="F119" s="20" t="s">
        <v>277</v>
      </c>
      <c r="G119" s="2"/>
      <c r="H119" s="2" t="s">
        <v>101</v>
      </c>
      <c r="I119" s="3" t="s">
        <v>776</v>
      </c>
      <c r="J119" s="3" t="s">
        <v>777</v>
      </c>
      <c r="K119" s="57">
        <v>745221.35</v>
      </c>
      <c r="L119" s="5" t="s">
        <v>245</v>
      </c>
      <c r="M119" s="5" t="s">
        <v>245</v>
      </c>
      <c r="N119" s="17"/>
      <c r="O119" s="108"/>
      <c r="P119" s="108"/>
      <c r="Q119" s="108"/>
      <c r="R119" s="108">
        <v>42985</v>
      </c>
      <c r="S119" s="24">
        <f t="shared" si="14"/>
        <v>9</v>
      </c>
      <c r="T119" s="58"/>
      <c r="U119" s="69"/>
      <c r="V119" s="59"/>
      <c r="W119" s="59"/>
      <c r="X119" s="59"/>
      <c r="Y119" s="59"/>
    </row>
    <row r="120" spans="1:25" ht="51" hidden="1" customHeight="1" x14ac:dyDescent="0.25">
      <c r="A120" s="2" t="s">
        <v>101</v>
      </c>
      <c r="B120" s="20" t="s">
        <v>410</v>
      </c>
      <c r="C120" s="20" t="s">
        <v>108</v>
      </c>
      <c r="D120" s="20" t="s">
        <v>3</v>
      </c>
      <c r="E120" s="20" t="s">
        <v>69</v>
      </c>
      <c r="F120" s="20" t="s">
        <v>277</v>
      </c>
      <c r="G120" s="2"/>
      <c r="H120" s="2" t="s">
        <v>101</v>
      </c>
      <c r="I120" s="3" t="s">
        <v>776</v>
      </c>
      <c r="J120" s="3" t="s">
        <v>778</v>
      </c>
      <c r="K120" s="57">
        <v>877123.5</v>
      </c>
      <c r="L120" s="5" t="s">
        <v>245</v>
      </c>
      <c r="M120" s="5" t="s">
        <v>245</v>
      </c>
      <c r="N120" s="17"/>
      <c r="O120" s="108"/>
      <c r="P120" s="108"/>
      <c r="Q120" s="108"/>
      <c r="R120" s="108">
        <v>42985</v>
      </c>
      <c r="S120" s="24">
        <f t="shared" si="14"/>
        <v>9</v>
      </c>
      <c r="T120" s="58"/>
      <c r="U120" s="69"/>
      <c r="V120" s="59"/>
      <c r="W120" s="59"/>
      <c r="X120" s="59"/>
      <c r="Y120" s="59"/>
    </row>
    <row r="121" spans="1:25" ht="51" hidden="1" customHeight="1" x14ac:dyDescent="0.25">
      <c r="A121" s="2" t="s">
        <v>101</v>
      </c>
      <c r="B121" s="20" t="s">
        <v>410</v>
      </c>
      <c r="C121" s="20" t="s">
        <v>108</v>
      </c>
      <c r="D121" s="20" t="s">
        <v>3</v>
      </c>
      <c r="E121" s="20" t="s">
        <v>69</v>
      </c>
      <c r="F121" s="20" t="s">
        <v>277</v>
      </c>
      <c r="G121" s="2"/>
      <c r="H121" s="2" t="s">
        <v>101</v>
      </c>
      <c r="I121" s="3" t="s">
        <v>860</v>
      </c>
      <c r="J121" s="3" t="s">
        <v>861</v>
      </c>
      <c r="K121" s="57">
        <v>244190.55</v>
      </c>
      <c r="L121" s="5" t="s">
        <v>245</v>
      </c>
      <c r="M121" s="5" t="s">
        <v>245</v>
      </c>
      <c r="N121" s="17"/>
      <c r="O121" s="108"/>
      <c r="P121" s="108"/>
      <c r="Q121" s="108"/>
      <c r="R121" s="108">
        <v>42991</v>
      </c>
      <c r="S121" s="24">
        <f t="shared" si="14"/>
        <v>9</v>
      </c>
      <c r="T121" s="58"/>
      <c r="U121" s="69"/>
      <c r="V121" s="59"/>
      <c r="W121" s="59"/>
      <c r="X121" s="59"/>
      <c r="Y121" s="59"/>
    </row>
    <row r="122" spans="1:25" s="231" customFormat="1" ht="38.25" customHeight="1" x14ac:dyDescent="0.25">
      <c r="A122" s="2"/>
      <c r="B122" s="20"/>
      <c r="C122" s="20"/>
      <c r="D122" s="20"/>
      <c r="E122" s="20"/>
      <c r="F122" s="193"/>
      <c r="G122" s="224"/>
      <c r="H122" s="224" t="s">
        <v>17</v>
      </c>
      <c r="I122" s="225" t="s">
        <v>19</v>
      </c>
      <c r="J122" s="226">
        <f>K123+K124+K125+K126+K127+K128+K129+K130+K131+K132+K133+K137+K138+K170+K172+K173+K176+K177+K180+K184+K186+K187+K188</f>
        <v>10629152.26</v>
      </c>
      <c r="K122" s="226"/>
      <c r="L122" s="232"/>
      <c r="M122" s="216"/>
      <c r="N122" s="228"/>
      <c r="O122" s="229"/>
      <c r="P122" s="229"/>
      <c r="Q122" s="229"/>
      <c r="R122" s="208" t="s">
        <v>124</v>
      </c>
      <c r="S122" s="202"/>
      <c r="T122" s="229"/>
      <c r="U122" s="218"/>
      <c r="V122" s="59"/>
      <c r="W122" s="59"/>
      <c r="X122" s="192"/>
      <c r="Y122" s="223"/>
    </row>
    <row r="123" spans="1:25" ht="54" customHeight="1" outlineLevel="1" x14ac:dyDescent="0.25">
      <c r="A123" s="20" t="s">
        <v>17</v>
      </c>
      <c r="B123" s="20" t="s">
        <v>18</v>
      </c>
      <c r="C123" s="20" t="s">
        <v>19</v>
      </c>
      <c r="D123" s="20">
        <v>1</v>
      </c>
      <c r="E123" s="20" t="s">
        <v>9</v>
      </c>
      <c r="F123" s="193" t="s">
        <v>277</v>
      </c>
      <c r="G123" s="75">
        <v>9</v>
      </c>
      <c r="H123" s="20" t="s">
        <v>17</v>
      </c>
      <c r="I123" s="20" t="s">
        <v>67</v>
      </c>
      <c r="J123" s="20" t="s">
        <v>304</v>
      </c>
      <c r="K123" s="28">
        <v>96903</v>
      </c>
      <c r="L123" s="18">
        <v>42916</v>
      </c>
      <c r="M123" s="207">
        <f t="shared" ref="M123:M135" si="15">MONTH(L123)</f>
        <v>6</v>
      </c>
      <c r="N123" s="17"/>
      <c r="O123" s="86"/>
      <c r="P123" s="17">
        <v>43007</v>
      </c>
      <c r="Q123" s="5">
        <v>43007</v>
      </c>
      <c r="R123" s="209" t="s">
        <v>124</v>
      </c>
      <c r="S123" s="203" t="s">
        <v>124</v>
      </c>
      <c r="T123" s="5">
        <v>43008</v>
      </c>
      <c r="U123" s="211"/>
      <c r="V123" s="3"/>
      <c r="W123" s="3" t="s">
        <v>476</v>
      </c>
      <c r="X123" s="195" t="s">
        <v>682</v>
      </c>
      <c r="Y123" s="257" t="s">
        <v>839</v>
      </c>
    </row>
    <row r="124" spans="1:25" ht="51" outlineLevel="1" x14ac:dyDescent="0.25">
      <c r="A124" s="20" t="s">
        <v>17</v>
      </c>
      <c r="B124" s="20" t="s">
        <v>18</v>
      </c>
      <c r="C124" s="20" t="s">
        <v>19</v>
      </c>
      <c r="D124" s="20">
        <v>1</v>
      </c>
      <c r="E124" s="20" t="s">
        <v>9</v>
      </c>
      <c r="F124" s="193" t="s">
        <v>277</v>
      </c>
      <c r="G124" s="75">
        <v>10</v>
      </c>
      <c r="H124" s="20" t="s">
        <v>17</v>
      </c>
      <c r="I124" s="20" t="s">
        <v>67</v>
      </c>
      <c r="J124" s="20" t="s">
        <v>305</v>
      </c>
      <c r="K124" s="28">
        <v>1183895</v>
      </c>
      <c r="L124" s="18">
        <v>42916</v>
      </c>
      <c r="M124" s="207">
        <f t="shared" si="15"/>
        <v>6</v>
      </c>
      <c r="N124" s="17"/>
      <c r="O124" s="86"/>
      <c r="P124" s="17">
        <v>43007</v>
      </c>
      <c r="Q124" s="5">
        <v>43007</v>
      </c>
      <c r="R124" s="209" t="s">
        <v>124</v>
      </c>
      <c r="S124" s="203" t="s">
        <v>124</v>
      </c>
      <c r="T124" s="5">
        <v>43008</v>
      </c>
      <c r="U124" s="211"/>
      <c r="V124" s="3"/>
      <c r="W124" s="3" t="s">
        <v>476</v>
      </c>
      <c r="X124" s="195" t="s">
        <v>615</v>
      </c>
      <c r="Y124" s="257"/>
    </row>
    <row r="125" spans="1:25" ht="51" outlineLevel="1" x14ac:dyDescent="0.25">
      <c r="A125" s="20" t="s">
        <v>17</v>
      </c>
      <c r="B125" s="20" t="s">
        <v>18</v>
      </c>
      <c r="C125" s="20" t="s">
        <v>19</v>
      </c>
      <c r="D125" s="20">
        <v>1</v>
      </c>
      <c r="E125" s="20" t="s">
        <v>9</v>
      </c>
      <c r="F125" s="193" t="s">
        <v>277</v>
      </c>
      <c r="G125" s="75">
        <v>11</v>
      </c>
      <c r="H125" s="20" t="s">
        <v>17</v>
      </c>
      <c r="I125" s="20" t="s">
        <v>67</v>
      </c>
      <c r="J125" s="20" t="s">
        <v>306</v>
      </c>
      <c r="K125" s="28">
        <v>340000</v>
      </c>
      <c r="L125" s="18">
        <v>42916</v>
      </c>
      <c r="M125" s="207">
        <f t="shared" si="15"/>
        <v>6</v>
      </c>
      <c r="N125" s="17"/>
      <c r="O125" s="86"/>
      <c r="P125" s="17">
        <v>43007</v>
      </c>
      <c r="Q125" s="5">
        <v>43007</v>
      </c>
      <c r="R125" s="209" t="s">
        <v>124</v>
      </c>
      <c r="S125" s="203" t="s">
        <v>124</v>
      </c>
      <c r="T125" s="5">
        <v>43008</v>
      </c>
      <c r="U125" s="211"/>
      <c r="V125" s="3"/>
      <c r="W125" s="3" t="s">
        <v>476</v>
      </c>
      <c r="X125" s="195" t="s">
        <v>614</v>
      </c>
      <c r="Y125" s="257"/>
    </row>
    <row r="126" spans="1:25" ht="51" outlineLevel="1" x14ac:dyDescent="0.25">
      <c r="A126" s="20" t="s">
        <v>17</v>
      </c>
      <c r="B126" s="20" t="s">
        <v>18</v>
      </c>
      <c r="C126" s="20" t="s">
        <v>19</v>
      </c>
      <c r="D126" s="20">
        <v>1</v>
      </c>
      <c r="E126" s="20" t="s">
        <v>9</v>
      </c>
      <c r="F126" s="193" t="s">
        <v>277</v>
      </c>
      <c r="G126" s="75">
        <v>12</v>
      </c>
      <c r="H126" s="20" t="s">
        <v>17</v>
      </c>
      <c r="I126" s="20" t="s">
        <v>67</v>
      </c>
      <c r="J126" s="20" t="s">
        <v>307</v>
      </c>
      <c r="K126" s="28">
        <v>486055</v>
      </c>
      <c r="L126" s="18">
        <v>42916</v>
      </c>
      <c r="M126" s="207">
        <f t="shared" si="15"/>
        <v>6</v>
      </c>
      <c r="N126" s="17"/>
      <c r="O126" s="86"/>
      <c r="P126" s="17">
        <v>43007</v>
      </c>
      <c r="Q126" s="5">
        <v>43007</v>
      </c>
      <c r="R126" s="209" t="s">
        <v>124</v>
      </c>
      <c r="S126" s="203" t="s">
        <v>124</v>
      </c>
      <c r="T126" s="5">
        <v>43008</v>
      </c>
      <c r="U126" s="211"/>
      <c r="V126" s="3"/>
      <c r="W126" s="3" t="s">
        <v>476</v>
      </c>
      <c r="X126" s="195" t="s">
        <v>614</v>
      </c>
      <c r="Y126" s="257"/>
    </row>
    <row r="127" spans="1:25" ht="51" outlineLevel="1" x14ac:dyDescent="0.25">
      <c r="A127" s="20" t="s">
        <v>17</v>
      </c>
      <c r="B127" s="20" t="s">
        <v>18</v>
      </c>
      <c r="C127" s="20" t="s">
        <v>19</v>
      </c>
      <c r="D127" s="20">
        <v>1</v>
      </c>
      <c r="E127" s="20" t="s">
        <v>9</v>
      </c>
      <c r="F127" s="193" t="s">
        <v>277</v>
      </c>
      <c r="G127" s="75">
        <v>13</v>
      </c>
      <c r="H127" s="20" t="s">
        <v>17</v>
      </c>
      <c r="I127" s="20" t="s">
        <v>67</v>
      </c>
      <c r="J127" s="20" t="s">
        <v>308</v>
      </c>
      <c r="K127" s="28">
        <v>579550</v>
      </c>
      <c r="L127" s="18">
        <v>42916</v>
      </c>
      <c r="M127" s="207">
        <f t="shared" si="15"/>
        <v>6</v>
      </c>
      <c r="N127" s="17"/>
      <c r="O127" s="86"/>
      <c r="P127" s="17">
        <v>43007</v>
      </c>
      <c r="Q127" s="5">
        <v>43007</v>
      </c>
      <c r="R127" s="209" t="s">
        <v>124</v>
      </c>
      <c r="S127" s="203" t="s">
        <v>124</v>
      </c>
      <c r="T127" s="5">
        <v>43008</v>
      </c>
      <c r="U127" s="211"/>
      <c r="V127" s="3"/>
      <c r="W127" s="3" t="s">
        <v>476</v>
      </c>
      <c r="X127" s="195" t="s">
        <v>615</v>
      </c>
      <c r="Y127" s="257"/>
    </row>
    <row r="128" spans="1:25" ht="51" outlineLevel="1" x14ac:dyDescent="0.25">
      <c r="A128" s="53" t="s">
        <v>17</v>
      </c>
      <c r="B128" s="53" t="s">
        <v>18</v>
      </c>
      <c r="C128" s="20" t="s">
        <v>19</v>
      </c>
      <c r="D128" s="53">
        <v>1</v>
      </c>
      <c r="E128" s="53" t="s">
        <v>9</v>
      </c>
      <c r="F128" s="199" t="s">
        <v>277</v>
      </c>
      <c r="G128" s="75">
        <v>14</v>
      </c>
      <c r="H128" s="53" t="s">
        <v>17</v>
      </c>
      <c r="I128" s="20" t="s">
        <v>67</v>
      </c>
      <c r="J128" s="20" t="s">
        <v>703</v>
      </c>
      <c r="K128" s="55">
        <v>1086359.5</v>
      </c>
      <c r="L128" s="97">
        <v>42978</v>
      </c>
      <c r="M128" s="207">
        <f t="shared" si="15"/>
        <v>8</v>
      </c>
      <c r="N128" s="108"/>
      <c r="O128" s="108"/>
      <c r="P128" s="109"/>
      <c r="Q128" s="5"/>
      <c r="R128" s="217" t="s">
        <v>124</v>
      </c>
      <c r="S128" s="192" t="s">
        <v>124</v>
      </c>
      <c r="T128" s="58">
        <v>43069</v>
      </c>
      <c r="U128" s="210"/>
      <c r="V128" s="59"/>
      <c r="W128" s="59"/>
      <c r="X128" s="192"/>
      <c r="Y128" s="257"/>
    </row>
    <row r="129" spans="1:26" ht="51" outlineLevel="1" x14ac:dyDescent="0.25">
      <c r="A129" s="53" t="s">
        <v>17</v>
      </c>
      <c r="B129" s="53" t="s">
        <v>18</v>
      </c>
      <c r="C129" s="20" t="s">
        <v>19</v>
      </c>
      <c r="D129" s="53">
        <v>1</v>
      </c>
      <c r="E129" s="53" t="s">
        <v>9</v>
      </c>
      <c r="F129" s="199" t="s">
        <v>277</v>
      </c>
      <c r="G129" s="75">
        <v>15</v>
      </c>
      <c r="H129" s="53" t="s">
        <v>17</v>
      </c>
      <c r="I129" s="20" t="s">
        <v>67</v>
      </c>
      <c r="J129" s="20" t="s">
        <v>704</v>
      </c>
      <c r="K129" s="55">
        <v>803476.1</v>
      </c>
      <c r="L129" s="97">
        <v>42978</v>
      </c>
      <c r="M129" s="207">
        <f t="shared" si="15"/>
        <v>8</v>
      </c>
      <c r="N129" s="108"/>
      <c r="O129" s="108"/>
      <c r="P129" s="109"/>
      <c r="Q129" s="5"/>
      <c r="R129" s="217" t="s">
        <v>124</v>
      </c>
      <c r="S129" s="192" t="s">
        <v>124</v>
      </c>
      <c r="T129" s="58">
        <v>43039</v>
      </c>
      <c r="U129" s="210"/>
      <c r="V129" s="59"/>
      <c r="W129" s="59"/>
      <c r="X129" s="192"/>
      <c r="Y129" s="257"/>
    </row>
    <row r="130" spans="1:26" ht="51" outlineLevel="1" x14ac:dyDescent="0.25">
      <c r="A130" s="53" t="s">
        <v>17</v>
      </c>
      <c r="B130" s="53" t="s">
        <v>18</v>
      </c>
      <c r="C130" s="20" t="s">
        <v>19</v>
      </c>
      <c r="D130" s="53">
        <v>1</v>
      </c>
      <c r="E130" s="53" t="s">
        <v>9</v>
      </c>
      <c r="F130" s="199" t="s">
        <v>277</v>
      </c>
      <c r="G130" s="75">
        <v>16</v>
      </c>
      <c r="H130" s="53" t="s">
        <v>17</v>
      </c>
      <c r="I130" s="20" t="s">
        <v>67</v>
      </c>
      <c r="J130" s="20" t="s">
        <v>705</v>
      </c>
      <c r="K130" s="55">
        <v>1205290.6499999999</v>
      </c>
      <c r="L130" s="97">
        <v>42978</v>
      </c>
      <c r="M130" s="207">
        <f t="shared" si="15"/>
        <v>8</v>
      </c>
      <c r="N130" s="108"/>
      <c r="O130" s="108"/>
      <c r="P130" s="109"/>
      <c r="Q130" s="5"/>
      <c r="R130" s="217" t="s">
        <v>124</v>
      </c>
      <c r="S130" s="192" t="s">
        <v>124</v>
      </c>
      <c r="T130" s="58">
        <v>43039</v>
      </c>
      <c r="U130" s="210"/>
      <c r="V130" s="59"/>
      <c r="W130" s="59"/>
      <c r="X130" s="192"/>
      <c r="Y130" s="257"/>
    </row>
    <row r="131" spans="1:26" ht="51" outlineLevel="1" x14ac:dyDescent="0.25">
      <c r="A131" s="98" t="s">
        <v>17</v>
      </c>
      <c r="B131" s="98" t="s">
        <v>18</v>
      </c>
      <c r="C131" s="117" t="s">
        <v>19</v>
      </c>
      <c r="D131" s="98">
        <v>1</v>
      </c>
      <c r="E131" s="98" t="s">
        <v>9</v>
      </c>
      <c r="F131" s="200" t="s">
        <v>277</v>
      </c>
      <c r="G131" s="75">
        <v>17</v>
      </c>
      <c r="H131" s="98" t="s">
        <v>17</v>
      </c>
      <c r="I131" s="117" t="s">
        <v>67</v>
      </c>
      <c r="J131" s="117" t="s">
        <v>706</v>
      </c>
      <c r="K131" s="118">
        <v>500000.01</v>
      </c>
      <c r="L131" s="97">
        <v>42978</v>
      </c>
      <c r="M131" s="207">
        <f t="shared" si="15"/>
        <v>8</v>
      </c>
      <c r="N131" s="108"/>
      <c r="O131" s="108"/>
      <c r="P131" s="109"/>
      <c r="Q131" s="5"/>
      <c r="R131" s="217" t="s">
        <v>124</v>
      </c>
      <c r="S131" s="192" t="s">
        <v>124</v>
      </c>
      <c r="T131" s="58">
        <v>43100</v>
      </c>
      <c r="U131" s="210"/>
      <c r="V131" s="59"/>
      <c r="W131" s="59"/>
      <c r="X131" s="192"/>
      <c r="Y131" s="257"/>
    </row>
    <row r="132" spans="1:26" ht="31.5" customHeight="1" outlineLevel="1" x14ac:dyDescent="0.25">
      <c r="A132" s="20" t="s">
        <v>17</v>
      </c>
      <c r="B132" s="20" t="s">
        <v>18</v>
      </c>
      <c r="C132" s="20" t="s">
        <v>19</v>
      </c>
      <c r="D132" s="20">
        <v>1</v>
      </c>
      <c r="E132" s="20" t="s">
        <v>9</v>
      </c>
      <c r="F132" s="193" t="s">
        <v>277</v>
      </c>
      <c r="G132" s="75">
        <v>18</v>
      </c>
      <c r="H132" s="20" t="s">
        <v>17</v>
      </c>
      <c r="I132" s="20" t="s">
        <v>10</v>
      </c>
      <c r="J132" s="20" t="s">
        <v>309</v>
      </c>
      <c r="K132" s="28">
        <v>425000</v>
      </c>
      <c r="L132" s="18">
        <v>42916</v>
      </c>
      <c r="M132" s="207">
        <f t="shared" si="15"/>
        <v>6</v>
      </c>
      <c r="N132" s="17"/>
      <c r="O132" s="86"/>
      <c r="P132" s="17" t="s">
        <v>477</v>
      </c>
      <c r="Q132" s="5">
        <v>43008</v>
      </c>
      <c r="R132" s="209" t="s">
        <v>124</v>
      </c>
      <c r="S132" s="203" t="s">
        <v>124</v>
      </c>
      <c r="T132" s="10">
        <v>43039</v>
      </c>
      <c r="U132" s="211"/>
      <c r="V132" s="3"/>
      <c r="W132" s="3" t="s">
        <v>476</v>
      </c>
      <c r="X132" s="195" t="s">
        <v>671</v>
      </c>
      <c r="Y132" s="262" t="s">
        <v>786</v>
      </c>
    </row>
    <row r="133" spans="1:26" ht="43.5" customHeight="1" outlineLevel="1" x14ac:dyDescent="0.25">
      <c r="A133" s="20" t="s">
        <v>17</v>
      </c>
      <c r="B133" s="20" t="s">
        <v>18</v>
      </c>
      <c r="C133" s="20" t="s">
        <v>19</v>
      </c>
      <c r="D133" s="20">
        <v>1</v>
      </c>
      <c r="E133" s="20" t="s">
        <v>9</v>
      </c>
      <c r="F133" s="193" t="s">
        <v>277</v>
      </c>
      <c r="G133" s="75">
        <v>19</v>
      </c>
      <c r="H133" s="20" t="s">
        <v>17</v>
      </c>
      <c r="I133" s="20" t="s">
        <v>10</v>
      </c>
      <c r="J133" s="20" t="s">
        <v>310</v>
      </c>
      <c r="K133" s="28">
        <v>425000</v>
      </c>
      <c r="L133" s="18">
        <v>42916</v>
      </c>
      <c r="M133" s="207">
        <f t="shared" si="15"/>
        <v>6</v>
      </c>
      <c r="N133" s="17"/>
      <c r="O133" s="86"/>
      <c r="P133" s="17" t="s">
        <v>478</v>
      </c>
      <c r="Q133" s="5">
        <v>42978</v>
      </c>
      <c r="R133" s="209" t="s">
        <v>124</v>
      </c>
      <c r="S133" s="203" t="s">
        <v>124</v>
      </c>
      <c r="T133" s="10">
        <v>43008</v>
      </c>
      <c r="U133" s="211"/>
      <c r="V133" s="3"/>
      <c r="W133" s="3" t="s">
        <v>479</v>
      </c>
      <c r="X133" s="195" t="s">
        <v>618</v>
      </c>
      <c r="Y133" s="263"/>
    </row>
    <row r="134" spans="1:26" ht="51" hidden="1" customHeight="1" outlineLevel="1" x14ac:dyDescent="0.25">
      <c r="A134" s="2" t="s">
        <v>17</v>
      </c>
      <c r="B134" s="2" t="s">
        <v>18</v>
      </c>
      <c r="C134" s="2" t="s">
        <v>19</v>
      </c>
      <c r="D134" s="2">
        <v>1</v>
      </c>
      <c r="E134" s="2" t="s">
        <v>9</v>
      </c>
      <c r="F134" s="2" t="s">
        <v>277</v>
      </c>
      <c r="G134" s="2"/>
      <c r="H134" s="2" t="s">
        <v>17</v>
      </c>
      <c r="I134" s="3" t="s">
        <v>20</v>
      </c>
      <c r="J134" s="3" t="s">
        <v>21</v>
      </c>
      <c r="K134" s="28">
        <v>176338</v>
      </c>
      <c r="L134" s="8">
        <v>42853</v>
      </c>
      <c r="M134" s="88">
        <f t="shared" si="15"/>
        <v>4</v>
      </c>
      <c r="N134" s="17" t="s">
        <v>116</v>
      </c>
      <c r="O134" s="17"/>
      <c r="P134" s="17"/>
      <c r="Q134" s="17"/>
      <c r="R134" s="17">
        <v>42880</v>
      </c>
      <c r="S134" s="24">
        <f>MONTH(R134)</f>
        <v>5</v>
      </c>
      <c r="T134" s="5"/>
      <c r="U134" s="23"/>
      <c r="V134" s="3"/>
      <c r="W134" s="3"/>
      <c r="X134" s="3"/>
      <c r="Y134" s="59"/>
    </row>
    <row r="135" spans="1:26" ht="51" hidden="1" customHeight="1" outlineLevel="1" x14ac:dyDescent="0.25">
      <c r="A135" s="2" t="s">
        <v>17</v>
      </c>
      <c r="B135" s="2" t="s">
        <v>18</v>
      </c>
      <c r="C135" s="2" t="s">
        <v>19</v>
      </c>
      <c r="D135" s="2">
        <v>1</v>
      </c>
      <c r="E135" s="2" t="s">
        <v>9</v>
      </c>
      <c r="F135" s="2" t="s">
        <v>277</v>
      </c>
      <c r="G135" s="2"/>
      <c r="H135" s="2" t="s">
        <v>17</v>
      </c>
      <c r="I135" s="3" t="s">
        <v>20</v>
      </c>
      <c r="J135" s="3" t="s">
        <v>22</v>
      </c>
      <c r="K135" s="28">
        <v>389500</v>
      </c>
      <c r="L135" s="8">
        <v>42853</v>
      </c>
      <c r="M135" s="88">
        <f t="shared" si="15"/>
        <v>4</v>
      </c>
      <c r="N135" s="17" t="s">
        <v>113</v>
      </c>
      <c r="O135" s="17"/>
      <c r="P135" s="17"/>
      <c r="Q135" s="17"/>
      <c r="R135" s="17">
        <v>42880</v>
      </c>
      <c r="S135" s="24">
        <f>MONTH(R135)</f>
        <v>5</v>
      </c>
      <c r="T135" s="5"/>
      <c r="U135" s="23"/>
      <c r="V135" s="3"/>
      <c r="W135" s="3"/>
      <c r="X135" s="3"/>
      <c r="Y135" s="59"/>
    </row>
    <row r="136" spans="1:26" ht="51" hidden="1" customHeight="1" outlineLevel="1" x14ac:dyDescent="0.25">
      <c r="A136" s="2" t="s">
        <v>17</v>
      </c>
      <c r="B136" s="2" t="s">
        <v>18</v>
      </c>
      <c r="C136" s="2" t="s">
        <v>19</v>
      </c>
      <c r="D136" s="2">
        <v>1</v>
      </c>
      <c r="E136" s="2" t="s">
        <v>9</v>
      </c>
      <c r="F136" s="2" t="s">
        <v>277</v>
      </c>
      <c r="G136" s="2"/>
      <c r="H136" s="2" t="s">
        <v>17</v>
      </c>
      <c r="I136" s="3" t="s">
        <v>68</v>
      </c>
      <c r="J136" s="3" t="s">
        <v>86</v>
      </c>
      <c r="K136" s="28">
        <v>185648.54</v>
      </c>
      <c r="L136" s="8" t="s">
        <v>245</v>
      </c>
      <c r="M136" s="5" t="s">
        <v>245</v>
      </c>
      <c r="N136" s="17"/>
      <c r="O136" s="17"/>
      <c r="P136" s="17"/>
      <c r="Q136" s="17"/>
      <c r="R136" s="17">
        <v>42832</v>
      </c>
      <c r="S136" s="24">
        <f>MONTH(R136)</f>
        <v>4</v>
      </c>
      <c r="T136" s="5"/>
      <c r="U136" s="23"/>
      <c r="V136" s="3"/>
      <c r="W136" s="3"/>
      <c r="X136" s="3"/>
      <c r="Y136" s="59"/>
    </row>
    <row r="137" spans="1:26" ht="31.5" customHeight="1" outlineLevel="1" x14ac:dyDescent="0.25">
      <c r="A137" s="20" t="s">
        <v>17</v>
      </c>
      <c r="B137" s="20" t="s">
        <v>18</v>
      </c>
      <c r="C137" s="20" t="s">
        <v>19</v>
      </c>
      <c r="D137" s="20">
        <v>1</v>
      </c>
      <c r="E137" s="20" t="s">
        <v>9</v>
      </c>
      <c r="F137" s="193" t="s">
        <v>277</v>
      </c>
      <c r="G137" s="75">
        <v>20</v>
      </c>
      <c r="H137" s="20" t="s">
        <v>17</v>
      </c>
      <c r="I137" s="20" t="s">
        <v>14</v>
      </c>
      <c r="J137" s="20" t="s">
        <v>311</v>
      </c>
      <c r="K137" s="28">
        <v>450000</v>
      </c>
      <c r="L137" s="18">
        <v>42887</v>
      </c>
      <c r="M137" s="207">
        <f t="shared" ref="M137:M170" si="16">MONTH(L137)</f>
        <v>6</v>
      </c>
      <c r="N137" s="17"/>
      <c r="O137" s="86"/>
      <c r="P137" s="17">
        <v>43098</v>
      </c>
      <c r="Q137" s="5">
        <v>42979</v>
      </c>
      <c r="R137" s="209" t="s">
        <v>124</v>
      </c>
      <c r="S137" s="203" t="s">
        <v>124</v>
      </c>
      <c r="T137" s="129">
        <v>43040</v>
      </c>
      <c r="U137" s="211"/>
      <c r="V137" s="3"/>
      <c r="W137" s="3" t="s">
        <v>481</v>
      </c>
      <c r="X137" s="195" t="s">
        <v>619</v>
      </c>
      <c r="Y137" s="262" t="s">
        <v>787</v>
      </c>
      <c r="Z137" s="13"/>
    </row>
    <row r="138" spans="1:26" ht="39" customHeight="1" outlineLevel="1" x14ac:dyDescent="0.25">
      <c r="A138" s="53" t="s">
        <v>17</v>
      </c>
      <c r="B138" s="53" t="s">
        <v>18</v>
      </c>
      <c r="C138" s="20" t="s">
        <v>19</v>
      </c>
      <c r="D138" s="53">
        <v>1</v>
      </c>
      <c r="E138" s="53" t="s">
        <v>9</v>
      </c>
      <c r="F138" s="199" t="s">
        <v>277</v>
      </c>
      <c r="G138" s="75">
        <v>21</v>
      </c>
      <c r="H138" s="53" t="s">
        <v>17</v>
      </c>
      <c r="I138" s="20" t="s">
        <v>14</v>
      </c>
      <c r="J138" s="20" t="s">
        <v>518</v>
      </c>
      <c r="K138" s="55">
        <v>290000</v>
      </c>
      <c r="L138" s="54">
        <v>42917</v>
      </c>
      <c r="M138" s="207">
        <f t="shared" si="16"/>
        <v>7</v>
      </c>
      <c r="N138" s="17"/>
      <c r="O138" s="5"/>
      <c r="P138" s="5"/>
      <c r="Q138" s="5">
        <v>42979</v>
      </c>
      <c r="R138" s="217" t="s">
        <v>124</v>
      </c>
      <c r="S138" s="203" t="s">
        <v>124</v>
      </c>
      <c r="T138" s="129">
        <v>43040</v>
      </c>
      <c r="U138" s="211"/>
      <c r="V138" s="59"/>
      <c r="W138" s="59"/>
      <c r="X138" s="192"/>
      <c r="Y138" s="263"/>
      <c r="Z138" s="13"/>
    </row>
    <row r="139" spans="1:26" ht="51" hidden="1" customHeight="1" outlineLevel="1" x14ac:dyDescent="0.25">
      <c r="A139" s="20" t="s">
        <v>17</v>
      </c>
      <c r="B139" s="20" t="s">
        <v>18</v>
      </c>
      <c r="C139" s="20" t="s">
        <v>19</v>
      </c>
      <c r="D139" s="20">
        <v>1</v>
      </c>
      <c r="E139" s="20" t="s">
        <v>9</v>
      </c>
      <c r="F139" s="20" t="s">
        <v>277</v>
      </c>
      <c r="G139" s="2"/>
      <c r="H139" s="20" t="s">
        <v>17</v>
      </c>
      <c r="I139" s="20" t="s">
        <v>312</v>
      </c>
      <c r="J139" s="20" t="s">
        <v>313</v>
      </c>
      <c r="K139" s="28">
        <v>215643</v>
      </c>
      <c r="L139" s="18">
        <v>42887</v>
      </c>
      <c r="M139" s="88">
        <f t="shared" si="16"/>
        <v>6</v>
      </c>
      <c r="N139" s="17"/>
      <c r="O139" s="86"/>
      <c r="P139" s="17">
        <v>42944</v>
      </c>
      <c r="Q139" s="17"/>
      <c r="R139" s="17">
        <v>42933</v>
      </c>
      <c r="S139" s="24">
        <f t="shared" ref="S139:S169" si="17">MONTH(R139)</f>
        <v>7</v>
      </c>
      <c r="T139" s="5"/>
      <c r="U139" s="3"/>
      <c r="V139" s="3"/>
      <c r="W139" s="3" t="s">
        <v>482</v>
      </c>
      <c r="X139" s="3"/>
      <c r="Y139" s="59"/>
    </row>
    <row r="140" spans="1:26" ht="51" hidden="1" customHeight="1" outlineLevel="1" x14ac:dyDescent="0.25">
      <c r="A140" s="20" t="s">
        <v>17</v>
      </c>
      <c r="B140" s="20" t="s">
        <v>18</v>
      </c>
      <c r="C140" s="20" t="s">
        <v>19</v>
      </c>
      <c r="D140" s="20">
        <v>1</v>
      </c>
      <c r="E140" s="20" t="s">
        <v>9</v>
      </c>
      <c r="F140" s="20" t="s">
        <v>277</v>
      </c>
      <c r="G140" s="2"/>
      <c r="H140" s="20" t="s">
        <v>17</v>
      </c>
      <c r="I140" s="20" t="s">
        <v>312</v>
      </c>
      <c r="J140" s="20" t="s">
        <v>314</v>
      </c>
      <c r="K140" s="28">
        <v>215643</v>
      </c>
      <c r="L140" s="18">
        <v>42887</v>
      </c>
      <c r="M140" s="88">
        <f t="shared" si="16"/>
        <v>6</v>
      </c>
      <c r="N140" s="17"/>
      <c r="O140" s="86"/>
      <c r="P140" s="17">
        <v>42944</v>
      </c>
      <c r="Q140" s="17"/>
      <c r="R140" s="17">
        <v>42929</v>
      </c>
      <c r="S140" s="24">
        <f t="shared" si="17"/>
        <v>7</v>
      </c>
      <c r="T140" s="5"/>
      <c r="U140" s="3"/>
      <c r="V140" s="3"/>
      <c r="W140" s="3" t="s">
        <v>482</v>
      </c>
      <c r="X140" s="3"/>
      <c r="Y140" s="59"/>
    </row>
    <row r="141" spans="1:26" ht="51" hidden="1" customHeight="1" outlineLevel="1" x14ac:dyDescent="0.25">
      <c r="A141" s="20" t="s">
        <v>17</v>
      </c>
      <c r="B141" s="20" t="s">
        <v>18</v>
      </c>
      <c r="C141" s="20" t="s">
        <v>19</v>
      </c>
      <c r="D141" s="20">
        <v>1</v>
      </c>
      <c r="E141" s="20" t="s">
        <v>9</v>
      </c>
      <c r="F141" s="20" t="s">
        <v>277</v>
      </c>
      <c r="G141" s="2"/>
      <c r="H141" s="20" t="s">
        <v>17</v>
      </c>
      <c r="I141" s="20" t="s">
        <v>312</v>
      </c>
      <c r="J141" s="20" t="s">
        <v>315</v>
      </c>
      <c r="K141" s="28">
        <v>215643</v>
      </c>
      <c r="L141" s="18">
        <v>42887</v>
      </c>
      <c r="M141" s="88">
        <f t="shared" si="16"/>
        <v>6</v>
      </c>
      <c r="N141" s="17"/>
      <c r="O141" s="86"/>
      <c r="P141" s="17">
        <v>42944</v>
      </c>
      <c r="Q141" s="17"/>
      <c r="R141" s="17">
        <v>42933</v>
      </c>
      <c r="S141" s="24">
        <f t="shared" si="17"/>
        <v>7</v>
      </c>
      <c r="T141" s="5"/>
      <c r="U141" s="3"/>
      <c r="V141" s="3"/>
      <c r="W141" s="3" t="s">
        <v>482</v>
      </c>
      <c r="X141" s="3"/>
      <c r="Y141" s="59"/>
    </row>
    <row r="142" spans="1:26" ht="51" hidden="1" customHeight="1" outlineLevel="1" x14ac:dyDescent="0.25">
      <c r="A142" s="20" t="s">
        <v>17</v>
      </c>
      <c r="B142" s="20" t="s">
        <v>18</v>
      </c>
      <c r="C142" s="20" t="s">
        <v>19</v>
      </c>
      <c r="D142" s="20">
        <v>1</v>
      </c>
      <c r="E142" s="20" t="s">
        <v>9</v>
      </c>
      <c r="F142" s="20" t="s">
        <v>277</v>
      </c>
      <c r="G142" s="2"/>
      <c r="H142" s="20" t="s">
        <v>17</v>
      </c>
      <c r="I142" s="20" t="s">
        <v>312</v>
      </c>
      <c r="J142" s="20" t="s">
        <v>316</v>
      </c>
      <c r="K142" s="28">
        <v>215643</v>
      </c>
      <c r="L142" s="18">
        <v>42887</v>
      </c>
      <c r="M142" s="88">
        <f t="shared" si="16"/>
        <v>6</v>
      </c>
      <c r="N142" s="17"/>
      <c r="O142" s="86"/>
      <c r="P142" s="17">
        <v>42944</v>
      </c>
      <c r="Q142" s="17"/>
      <c r="R142" s="17">
        <v>42929</v>
      </c>
      <c r="S142" s="24">
        <f t="shared" si="17"/>
        <v>7</v>
      </c>
      <c r="T142" s="5"/>
      <c r="U142" s="3"/>
      <c r="V142" s="3"/>
      <c r="W142" s="3" t="s">
        <v>482</v>
      </c>
      <c r="X142" s="3"/>
      <c r="Y142" s="59"/>
    </row>
    <row r="143" spans="1:26" ht="51" hidden="1" customHeight="1" outlineLevel="1" x14ac:dyDescent="0.25">
      <c r="A143" s="20" t="s">
        <v>17</v>
      </c>
      <c r="B143" s="20" t="s">
        <v>18</v>
      </c>
      <c r="C143" s="20" t="s">
        <v>19</v>
      </c>
      <c r="D143" s="20">
        <v>1</v>
      </c>
      <c r="E143" s="20" t="s">
        <v>9</v>
      </c>
      <c r="F143" s="20" t="s">
        <v>277</v>
      </c>
      <c r="G143" s="2"/>
      <c r="H143" s="20" t="s">
        <v>17</v>
      </c>
      <c r="I143" s="20" t="s">
        <v>312</v>
      </c>
      <c r="J143" s="20" t="s">
        <v>317</v>
      </c>
      <c r="K143" s="28">
        <v>215643</v>
      </c>
      <c r="L143" s="18">
        <v>42887</v>
      </c>
      <c r="M143" s="88">
        <f t="shared" si="16"/>
        <v>6</v>
      </c>
      <c r="N143" s="17"/>
      <c r="O143" s="86"/>
      <c r="P143" s="17">
        <v>42944</v>
      </c>
      <c r="Q143" s="17"/>
      <c r="R143" s="17">
        <v>42933</v>
      </c>
      <c r="S143" s="24">
        <f t="shared" si="17"/>
        <v>7</v>
      </c>
      <c r="T143" s="5"/>
      <c r="U143" s="3"/>
      <c r="V143" s="3"/>
      <c r="W143" s="3" t="s">
        <v>482</v>
      </c>
      <c r="X143" s="3"/>
      <c r="Y143" s="59"/>
    </row>
    <row r="144" spans="1:26" ht="51" hidden="1" customHeight="1" outlineLevel="1" x14ac:dyDescent="0.25">
      <c r="A144" s="20" t="s">
        <v>17</v>
      </c>
      <c r="B144" s="20" t="s">
        <v>18</v>
      </c>
      <c r="C144" s="20" t="s">
        <v>19</v>
      </c>
      <c r="D144" s="20">
        <v>1</v>
      </c>
      <c r="E144" s="20" t="s">
        <v>9</v>
      </c>
      <c r="F144" s="20" t="s">
        <v>277</v>
      </c>
      <c r="G144" s="2"/>
      <c r="H144" s="20" t="s">
        <v>17</v>
      </c>
      <c r="I144" s="20" t="s">
        <v>312</v>
      </c>
      <c r="J144" s="20" t="s">
        <v>318</v>
      </c>
      <c r="K144" s="28">
        <v>215643</v>
      </c>
      <c r="L144" s="18">
        <v>42887</v>
      </c>
      <c r="M144" s="88">
        <f t="shared" si="16"/>
        <v>6</v>
      </c>
      <c r="N144" s="17"/>
      <c r="O144" s="86"/>
      <c r="P144" s="17">
        <v>42944</v>
      </c>
      <c r="Q144" s="17"/>
      <c r="R144" s="17">
        <v>42933</v>
      </c>
      <c r="S144" s="24">
        <f t="shared" si="17"/>
        <v>7</v>
      </c>
      <c r="T144" s="5"/>
      <c r="U144" s="3"/>
      <c r="V144" s="3"/>
      <c r="W144" s="3" t="s">
        <v>482</v>
      </c>
      <c r="X144" s="3"/>
      <c r="Y144" s="59"/>
    </row>
    <row r="145" spans="1:25" ht="51" hidden="1" customHeight="1" outlineLevel="1" x14ac:dyDescent="0.25">
      <c r="A145" s="20" t="s">
        <v>17</v>
      </c>
      <c r="B145" s="20" t="s">
        <v>18</v>
      </c>
      <c r="C145" s="20" t="s">
        <v>19</v>
      </c>
      <c r="D145" s="20">
        <v>1</v>
      </c>
      <c r="E145" s="20" t="s">
        <v>9</v>
      </c>
      <c r="F145" s="20" t="s">
        <v>277</v>
      </c>
      <c r="G145" s="2"/>
      <c r="H145" s="20" t="s">
        <v>17</v>
      </c>
      <c r="I145" s="20" t="s">
        <v>312</v>
      </c>
      <c r="J145" s="20" t="s">
        <v>319</v>
      </c>
      <c r="K145" s="28">
        <v>180910</v>
      </c>
      <c r="L145" s="18">
        <v>42887</v>
      </c>
      <c r="M145" s="88">
        <f t="shared" si="16"/>
        <v>6</v>
      </c>
      <c r="N145" s="17"/>
      <c r="O145" s="86"/>
      <c r="P145" s="17">
        <v>42944</v>
      </c>
      <c r="Q145" s="17"/>
      <c r="R145" s="17">
        <v>42944</v>
      </c>
      <c r="S145" s="24">
        <f t="shared" si="17"/>
        <v>7</v>
      </c>
      <c r="T145" s="5"/>
      <c r="U145" s="3"/>
      <c r="V145" s="3"/>
      <c r="W145" s="3" t="s">
        <v>482</v>
      </c>
      <c r="X145" s="3"/>
      <c r="Y145" s="59"/>
    </row>
    <row r="146" spans="1:25" ht="63.75" hidden="1" customHeight="1" outlineLevel="1" x14ac:dyDescent="0.25">
      <c r="A146" s="20" t="s">
        <v>17</v>
      </c>
      <c r="B146" s="20" t="s">
        <v>18</v>
      </c>
      <c r="C146" s="20" t="s">
        <v>19</v>
      </c>
      <c r="D146" s="20">
        <v>1</v>
      </c>
      <c r="E146" s="20" t="s">
        <v>9</v>
      </c>
      <c r="F146" s="20" t="s">
        <v>277</v>
      </c>
      <c r="G146" s="2"/>
      <c r="H146" s="20" t="s">
        <v>17</v>
      </c>
      <c r="I146" s="20" t="s">
        <v>312</v>
      </c>
      <c r="J146" s="20" t="s">
        <v>320</v>
      </c>
      <c r="K146" s="28">
        <v>180910</v>
      </c>
      <c r="L146" s="18">
        <v>42887</v>
      </c>
      <c r="M146" s="88">
        <f t="shared" si="16"/>
        <v>6</v>
      </c>
      <c r="N146" s="17"/>
      <c r="O146" s="86"/>
      <c r="P146" s="17">
        <v>42944</v>
      </c>
      <c r="Q146" s="17"/>
      <c r="R146" s="17">
        <v>42929</v>
      </c>
      <c r="S146" s="24">
        <f t="shared" si="17"/>
        <v>7</v>
      </c>
      <c r="T146" s="5"/>
      <c r="U146" s="3"/>
      <c r="V146" s="3"/>
      <c r="W146" s="3" t="s">
        <v>482</v>
      </c>
      <c r="X146" s="3"/>
      <c r="Y146" s="59"/>
    </row>
    <row r="147" spans="1:25" ht="51" hidden="1" customHeight="1" outlineLevel="1" x14ac:dyDescent="0.25">
      <c r="A147" s="20" t="s">
        <v>17</v>
      </c>
      <c r="B147" s="20" t="s">
        <v>18</v>
      </c>
      <c r="C147" s="20" t="s">
        <v>19</v>
      </c>
      <c r="D147" s="20">
        <v>1</v>
      </c>
      <c r="E147" s="20" t="s">
        <v>9</v>
      </c>
      <c r="F147" s="20" t="s">
        <v>277</v>
      </c>
      <c r="G147" s="2"/>
      <c r="H147" s="20" t="s">
        <v>17</v>
      </c>
      <c r="I147" s="20" t="s">
        <v>312</v>
      </c>
      <c r="J147" s="20" t="s">
        <v>321</v>
      </c>
      <c r="K147" s="28">
        <v>180910</v>
      </c>
      <c r="L147" s="18">
        <v>42887</v>
      </c>
      <c r="M147" s="88">
        <f t="shared" si="16"/>
        <v>6</v>
      </c>
      <c r="N147" s="17"/>
      <c r="O147" s="86"/>
      <c r="P147" s="17">
        <v>42944</v>
      </c>
      <c r="Q147" s="17"/>
      <c r="R147" s="17">
        <v>42929</v>
      </c>
      <c r="S147" s="24">
        <f t="shared" si="17"/>
        <v>7</v>
      </c>
      <c r="T147" s="5"/>
      <c r="U147" s="3"/>
      <c r="V147" s="3"/>
      <c r="W147" s="3" t="s">
        <v>482</v>
      </c>
      <c r="X147" s="3"/>
      <c r="Y147" s="59"/>
    </row>
    <row r="148" spans="1:25" ht="63.75" hidden="1" customHeight="1" outlineLevel="1" x14ac:dyDescent="0.25">
      <c r="A148" s="20" t="s">
        <v>17</v>
      </c>
      <c r="B148" s="20" t="s">
        <v>18</v>
      </c>
      <c r="C148" s="20" t="s">
        <v>19</v>
      </c>
      <c r="D148" s="20">
        <v>1</v>
      </c>
      <c r="E148" s="20" t="s">
        <v>9</v>
      </c>
      <c r="F148" s="20" t="s">
        <v>277</v>
      </c>
      <c r="G148" s="2"/>
      <c r="H148" s="20" t="s">
        <v>17</v>
      </c>
      <c r="I148" s="20" t="s">
        <v>312</v>
      </c>
      <c r="J148" s="20" t="s">
        <v>322</v>
      </c>
      <c r="K148" s="28">
        <v>180910</v>
      </c>
      <c r="L148" s="18">
        <v>42887</v>
      </c>
      <c r="M148" s="88">
        <f t="shared" si="16"/>
        <v>6</v>
      </c>
      <c r="N148" s="17"/>
      <c r="O148" s="86"/>
      <c r="P148" s="17">
        <v>42944</v>
      </c>
      <c r="Q148" s="17"/>
      <c r="R148" s="17">
        <v>42929</v>
      </c>
      <c r="S148" s="24">
        <f t="shared" si="17"/>
        <v>7</v>
      </c>
      <c r="T148" s="5"/>
      <c r="U148" s="3"/>
      <c r="V148" s="3"/>
      <c r="W148" s="3" t="s">
        <v>482</v>
      </c>
      <c r="X148" s="3"/>
      <c r="Y148" s="59"/>
    </row>
    <row r="149" spans="1:25" ht="51" hidden="1" customHeight="1" outlineLevel="1" x14ac:dyDescent="0.25">
      <c r="A149" s="20" t="s">
        <v>17</v>
      </c>
      <c r="B149" s="20" t="s">
        <v>18</v>
      </c>
      <c r="C149" s="20" t="s">
        <v>19</v>
      </c>
      <c r="D149" s="20">
        <v>1</v>
      </c>
      <c r="E149" s="20" t="s">
        <v>9</v>
      </c>
      <c r="F149" s="20" t="s">
        <v>277</v>
      </c>
      <c r="G149" s="2"/>
      <c r="H149" s="20" t="s">
        <v>17</v>
      </c>
      <c r="I149" s="20" t="s">
        <v>312</v>
      </c>
      <c r="J149" s="20" t="s">
        <v>323</v>
      </c>
      <c r="K149" s="28">
        <v>180910</v>
      </c>
      <c r="L149" s="18">
        <v>42887</v>
      </c>
      <c r="M149" s="88">
        <f t="shared" si="16"/>
        <v>6</v>
      </c>
      <c r="N149" s="17"/>
      <c r="O149" s="86"/>
      <c r="P149" s="17">
        <v>42944</v>
      </c>
      <c r="Q149" s="17"/>
      <c r="R149" s="17">
        <v>42929</v>
      </c>
      <c r="S149" s="24">
        <f t="shared" si="17"/>
        <v>7</v>
      </c>
      <c r="T149" s="5"/>
      <c r="U149" s="3"/>
      <c r="V149" s="3"/>
      <c r="W149" s="3" t="s">
        <v>482</v>
      </c>
      <c r="X149" s="3"/>
      <c r="Y149" s="59"/>
    </row>
    <row r="150" spans="1:25" ht="51" hidden="1" customHeight="1" outlineLevel="1" x14ac:dyDescent="0.25">
      <c r="A150" s="20" t="s">
        <v>17</v>
      </c>
      <c r="B150" s="20" t="s">
        <v>18</v>
      </c>
      <c r="C150" s="20" t="s">
        <v>19</v>
      </c>
      <c r="D150" s="20">
        <v>1</v>
      </c>
      <c r="E150" s="20" t="s">
        <v>9</v>
      </c>
      <c r="F150" s="20" t="s">
        <v>277</v>
      </c>
      <c r="G150" s="2"/>
      <c r="H150" s="20" t="s">
        <v>17</v>
      </c>
      <c r="I150" s="20" t="s">
        <v>312</v>
      </c>
      <c r="J150" s="20" t="s">
        <v>324</v>
      </c>
      <c r="K150" s="28">
        <v>180910</v>
      </c>
      <c r="L150" s="18">
        <v>42887</v>
      </c>
      <c r="M150" s="88">
        <f t="shared" si="16"/>
        <v>6</v>
      </c>
      <c r="N150" s="17"/>
      <c r="O150" s="86"/>
      <c r="P150" s="17">
        <v>42944</v>
      </c>
      <c r="Q150" s="17"/>
      <c r="R150" s="17">
        <v>42922</v>
      </c>
      <c r="S150" s="24">
        <f t="shared" si="17"/>
        <v>7</v>
      </c>
      <c r="T150" s="5"/>
      <c r="U150" s="3"/>
      <c r="V150" s="3"/>
      <c r="W150" s="3"/>
      <c r="X150" s="3"/>
      <c r="Y150" s="59"/>
    </row>
    <row r="151" spans="1:25" ht="51" hidden="1" customHeight="1" outlineLevel="1" x14ac:dyDescent="0.25">
      <c r="A151" s="20" t="s">
        <v>17</v>
      </c>
      <c r="B151" s="20" t="s">
        <v>18</v>
      </c>
      <c r="C151" s="20" t="s">
        <v>19</v>
      </c>
      <c r="D151" s="20">
        <v>1</v>
      </c>
      <c r="E151" s="20" t="s">
        <v>9</v>
      </c>
      <c r="F151" s="20" t="s">
        <v>277</v>
      </c>
      <c r="G151" s="2"/>
      <c r="H151" s="20" t="s">
        <v>17</v>
      </c>
      <c r="I151" s="20" t="s">
        <v>312</v>
      </c>
      <c r="J151" s="20" t="s">
        <v>325</v>
      </c>
      <c r="K151" s="28">
        <v>180910</v>
      </c>
      <c r="L151" s="18">
        <v>42887</v>
      </c>
      <c r="M151" s="88">
        <f t="shared" si="16"/>
        <v>6</v>
      </c>
      <c r="N151" s="17"/>
      <c r="O151" s="86"/>
      <c r="P151" s="17">
        <v>42944</v>
      </c>
      <c r="Q151" s="17"/>
      <c r="R151" s="17">
        <v>42922</v>
      </c>
      <c r="S151" s="24">
        <f t="shared" si="17"/>
        <v>7</v>
      </c>
      <c r="T151" s="5"/>
      <c r="U151" s="3"/>
      <c r="V151" s="3"/>
      <c r="W151" s="3"/>
      <c r="X151" s="3"/>
      <c r="Y151" s="59"/>
    </row>
    <row r="152" spans="1:25" ht="51" hidden="1" customHeight="1" outlineLevel="1" x14ac:dyDescent="0.25">
      <c r="A152" s="20" t="s">
        <v>17</v>
      </c>
      <c r="B152" s="20" t="s">
        <v>18</v>
      </c>
      <c r="C152" s="20" t="s">
        <v>19</v>
      </c>
      <c r="D152" s="20">
        <v>1</v>
      </c>
      <c r="E152" s="20" t="s">
        <v>9</v>
      </c>
      <c r="F152" s="20" t="s">
        <v>277</v>
      </c>
      <c r="G152" s="2"/>
      <c r="H152" s="20" t="s">
        <v>17</v>
      </c>
      <c r="I152" s="20" t="s">
        <v>312</v>
      </c>
      <c r="J152" s="20" t="s">
        <v>326</v>
      </c>
      <c r="K152" s="28">
        <v>180910</v>
      </c>
      <c r="L152" s="18">
        <v>42887</v>
      </c>
      <c r="M152" s="88">
        <f t="shared" si="16"/>
        <v>6</v>
      </c>
      <c r="N152" s="17"/>
      <c r="O152" s="86"/>
      <c r="P152" s="17">
        <v>42944</v>
      </c>
      <c r="Q152" s="17"/>
      <c r="R152" s="17">
        <v>42929</v>
      </c>
      <c r="S152" s="24">
        <f t="shared" si="17"/>
        <v>7</v>
      </c>
      <c r="T152" s="5"/>
      <c r="U152" s="3"/>
      <c r="V152" s="3"/>
      <c r="W152" s="3" t="s">
        <v>482</v>
      </c>
      <c r="X152" s="3"/>
      <c r="Y152" s="59"/>
    </row>
    <row r="153" spans="1:25" ht="51" hidden="1" customHeight="1" outlineLevel="1" x14ac:dyDescent="0.25">
      <c r="A153" s="20" t="s">
        <v>17</v>
      </c>
      <c r="B153" s="20" t="s">
        <v>18</v>
      </c>
      <c r="C153" s="20" t="s">
        <v>19</v>
      </c>
      <c r="D153" s="20">
        <v>1</v>
      </c>
      <c r="E153" s="20" t="s">
        <v>9</v>
      </c>
      <c r="F153" s="20" t="s">
        <v>277</v>
      </c>
      <c r="G153" s="2"/>
      <c r="H153" s="20" t="s">
        <v>17</v>
      </c>
      <c r="I153" s="20" t="s">
        <v>312</v>
      </c>
      <c r="J153" s="20" t="s">
        <v>327</v>
      </c>
      <c r="K153" s="28">
        <v>180910</v>
      </c>
      <c r="L153" s="18">
        <v>42887</v>
      </c>
      <c r="M153" s="88">
        <f t="shared" si="16"/>
        <v>6</v>
      </c>
      <c r="N153" s="17"/>
      <c r="O153" s="86"/>
      <c r="P153" s="17">
        <v>42944</v>
      </c>
      <c r="Q153" s="17"/>
      <c r="R153" s="17">
        <v>42929</v>
      </c>
      <c r="S153" s="24">
        <f t="shared" si="17"/>
        <v>7</v>
      </c>
      <c r="T153" s="5"/>
      <c r="U153" s="3"/>
      <c r="V153" s="3"/>
      <c r="W153" s="3" t="s">
        <v>482</v>
      </c>
      <c r="X153" s="3"/>
      <c r="Y153" s="59"/>
    </row>
    <row r="154" spans="1:25" ht="51" hidden="1" customHeight="1" outlineLevel="1" x14ac:dyDescent="0.25">
      <c r="A154" s="20" t="s">
        <v>17</v>
      </c>
      <c r="B154" s="20" t="s">
        <v>18</v>
      </c>
      <c r="C154" s="20" t="s">
        <v>19</v>
      </c>
      <c r="D154" s="20">
        <v>1</v>
      </c>
      <c r="E154" s="20" t="s">
        <v>9</v>
      </c>
      <c r="F154" s="20" t="s">
        <v>277</v>
      </c>
      <c r="G154" s="2"/>
      <c r="H154" s="20" t="s">
        <v>17</v>
      </c>
      <c r="I154" s="20" t="s">
        <v>312</v>
      </c>
      <c r="J154" s="20" t="s">
        <v>328</v>
      </c>
      <c r="K154" s="28">
        <v>180910</v>
      </c>
      <c r="L154" s="18">
        <v>42887</v>
      </c>
      <c r="M154" s="88">
        <f t="shared" si="16"/>
        <v>6</v>
      </c>
      <c r="N154" s="17"/>
      <c r="O154" s="86"/>
      <c r="P154" s="17">
        <v>42944</v>
      </c>
      <c r="Q154" s="17"/>
      <c r="R154" s="17">
        <v>42944</v>
      </c>
      <c r="S154" s="24">
        <f t="shared" si="17"/>
        <v>7</v>
      </c>
      <c r="T154" s="5"/>
      <c r="U154" s="3"/>
      <c r="V154" s="3"/>
      <c r="W154" s="3" t="s">
        <v>482</v>
      </c>
      <c r="X154" s="3"/>
      <c r="Y154" s="59"/>
    </row>
    <row r="155" spans="1:25" ht="89.25" hidden="1" customHeight="1" outlineLevel="1" x14ac:dyDescent="0.25">
      <c r="A155" s="20" t="s">
        <v>17</v>
      </c>
      <c r="B155" s="20" t="s">
        <v>18</v>
      </c>
      <c r="C155" s="20" t="s">
        <v>19</v>
      </c>
      <c r="D155" s="20">
        <v>1</v>
      </c>
      <c r="E155" s="20" t="s">
        <v>9</v>
      </c>
      <c r="F155" s="20" t="s">
        <v>277</v>
      </c>
      <c r="G155" s="2"/>
      <c r="H155" s="20" t="s">
        <v>17</v>
      </c>
      <c r="I155" s="20" t="s">
        <v>312</v>
      </c>
      <c r="J155" s="20" t="s">
        <v>329</v>
      </c>
      <c r="K155" s="28">
        <v>180910</v>
      </c>
      <c r="L155" s="18">
        <v>42887</v>
      </c>
      <c r="M155" s="88">
        <f t="shared" si="16"/>
        <v>6</v>
      </c>
      <c r="N155" s="17"/>
      <c r="O155" s="86"/>
      <c r="P155" s="17">
        <v>42944</v>
      </c>
      <c r="Q155" s="17"/>
      <c r="R155" s="17">
        <v>42929</v>
      </c>
      <c r="S155" s="24">
        <f t="shared" si="17"/>
        <v>7</v>
      </c>
      <c r="T155" s="5"/>
      <c r="U155" s="3"/>
      <c r="V155" s="3"/>
      <c r="W155" s="3" t="s">
        <v>482</v>
      </c>
      <c r="X155" s="3"/>
      <c r="Y155" s="59"/>
    </row>
    <row r="156" spans="1:25" ht="51" hidden="1" customHeight="1" outlineLevel="1" x14ac:dyDescent="0.25">
      <c r="A156" s="20" t="s">
        <v>17</v>
      </c>
      <c r="B156" s="20" t="s">
        <v>18</v>
      </c>
      <c r="C156" s="20" t="s">
        <v>19</v>
      </c>
      <c r="D156" s="20">
        <v>1</v>
      </c>
      <c r="E156" s="20" t="s">
        <v>9</v>
      </c>
      <c r="F156" s="20" t="s">
        <v>277</v>
      </c>
      <c r="G156" s="2"/>
      <c r="H156" s="20" t="s">
        <v>17</v>
      </c>
      <c r="I156" s="20" t="s">
        <v>312</v>
      </c>
      <c r="J156" s="20" t="s">
        <v>330</v>
      </c>
      <c r="K156" s="28">
        <v>180910</v>
      </c>
      <c r="L156" s="18">
        <v>42887</v>
      </c>
      <c r="M156" s="88">
        <f t="shared" si="16"/>
        <v>6</v>
      </c>
      <c r="N156" s="17"/>
      <c r="O156" s="86"/>
      <c r="P156" s="17">
        <v>42944</v>
      </c>
      <c r="Q156" s="17"/>
      <c r="R156" s="17">
        <v>42944</v>
      </c>
      <c r="S156" s="24">
        <f t="shared" si="17"/>
        <v>7</v>
      </c>
      <c r="T156" s="5"/>
      <c r="U156" s="3"/>
      <c r="V156" s="3"/>
      <c r="W156" s="3" t="s">
        <v>482</v>
      </c>
      <c r="X156" s="3"/>
      <c r="Y156" s="59"/>
    </row>
    <row r="157" spans="1:25" ht="66.75" hidden="1" customHeight="1" outlineLevel="1" x14ac:dyDescent="0.25">
      <c r="A157" s="20" t="s">
        <v>17</v>
      </c>
      <c r="B157" s="20" t="s">
        <v>18</v>
      </c>
      <c r="C157" s="20" t="s">
        <v>19</v>
      </c>
      <c r="D157" s="20">
        <v>1</v>
      </c>
      <c r="E157" s="20" t="s">
        <v>9</v>
      </c>
      <c r="F157" s="20" t="s">
        <v>277</v>
      </c>
      <c r="G157" s="2"/>
      <c r="H157" s="20" t="s">
        <v>17</v>
      </c>
      <c r="I157" s="20" t="s">
        <v>312</v>
      </c>
      <c r="J157" s="20" t="s">
        <v>331</v>
      </c>
      <c r="K157" s="28">
        <v>180910</v>
      </c>
      <c r="L157" s="18">
        <v>42887</v>
      </c>
      <c r="M157" s="88">
        <f t="shared" si="16"/>
        <v>6</v>
      </c>
      <c r="N157" s="17"/>
      <c r="O157" s="86"/>
      <c r="P157" s="17">
        <v>42944</v>
      </c>
      <c r="Q157" s="17"/>
      <c r="R157" s="17">
        <v>42921</v>
      </c>
      <c r="S157" s="24">
        <f t="shared" si="17"/>
        <v>7</v>
      </c>
      <c r="T157" s="5"/>
      <c r="U157" s="3"/>
      <c r="V157" s="3"/>
      <c r="W157" s="3"/>
      <c r="X157" s="3"/>
      <c r="Y157" s="59"/>
    </row>
    <row r="158" spans="1:25" ht="66.75" hidden="1" customHeight="1" outlineLevel="1" x14ac:dyDescent="0.25">
      <c r="A158" s="20" t="s">
        <v>17</v>
      </c>
      <c r="B158" s="20" t="s">
        <v>18</v>
      </c>
      <c r="C158" s="20" t="s">
        <v>19</v>
      </c>
      <c r="D158" s="20">
        <v>1</v>
      </c>
      <c r="E158" s="20" t="s">
        <v>9</v>
      </c>
      <c r="F158" s="20" t="s">
        <v>277</v>
      </c>
      <c r="G158" s="2"/>
      <c r="H158" s="20" t="s">
        <v>17</v>
      </c>
      <c r="I158" s="20" t="s">
        <v>312</v>
      </c>
      <c r="J158" s="20" t="s">
        <v>332</v>
      </c>
      <c r="K158" s="28">
        <v>180910</v>
      </c>
      <c r="L158" s="18">
        <v>42887</v>
      </c>
      <c r="M158" s="88">
        <f t="shared" si="16"/>
        <v>6</v>
      </c>
      <c r="N158" s="17"/>
      <c r="O158" s="86"/>
      <c r="P158" s="17">
        <v>42944</v>
      </c>
      <c r="Q158" s="17"/>
      <c r="R158" s="17">
        <v>42922</v>
      </c>
      <c r="S158" s="24">
        <f t="shared" si="17"/>
        <v>7</v>
      </c>
      <c r="T158" s="5"/>
      <c r="U158" s="3"/>
      <c r="V158" s="3"/>
      <c r="W158" s="3"/>
      <c r="X158" s="3"/>
      <c r="Y158" s="59"/>
    </row>
    <row r="159" spans="1:25" ht="63.75" hidden="1" customHeight="1" outlineLevel="1" x14ac:dyDescent="0.25">
      <c r="A159" s="20" t="s">
        <v>17</v>
      </c>
      <c r="B159" s="20" t="s">
        <v>18</v>
      </c>
      <c r="C159" s="20" t="s">
        <v>19</v>
      </c>
      <c r="D159" s="20">
        <v>1</v>
      </c>
      <c r="E159" s="20" t="s">
        <v>9</v>
      </c>
      <c r="F159" s="20" t="s">
        <v>277</v>
      </c>
      <c r="G159" s="2"/>
      <c r="H159" s="20" t="s">
        <v>17</v>
      </c>
      <c r="I159" s="20" t="s">
        <v>312</v>
      </c>
      <c r="J159" s="20" t="s">
        <v>333</v>
      </c>
      <c r="K159" s="28">
        <v>180910</v>
      </c>
      <c r="L159" s="18">
        <v>42887</v>
      </c>
      <c r="M159" s="88">
        <f t="shared" si="16"/>
        <v>6</v>
      </c>
      <c r="N159" s="17"/>
      <c r="O159" s="86"/>
      <c r="P159" s="17">
        <v>42944</v>
      </c>
      <c r="Q159" s="17"/>
      <c r="R159" s="17">
        <v>42944</v>
      </c>
      <c r="S159" s="24">
        <f t="shared" si="17"/>
        <v>7</v>
      </c>
      <c r="T159" s="5"/>
      <c r="U159" s="3"/>
      <c r="V159" s="3"/>
      <c r="W159" s="3" t="s">
        <v>482</v>
      </c>
      <c r="X159" s="3"/>
      <c r="Y159" s="59"/>
    </row>
    <row r="160" spans="1:25" ht="51" hidden="1" customHeight="1" outlineLevel="1" x14ac:dyDescent="0.25">
      <c r="A160" s="20" t="s">
        <v>17</v>
      </c>
      <c r="B160" s="20" t="s">
        <v>18</v>
      </c>
      <c r="C160" s="20" t="s">
        <v>19</v>
      </c>
      <c r="D160" s="20">
        <v>1</v>
      </c>
      <c r="E160" s="20" t="s">
        <v>9</v>
      </c>
      <c r="F160" s="20" t="s">
        <v>277</v>
      </c>
      <c r="G160" s="2"/>
      <c r="H160" s="20" t="s">
        <v>17</v>
      </c>
      <c r="I160" s="20" t="s">
        <v>312</v>
      </c>
      <c r="J160" s="20" t="s">
        <v>334</v>
      </c>
      <c r="K160" s="28">
        <v>180910</v>
      </c>
      <c r="L160" s="18">
        <v>42887</v>
      </c>
      <c r="M160" s="88">
        <f t="shared" si="16"/>
        <v>6</v>
      </c>
      <c r="N160" s="17"/>
      <c r="O160" s="86"/>
      <c r="P160" s="17">
        <v>42944</v>
      </c>
      <c r="Q160" s="17"/>
      <c r="R160" s="17">
        <v>42929</v>
      </c>
      <c r="S160" s="24">
        <f t="shared" si="17"/>
        <v>7</v>
      </c>
      <c r="T160" s="5"/>
      <c r="U160" s="3"/>
      <c r="V160" s="3"/>
      <c r="W160" s="3" t="s">
        <v>482</v>
      </c>
      <c r="X160" s="3"/>
      <c r="Y160" s="59"/>
    </row>
    <row r="161" spans="1:25" ht="51" hidden="1" customHeight="1" outlineLevel="1" x14ac:dyDescent="0.25">
      <c r="A161" s="20" t="s">
        <v>17</v>
      </c>
      <c r="B161" s="20" t="s">
        <v>18</v>
      </c>
      <c r="C161" s="20" t="s">
        <v>19</v>
      </c>
      <c r="D161" s="20">
        <v>1</v>
      </c>
      <c r="E161" s="20" t="s">
        <v>9</v>
      </c>
      <c r="F161" s="20" t="s">
        <v>277</v>
      </c>
      <c r="G161" s="2"/>
      <c r="H161" s="20" t="s">
        <v>17</v>
      </c>
      <c r="I161" s="20" t="s">
        <v>312</v>
      </c>
      <c r="J161" s="20" t="s">
        <v>335</v>
      </c>
      <c r="K161" s="28">
        <v>180910</v>
      </c>
      <c r="L161" s="18">
        <v>42887</v>
      </c>
      <c r="M161" s="88">
        <f t="shared" si="16"/>
        <v>6</v>
      </c>
      <c r="N161" s="17"/>
      <c r="O161" s="86"/>
      <c r="P161" s="17">
        <v>42944</v>
      </c>
      <c r="Q161" s="17"/>
      <c r="R161" s="17">
        <v>42929</v>
      </c>
      <c r="S161" s="24">
        <f t="shared" si="17"/>
        <v>7</v>
      </c>
      <c r="T161" s="5"/>
      <c r="U161" s="3"/>
      <c r="V161" s="3"/>
      <c r="W161" s="3" t="s">
        <v>482</v>
      </c>
      <c r="X161" s="3"/>
      <c r="Y161" s="59"/>
    </row>
    <row r="162" spans="1:25" ht="51" hidden="1" customHeight="1" outlineLevel="1" x14ac:dyDescent="0.25">
      <c r="A162" s="20" t="s">
        <v>17</v>
      </c>
      <c r="B162" s="20" t="s">
        <v>18</v>
      </c>
      <c r="C162" s="20" t="s">
        <v>19</v>
      </c>
      <c r="D162" s="20">
        <v>1</v>
      </c>
      <c r="E162" s="20" t="s">
        <v>9</v>
      </c>
      <c r="F162" s="20" t="s">
        <v>277</v>
      </c>
      <c r="G162" s="2"/>
      <c r="H162" s="20" t="s">
        <v>17</v>
      </c>
      <c r="I162" s="20" t="s">
        <v>312</v>
      </c>
      <c r="J162" s="20" t="s">
        <v>336</v>
      </c>
      <c r="K162" s="28">
        <v>180910</v>
      </c>
      <c r="L162" s="18">
        <v>42887</v>
      </c>
      <c r="M162" s="88">
        <f t="shared" si="16"/>
        <v>6</v>
      </c>
      <c r="N162" s="17"/>
      <c r="O162" s="86"/>
      <c r="P162" s="17">
        <v>42944</v>
      </c>
      <c r="Q162" s="17"/>
      <c r="R162" s="17">
        <v>42929</v>
      </c>
      <c r="S162" s="24">
        <f t="shared" si="17"/>
        <v>7</v>
      </c>
      <c r="T162" s="5"/>
      <c r="U162" s="3"/>
      <c r="V162" s="3"/>
      <c r="W162" s="3" t="s">
        <v>482</v>
      </c>
      <c r="X162" s="3"/>
      <c r="Y162" s="59"/>
    </row>
    <row r="163" spans="1:25" ht="89.25" hidden="1" customHeight="1" outlineLevel="1" x14ac:dyDescent="0.25">
      <c r="A163" s="20" t="s">
        <v>17</v>
      </c>
      <c r="B163" s="20" t="s">
        <v>18</v>
      </c>
      <c r="C163" s="20" t="s">
        <v>19</v>
      </c>
      <c r="D163" s="20">
        <v>1</v>
      </c>
      <c r="E163" s="20" t="s">
        <v>9</v>
      </c>
      <c r="F163" s="20" t="s">
        <v>277</v>
      </c>
      <c r="G163" s="2"/>
      <c r="H163" s="20" t="s">
        <v>17</v>
      </c>
      <c r="I163" s="20" t="s">
        <v>312</v>
      </c>
      <c r="J163" s="20" t="s">
        <v>337</v>
      </c>
      <c r="K163" s="28">
        <v>180910</v>
      </c>
      <c r="L163" s="18">
        <v>42887</v>
      </c>
      <c r="M163" s="88">
        <f t="shared" si="16"/>
        <v>6</v>
      </c>
      <c r="N163" s="17"/>
      <c r="O163" s="86"/>
      <c r="P163" s="17">
        <v>42944</v>
      </c>
      <c r="Q163" s="17"/>
      <c r="R163" s="17">
        <v>42944</v>
      </c>
      <c r="S163" s="24">
        <f t="shared" si="17"/>
        <v>7</v>
      </c>
      <c r="T163" s="5"/>
      <c r="U163" s="3"/>
      <c r="V163" s="3"/>
      <c r="W163" s="3" t="s">
        <v>482</v>
      </c>
      <c r="X163" s="3"/>
      <c r="Y163" s="59"/>
    </row>
    <row r="164" spans="1:25" ht="81.75" hidden="1" customHeight="1" outlineLevel="1" x14ac:dyDescent="0.25">
      <c r="A164" s="20" t="s">
        <v>17</v>
      </c>
      <c r="B164" s="20" t="s">
        <v>18</v>
      </c>
      <c r="C164" s="20" t="s">
        <v>19</v>
      </c>
      <c r="D164" s="20">
        <v>1</v>
      </c>
      <c r="E164" s="20" t="s">
        <v>9</v>
      </c>
      <c r="F164" s="20" t="s">
        <v>277</v>
      </c>
      <c r="G164" s="2"/>
      <c r="H164" s="20" t="s">
        <v>17</v>
      </c>
      <c r="I164" s="20" t="s">
        <v>312</v>
      </c>
      <c r="J164" s="20" t="s">
        <v>338</v>
      </c>
      <c r="K164" s="28">
        <v>180910</v>
      </c>
      <c r="L164" s="18">
        <v>42887</v>
      </c>
      <c r="M164" s="88">
        <f t="shared" si="16"/>
        <v>6</v>
      </c>
      <c r="N164" s="17"/>
      <c r="O164" s="86"/>
      <c r="P164" s="17">
        <v>42944</v>
      </c>
      <c r="Q164" s="17"/>
      <c r="R164" s="17">
        <v>42944</v>
      </c>
      <c r="S164" s="24">
        <f t="shared" si="17"/>
        <v>7</v>
      </c>
      <c r="T164" s="5"/>
      <c r="U164" s="3"/>
      <c r="V164" s="3"/>
      <c r="W164" s="3" t="s">
        <v>482</v>
      </c>
      <c r="X164" s="3"/>
      <c r="Y164" s="59"/>
    </row>
    <row r="165" spans="1:25" ht="69.75" hidden="1" customHeight="1" outlineLevel="1" x14ac:dyDescent="0.25">
      <c r="A165" s="20" t="s">
        <v>17</v>
      </c>
      <c r="B165" s="20" t="s">
        <v>18</v>
      </c>
      <c r="C165" s="20" t="s">
        <v>19</v>
      </c>
      <c r="D165" s="20">
        <v>1</v>
      </c>
      <c r="E165" s="20" t="s">
        <v>9</v>
      </c>
      <c r="F165" s="20" t="s">
        <v>277</v>
      </c>
      <c r="G165" s="2"/>
      <c r="H165" s="20" t="s">
        <v>17</v>
      </c>
      <c r="I165" s="20" t="s">
        <v>312</v>
      </c>
      <c r="J165" s="20" t="s">
        <v>339</v>
      </c>
      <c r="K165" s="28">
        <v>180910</v>
      </c>
      <c r="L165" s="18">
        <v>42887</v>
      </c>
      <c r="M165" s="88">
        <f t="shared" si="16"/>
        <v>6</v>
      </c>
      <c r="N165" s="17"/>
      <c r="O165" s="86"/>
      <c r="P165" s="17">
        <v>42944</v>
      </c>
      <c r="Q165" s="17"/>
      <c r="R165" s="17">
        <v>42929</v>
      </c>
      <c r="S165" s="24">
        <f t="shared" si="17"/>
        <v>7</v>
      </c>
      <c r="T165" s="5"/>
      <c r="U165" s="3"/>
      <c r="V165" s="3"/>
      <c r="W165" s="3" t="s">
        <v>482</v>
      </c>
      <c r="X165" s="3"/>
      <c r="Y165" s="59"/>
    </row>
    <row r="166" spans="1:25" ht="76.5" hidden="1" customHeight="1" outlineLevel="1" x14ac:dyDescent="0.25">
      <c r="A166" s="20" t="s">
        <v>17</v>
      </c>
      <c r="B166" s="20" t="s">
        <v>18</v>
      </c>
      <c r="C166" s="20" t="s">
        <v>19</v>
      </c>
      <c r="D166" s="20">
        <v>1</v>
      </c>
      <c r="E166" s="20" t="s">
        <v>9</v>
      </c>
      <c r="F166" s="20" t="s">
        <v>277</v>
      </c>
      <c r="G166" s="2"/>
      <c r="H166" s="20" t="s">
        <v>17</v>
      </c>
      <c r="I166" s="20" t="s">
        <v>312</v>
      </c>
      <c r="J166" s="20" t="s">
        <v>340</v>
      </c>
      <c r="K166" s="28">
        <v>180910</v>
      </c>
      <c r="L166" s="18">
        <v>42887</v>
      </c>
      <c r="M166" s="88">
        <f t="shared" si="16"/>
        <v>6</v>
      </c>
      <c r="N166" s="17"/>
      <c r="O166" s="86"/>
      <c r="P166" s="17"/>
      <c r="Q166" s="17"/>
      <c r="R166" s="17">
        <v>42921</v>
      </c>
      <c r="S166" s="24">
        <f t="shared" si="17"/>
        <v>7</v>
      </c>
      <c r="T166" s="5"/>
      <c r="U166" s="3"/>
      <c r="V166" s="3"/>
      <c r="W166" s="3"/>
      <c r="X166" s="3"/>
      <c r="Y166" s="59"/>
    </row>
    <row r="167" spans="1:25" ht="76.5" hidden="1" customHeight="1" outlineLevel="1" x14ac:dyDescent="0.25">
      <c r="A167" s="20" t="s">
        <v>17</v>
      </c>
      <c r="B167" s="20" t="s">
        <v>18</v>
      </c>
      <c r="C167" s="20" t="s">
        <v>19</v>
      </c>
      <c r="D167" s="20">
        <v>1</v>
      </c>
      <c r="E167" s="20" t="s">
        <v>9</v>
      </c>
      <c r="F167" s="20" t="s">
        <v>277</v>
      </c>
      <c r="G167" s="2"/>
      <c r="H167" s="20" t="s">
        <v>17</v>
      </c>
      <c r="I167" s="20" t="s">
        <v>312</v>
      </c>
      <c r="J167" s="20" t="s">
        <v>341</v>
      </c>
      <c r="K167" s="28">
        <v>180910</v>
      </c>
      <c r="L167" s="18">
        <v>42887</v>
      </c>
      <c r="M167" s="88">
        <f t="shared" si="16"/>
        <v>6</v>
      </c>
      <c r="N167" s="17"/>
      <c r="O167" s="86"/>
      <c r="P167" s="17">
        <v>42944</v>
      </c>
      <c r="Q167" s="17"/>
      <c r="R167" s="17">
        <v>42944</v>
      </c>
      <c r="S167" s="24">
        <f t="shared" si="17"/>
        <v>7</v>
      </c>
      <c r="T167" s="5"/>
      <c r="U167" s="3"/>
      <c r="V167" s="3"/>
      <c r="W167" s="3" t="s">
        <v>482</v>
      </c>
      <c r="X167" s="3"/>
      <c r="Y167" s="59"/>
    </row>
    <row r="168" spans="1:25" ht="76.5" hidden="1" customHeight="1" outlineLevel="1" x14ac:dyDescent="0.25">
      <c r="A168" s="20" t="s">
        <v>17</v>
      </c>
      <c r="B168" s="20" t="s">
        <v>18</v>
      </c>
      <c r="C168" s="20" t="s">
        <v>19</v>
      </c>
      <c r="D168" s="20">
        <v>1</v>
      </c>
      <c r="E168" s="20" t="s">
        <v>9</v>
      </c>
      <c r="F168" s="20" t="s">
        <v>277</v>
      </c>
      <c r="G168" s="2"/>
      <c r="H168" s="20" t="s">
        <v>17</v>
      </c>
      <c r="I168" s="20" t="s">
        <v>312</v>
      </c>
      <c r="J168" s="20" t="s">
        <v>342</v>
      </c>
      <c r="K168" s="28">
        <v>180910</v>
      </c>
      <c r="L168" s="18">
        <v>42887</v>
      </c>
      <c r="M168" s="88">
        <f t="shared" si="16"/>
        <v>6</v>
      </c>
      <c r="N168" s="17"/>
      <c r="O168" s="86"/>
      <c r="P168" s="17">
        <v>42944</v>
      </c>
      <c r="Q168" s="17"/>
      <c r="R168" s="17">
        <v>42929</v>
      </c>
      <c r="S168" s="24">
        <f t="shared" si="17"/>
        <v>7</v>
      </c>
      <c r="T168" s="5"/>
      <c r="U168" s="3"/>
      <c r="V168" s="3"/>
      <c r="W168" s="3" t="s">
        <v>482</v>
      </c>
      <c r="X168" s="3"/>
      <c r="Y168" s="59"/>
    </row>
    <row r="169" spans="1:25" ht="206.25" hidden="1" customHeight="1" outlineLevel="1" x14ac:dyDescent="0.25">
      <c r="A169" s="20" t="s">
        <v>17</v>
      </c>
      <c r="B169" s="20" t="s">
        <v>18</v>
      </c>
      <c r="C169" s="20" t="s">
        <v>19</v>
      </c>
      <c r="D169" s="20">
        <v>1</v>
      </c>
      <c r="E169" s="20" t="s">
        <v>9</v>
      </c>
      <c r="F169" s="20" t="s">
        <v>277</v>
      </c>
      <c r="G169" s="2"/>
      <c r="H169" s="20" t="s">
        <v>17</v>
      </c>
      <c r="I169" s="20" t="s">
        <v>312</v>
      </c>
      <c r="J169" s="20" t="s">
        <v>343</v>
      </c>
      <c r="K169" s="28">
        <v>180767</v>
      </c>
      <c r="L169" s="18">
        <v>42887</v>
      </c>
      <c r="M169" s="88">
        <f t="shared" si="16"/>
        <v>6</v>
      </c>
      <c r="N169" s="17"/>
      <c r="O169" s="86"/>
      <c r="P169" s="17">
        <v>42944</v>
      </c>
      <c r="Q169" s="17"/>
      <c r="R169" s="17">
        <v>42944</v>
      </c>
      <c r="S169" s="24">
        <f t="shared" si="17"/>
        <v>7</v>
      </c>
      <c r="T169" s="5"/>
      <c r="U169" s="3"/>
      <c r="V169" s="3"/>
      <c r="W169" s="3" t="s">
        <v>482</v>
      </c>
      <c r="X169" s="3"/>
      <c r="Y169" s="59"/>
    </row>
    <row r="170" spans="1:25" ht="69.75" customHeight="1" outlineLevel="1" x14ac:dyDescent="0.25">
      <c r="A170" s="2" t="s">
        <v>17</v>
      </c>
      <c r="B170" s="2" t="s">
        <v>18</v>
      </c>
      <c r="C170" s="2" t="s">
        <v>19</v>
      </c>
      <c r="D170" s="2">
        <v>2</v>
      </c>
      <c r="E170" s="2" t="s">
        <v>9</v>
      </c>
      <c r="F170" s="196" t="s">
        <v>277</v>
      </c>
      <c r="G170" s="75">
        <v>22</v>
      </c>
      <c r="H170" s="2" t="s">
        <v>17</v>
      </c>
      <c r="I170" s="3" t="s">
        <v>23</v>
      </c>
      <c r="J170" s="3" t="s">
        <v>24</v>
      </c>
      <c r="K170" s="28">
        <v>80512</v>
      </c>
      <c r="L170" s="8">
        <v>42853</v>
      </c>
      <c r="M170" s="207">
        <f t="shared" si="16"/>
        <v>4</v>
      </c>
      <c r="N170" s="17">
        <v>42916</v>
      </c>
      <c r="O170" s="17"/>
      <c r="P170" s="17">
        <v>42947</v>
      </c>
      <c r="Q170" s="5">
        <v>42983</v>
      </c>
      <c r="R170" s="209" t="s">
        <v>124</v>
      </c>
      <c r="S170" s="203" t="s">
        <v>124</v>
      </c>
      <c r="T170" s="5"/>
      <c r="U170" s="212" t="s">
        <v>117</v>
      </c>
      <c r="V170" s="3"/>
      <c r="W170" s="3" t="s">
        <v>611</v>
      </c>
      <c r="X170" s="195" t="s">
        <v>643</v>
      </c>
      <c r="Y170" s="71" t="s">
        <v>891</v>
      </c>
    </row>
    <row r="171" spans="1:25" ht="30.75" hidden="1" customHeight="1" outlineLevel="1" x14ac:dyDescent="0.25">
      <c r="A171" s="3" t="s">
        <v>17</v>
      </c>
      <c r="B171" s="2" t="s">
        <v>18</v>
      </c>
      <c r="C171" s="2" t="s">
        <v>19</v>
      </c>
      <c r="D171" s="2">
        <v>2</v>
      </c>
      <c r="E171" s="2" t="s">
        <v>9</v>
      </c>
      <c r="F171" s="2" t="s">
        <v>277</v>
      </c>
      <c r="G171" s="2"/>
      <c r="H171" s="3" t="s">
        <v>17</v>
      </c>
      <c r="I171" s="3" t="s">
        <v>72</v>
      </c>
      <c r="J171" s="3" t="s">
        <v>94</v>
      </c>
      <c r="K171" s="28">
        <v>95640</v>
      </c>
      <c r="L171" s="10" t="s">
        <v>245</v>
      </c>
      <c r="M171" s="5" t="s">
        <v>245</v>
      </c>
      <c r="N171" s="17"/>
      <c r="O171" s="17"/>
      <c r="P171" s="17"/>
      <c r="Q171" s="17"/>
      <c r="R171" s="17">
        <v>42846</v>
      </c>
      <c r="S171" s="24">
        <f>MONTH(R171)</f>
        <v>4</v>
      </c>
      <c r="T171" s="5"/>
      <c r="U171" s="23"/>
      <c r="V171" s="3"/>
      <c r="W171" s="3"/>
      <c r="X171" s="3"/>
      <c r="Y171" s="59"/>
    </row>
    <row r="172" spans="1:25" ht="51" outlineLevel="1" x14ac:dyDescent="0.25">
      <c r="A172" s="20" t="s">
        <v>17</v>
      </c>
      <c r="B172" s="20" t="s">
        <v>18</v>
      </c>
      <c r="C172" s="20" t="s">
        <v>19</v>
      </c>
      <c r="D172" s="20">
        <v>2</v>
      </c>
      <c r="E172" s="20" t="s">
        <v>9</v>
      </c>
      <c r="F172" s="193" t="s">
        <v>277</v>
      </c>
      <c r="G172" s="75">
        <v>23</v>
      </c>
      <c r="H172" s="20" t="s">
        <v>17</v>
      </c>
      <c r="I172" s="20" t="s">
        <v>344</v>
      </c>
      <c r="J172" s="20" t="s">
        <v>345</v>
      </c>
      <c r="K172" s="28">
        <v>157500</v>
      </c>
      <c r="L172" s="18">
        <v>42916</v>
      </c>
      <c r="M172" s="207">
        <f>MONTH(L172)</f>
        <v>6</v>
      </c>
      <c r="N172" s="17"/>
      <c r="O172" s="86"/>
      <c r="P172" s="17"/>
      <c r="Q172" s="5">
        <v>43068</v>
      </c>
      <c r="R172" s="209" t="s">
        <v>124</v>
      </c>
      <c r="S172" s="203" t="s">
        <v>124</v>
      </c>
      <c r="T172" s="5">
        <v>43068</v>
      </c>
      <c r="U172" s="211"/>
      <c r="V172" s="3"/>
      <c r="W172" s="3" t="s">
        <v>475</v>
      </c>
      <c r="X172" s="201" t="s">
        <v>645</v>
      </c>
      <c r="Y172" s="133" t="s">
        <v>789</v>
      </c>
    </row>
    <row r="173" spans="1:25" ht="51" outlineLevel="1" x14ac:dyDescent="0.25">
      <c r="A173" s="20" t="s">
        <v>17</v>
      </c>
      <c r="B173" s="20" t="s">
        <v>18</v>
      </c>
      <c r="C173" s="20" t="s">
        <v>19</v>
      </c>
      <c r="D173" s="20">
        <v>2</v>
      </c>
      <c r="E173" s="20" t="s">
        <v>9</v>
      </c>
      <c r="F173" s="193" t="s">
        <v>277</v>
      </c>
      <c r="G173" s="75">
        <v>24</v>
      </c>
      <c r="H173" s="20" t="s">
        <v>17</v>
      </c>
      <c r="I173" s="20" t="s">
        <v>346</v>
      </c>
      <c r="J173" s="20" t="s">
        <v>347</v>
      </c>
      <c r="K173" s="28">
        <v>159338</v>
      </c>
      <c r="L173" s="18">
        <v>42916</v>
      </c>
      <c r="M173" s="207">
        <f>MONTH(L173)</f>
        <v>6</v>
      </c>
      <c r="N173" s="17"/>
      <c r="O173" s="86"/>
      <c r="P173" s="17">
        <v>43068</v>
      </c>
      <c r="Q173" s="5">
        <v>43068</v>
      </c>
      <c r="R173" s="209" t="s">
        <v>124</v>
      </c>
      <c r="S173" s="203" t="s">
        <v>124</v>
      </c>
      <c r="T173" s="5">
        <v>43068</v>
      </c>
      <c r="U173" s="211"/>
      <c r="V173" s="3"/>
      <c r="W173" s="3" t="s">
        <v>475</v>
      </c>
      <c r="X173" s="195" t="s">
        <v>262</v>
      </c>
      <c r="Y173" s="71" t="s">
        <v>792</v>
      </c>
    </row>
    <row r="174" spans="1:25" ht="25.5" hidden="1" customHeight="1" outlineLevel="1" x14ac:dyDescent="0.25">
      <c r="A174" s="53" t="s">
        <v>17</v>
      </c>
      <c r="B174" s="53" t="s">
        <v>18</v>
      </c>
      <c r="C174" s="20" t="s">
        <v>19</v>
      </c>
      <c r="D174" s="53">
        <v>2</v>
      </c>
      <c r="E174" s="53" t="s">
        <v>9</v>
      </c>
      <c r="F174" s="53" t="s">
        <v>277</v>
      </c>
      <c r="G174" s="59"/>
      <c r="H174" s="59" t="s">
        <v>17</v>
      </c>
      <c r="I174" s="3" t="s">
        <v>737</v>
      </c>
      <c r="J174" s="3" t="s">
        <v>738</v>
      </c>
      <c r="K174" s="57">
        <v>55760</v>
      </c>
      <c r="L174" s="8" t="s">
        <v>245</v>
      </c>
      <c r="M174" s="10" t="s">
        <v>245</v>
      </c>
      <c r="N174" s="17"/>
      <c r="O174" s="108"/>
      <c r="P174" s="108"/>
      <c r="Q174" s="108"/>
      <c r="R174" s="108">
        <v>42955</v>
      </c>
      <c r="S174" s="59">
        <f>MONTH(R174)</f>
        <v>8</v>
      </c>
      <c r="T174" s="58"/>
      <c r="U174" s="69"/>
      <c r="V174" s="59"/>
      <c r="W174" s="59"/>
      <c r="X174" s="59"/>
      <c r="Y174" s="59"/>
    </row>
    <row r="175" spans="1:25" ht="51" hidden="1" customHeight="1" outlineLevel="1" x14ac:dyDescent="0.25">
      <c r="A175" s="2" t="s">
        <v>17</v>
      </c>
      <c r="B175" s="2" t="s">
        <v>18</v>
      </c>
      <c r="C175" s="2" t="s">
        <v>19</v>
      </c>
      <c r="D175" s="2">
        <v>2</v>
      </c>
      <c r="E175" s="2" t="s">
        <v>9</v>
      </c>
      <c r="F175" s="2" t="s">
        <v>277</v>
      </c>
      <c r="G175" s="2"/>
      <c r="H175" s="2" t="s">
        <v>17</v>
      </c>
      <c r="I175" s="3" t="s">
        <v>164</v>
      </c>
      <c r="J175" s="3" t="s">
        <v>165</v>
      </c>
      <c r="K175" s="28">
        <v>153000</v>
      </c>
      <c r="L175" s="8">
        <v>42886</v>
      </c>
      <c r="M175" s="88">
        <f t="shared" ref="M175" si="18">MONTH(L175)</f>
        <v>5</v>
      </c>
      <c r="N175" s="17"/>
      <c r="O175" s="17">
        <v>42930</v>
      </c>
      <c r="P175" s="17"/>
      <c r="Q175" s="17">
        <v>42978</v>
      </c>
      <c r="R175" s="17">
        <v>42958</v>
      </c>
      <c r="S175" s="24">
        <f>MONTH(R175)</f>
        <v>8</v>
      </c>
      <c r="T175" s="5"/>
      <c r="U175" s="23"/>
      <c r="V175" s="3" t="s">
        <v>262</v>
      </c>
      <c r="W175" s="3" t="s">
        <v>262</v>
      </c>
      <c r="X175" s="3"/>
      <c r="Y175" s="59"/>
    </row>
    <row r="176" spans="1:25" ht="73.5" customHeight="1" outlineLevel="1" x14ac:dyDescent="0.25">
      <c r="A176" s="20" t="s">
        <v>17</v>
      </c>
      <c r="B176" s="20" t="s">
        <v>18</v>
      </c>
      <c r="C176" s="20" t="s">
        <v>19</v>
      </c>
      <c r="D176" s="20">
        <v>2</v>
      </c>
      <c r="E176" s="20" t="s">
        <v>9</v>
      </c>
      <c r="F176" s="193" t="s">
        <v>277</v>
      </c>
      <c r="G176" s="75">
        <v>25</v>
      </c>
      <c r="H176" s="20" t="s">
        <v>17</v>
      </c>
      <c r="I176" s="20" t="s">
        <v>164</v>
      </c>
      <c r="J176" s="20" t="s">
        <v>348</v>
      </c>
      <c r="K176" s="28">
        <v>847000</v>
      </c>
      <c r="L176" s="18">
        <v>42916</v>
      </c>
      <c r="M176" s="207">
        <f>MONTH(L176)</f>
        <v>6</v>
      </c>
      <c r="N176" s="17"/>
      <c r="O176" s="86"/>
      <c r="P176" s="5">
        <v>42978</v>
      </c>
      <c r="Q176" s="5"/>
      <c r="R176" s="209" t="s">
        <v>124</v>
      </c>
      <c r="S176" s="203" t="s">
        <v>124</v>
      </c>
      <c r="T176" s="5">
        <v>43068</v>
      </c>
      <c r="U176" s="211"/>
      <c r="V176" s="3"/>
      <c r="W176" s="3" t="s">
        <v>475</v>
      </c>
      <c r="X176" s="195" t="s">
        <v>262</v>
      </c>
      <c r="Y176" s="133" t="s">
        <v>790</v>
      </c>
    </row>
    <row r="177" spans="1:25" ht="51" outlineLevel="1" x14ac:dyDescent="0.25">
      <c r="A177" s="53" t="s">
        <v>17</v>
      </c>
      <c r="B177" s="53" t="s">
        <v>18</v>
      </c>
      <c r="C177" s="20" t="s">
        <v>19</v>
      </c>
      <c r="D177" s="53">
        <v>2</v>
      </c>
      <c r="E177" s="53" t="s">
        <v>9</v>
      </c>
      <c r="F177" s="199" t="s">
        <v>277</v>
      </c>
      <c r="G177" s="75">
        <v>26</v>
      </c>
      <c r="H177" s="53" t="s">
        <v>17</v>
      </c>
      <c r="I177" s="20" t="s">
        <v>510</v>
      </c>
      <c r="J177" s="20" t="s">
        <v>707</v>
      </c>
      <c r="K177" s="55">
        <v>233384</v>
      </c>
      <c r="L177" s="54">
        <v>42978</v>
      </c>
      <c r="M177" s="207">
        <f>MONTH(L177)</f>
        <v>8</v>
      </c>
      <c r="N177" s="108"/>
      <c r="O177" s="108"/>
      <c r="P177" s="109"/>
      <c r="Q177" s="5"/>
      <c r="R177" s="217" t="s">
        <v>124</v>
      </c>
      <c r="S177" s="192" t="s">
        <v>124</v>
      </c>
      <c r="T177" s="130">
        <v>43038</v>
      </c>
      <c r="U177" s="210"/>
      <c r="V177" s="59"/>
      <c r="W177" s="59"/>
      <c r="X177" s="192"/>
      <c r="Y177" s="71" t="s">
        <v>791</v>
      </c>
    </row>
    <row r="178" spans="1:25" ht="89.25" hidden="1" customHeight="1" outlineLevel="1" x14ac:dyDescent="0.25">
      <c r="A178" s="53" t="s">
        <v>17</v>
      </c>
      <c r="B178" s="53" t="s">
        <v>18</v>
      </c>
      <c r="C178" s="20" t="s">
        <v>19</v>
      </c>
      <c r="D178" s="53">
        <v>2</v>
      </c>
      <c r="E178" s="53" t="s">
        <v>9</v>
      </c>
      <c r="F178" s="53" t="s">
        <v>277</v>
      </c>
      <c r="G178" s="59"/>
      <c r="H178" s="59" t="s">
        <v>17</v>
      </c>
      <c r="I178" s="3" t="s">
        <v>739</v>
      </c>
      <c r="J178" s="3" t="s">
        <v>740</v>
      </c>
      <c r="K178" s="57">
        <v>148800</v>
      </c>
      <c r="L178" s="8" t="s">
        <v>245</v>
      </c>
      <c r="M178" s="10" t="s">
        <v>245</v>
      </c>
      <c r="N178" s="17"/>
      <c r="O178" s="108"/>
      <c r="P178" s="108"/>
      <c r="Q178" s="108"/>
      <c r="R178" s="108">
        <v>42974</v>
      </c>
      <c r="S178" s="59">
        <f t="shared" ref="S178" si="19">MONTH(R178)</f>
        <v>8</v>
      </c>
      <c r="T178" s="58"/>
      <c r="U178" s="69"/>
      <c r="V178" s="59"/>
      <c r="W178" s="59"/>
      <c r="X178" s="59"/>
      <c r="Y178" s="59"/>
    </row>
    <row r="179" spans="1:25" ht="30" hidden="1" customHeight="1" outlineLevel="1" x14ac:dyDescent="0.25">
      <c r="A179" s="20" t="s">
        <v>17</v>
      </c>
      <c r="B179" s="20" t="s">
        <v>18</v>
      </c>
      <c r="C179" s="20" t="s">
        <v>19</v>
      </c>
      <c r="D179" s="20">
        <v>2</v>
      </c>
      <c r="E179" s="20" t="s">
        <v>9</v>
      </c>
      <c r="F179" s="20" t="s">
        <v>277</v>
      </c>
      <c r="G179" s="2"/>
      <c r="H179" s="20" t="s">
        <v>17</v>
      </c>
      <c r="I179" s="20" t="s">
        <v>149</v>
      </c>
      <c r="J179" s="20" t="s">
        <v>349</v>
      </c>
      <c r="K179" s="28">
        <v>143400</v>
      </c>
      <c r="L179" s="18">
        <v>42902</v>
      </c>
      <c r="M179" s="88">
        <f t="shared" ref="M179" si="20">MONTH(L179)</f>
        <v>6</v>
      </c>
      <c r="N179" s="17"/>
      <c r="O179" s="86"/>
      <c r="P179" s="17">
        <v>42972</v>
      </c>
      <c r="Q179" s="17"/>
      <c r="R179" s="17">
        <v>42957</v>
      </c>
      <c r="S179" s="24">
        <f>MONTH(R179)</f>
        <v>8</v>
      </c>
      <c r="T179" s="5"/>
      <c r="U179" s="3"/>
      <c r="V179" s="3"/>
      <c r="W179" s="3" t="s">
        <v>476</v>
      </c>
      <c r="X179" s="3"/>
      <c r="Y179" s="59"/>
    </row>
    <row r="180" spans="1:25" ht="51" outlineLevel="1" x14ac:dyDescent="0.25">
      <c r="A180" s="53" t="s">
        <v>17</v>
      </c>
      <c r="B180" s="53" t="s">
        <v>18</v>
      </c>
      <c r="C180" s="20" t="s">
        <v>19</v>
      </c>
      <c r="D180" s="53">
        <v>2</v>
      </c>
      <c r="E180" s="53" t="s">
        <v>9</v>
      </c>
      <c r="F180" s="199" t="s">
        <v>277</v>
      </c>
      <c r="G180" s="75">
        <v>27</v>
      </c>
      <c r="H180" s="53" t="s">
        <v>17</v>
      </c>
      <c r="I180" s="20" t="s">
        <v>149</v>
      </c>
      <c r="J180" s="20" t="s">
        <v>708</v>
      </c>
      <c r="K180" s="55">
        <v>309187</v>
      </c>
      <c r="L180" s="54">
        <v>42978</v>
      </c>
      <c r="M180" s="207">
        <f>MONTH(L180)</f>
        <v>8</v>
      </c>
      <c r="N180" s="108"/>
      <c r="O180" s="108"/>
      <c r="P180" s="109"/>
      <c r="Q180" s="5"/>
      <c r="R180" s="217" t="s">
        <v>124</v>
      </c>
      <c r="S180" s="192" t="s">
        <v>124</v>
      </c>
      <c r="T180" s="58">
        <v>43068</v>
      </c>
      <c r="U180" s="210"/>
      <c r="V180" s="59"/>
      <c r="W180" s="59"/>
      <c r="X180" s="192"/>
      <c r="Y180" s="133" t="s">
        <v>793</v>
      </c>
    </row>
    <row r="181" spans="1:25" ht="25.5" hidden="1" customHeight="1" outlineLevel="1" x14ac:dyDescent="0.25">
      <c r="A181" s="3" t="s">
        <v>17</v>
      </c>
      <c r="B181" s="2" t="s">
        <v>18</v>
      </c>
      <c r="C181" s="2" t="s">
        <v>19</v>
      </c>
      <c r="D181" s="2">
        <v>2</v>
      </c>
      <c r="E181" s="2" t="s">
        <v>9</v>
      </c>
      <c r="F181" s="2" t="s">
        <v>277</v>
      </c>
      <c r="G181" s="2"/>
      <c r="H181" s="3" t="s">
        <v>17</v>
      </c>
      <c r="I181" s="3" t="s">
        <v>89</v>
      </c>
      <c r="J181" s="3" t="s">
        <v>88</v>
      </c>
      <c r="K181" s="28">
        <v>59500</v>
      </c>
      <c r="L181" s="10" t="s">
        <v>245</v>
      </c>
      <c r="M181" s="5" t="s">
        <v>245</v>
      </c>
      <c r="N181" s="17"/>
      <c r="O181" s="17"/>
      <c r="P181" s="17"/>
      <c r="Q181" s="17"/>
      <c r="R181" s="17">
        <v>42838</v>
      </c>
      <c r="S181" s="24">
        <f>MONTH(R181)</f>
        <v>4</v>
      </c>
      <c r="T181" s="5"/>
      <c r="U181" s="23"/>
      <c r="V181" s="3"/>
      <c r="W181" s="3"/>
      <c r="X181" s="3"/>
      <c r="Y181" s="59"/>
    </row>
    <row r="182" spans="1:25" ht="25.5" hidden="1" customHeight="1" outlineLevel="1" x14ac:dyDescent="0.25">
      <c r="A182" s="2" t="s">
        <v>17</v>
      </c>
      <c r="B182" s="2" t="s">
        <v>18</v>
      </c>
      <c r="C182" s="2" t="s">
        <v>19</v>
      </c>
      <c r="D182" s="2">
        <v>2</v>
      </c>
      <c r="E182" s="2" t="s">
        <v>9</v>
      </c>
      <c r="F182" s="2" t="s">
        <v>277</v>
      </c>
      <c r="G182" s="2"/>
      <c r="H182" s="2" t="s">
        <v>17</v>
      </c>
      <c r="I182" s="3" t="s">
        <v>25</v>
      </c>
      <c r="J182" s="3" t="s">
        <v>450</v>
      </c>
      <c r="K182" s="28">
        <v>386200</v>
      </c>
      <c r="L182" s="8">
        <v>42853</v>
      </c>
      <c r="M182" s="88">
        <f t="shared" ref="M182:M207" si="21">MONTH(L182)</f>
        <v>4</v>
      </c>
      <c r="N182" s="17">
        <v>42908</v>
      </c>
      <c r="O182" s="17"/>
      <c r="P182" s="17"/>
      <c r="Q182" s="17"/>
      <c r="R182" s="17">
        <v>42915</v>
      </c>
      <c r="S182" s="24">
        <f>MONTH(R182)</f>
        <v>6</v>
      </c>
      <c r="T182" s="5"/>
      <c r="U182" s="23" t="s">
        <v>118</v>
      </c>
      <c r="V182" s="3"/>
      <c r="W182" s="3"/>
      <c r="X182" s="3"/>
      <c r="Y182" s="59"/>
    </row>
    <row r="183" spans="1:25" ht="25.5" hidden="1" customHeight="1" outlineLevel="1" x14ac:dyDescent="0.25">
      <c r="A183" s="2" t="s">
        <v>17</v>
      </c>
      <c r="B183" s="2" t="s">
        <v>18</v>
      </c>
      <c r="C183" s="2" t="s">
        <v>19</v>
      </c>
      <c r="D183" s="2">
        <v>2</v>
      </c>
      <c r="E183" s="2" t="s">
        <v>9</v>
      </c>
      <c r="F183" s="2" t="s">
        <v>277</v>
      </c>
      <c r="G183" s="2"/>
      <c r="H183" s="2" t="s">
        <v>17</v>
      </c>
      <c r="I183" s="3" t="s">
        <v>160</v>
      </c>
      <c r="J183" s="3" t="s">
        <v>161</v>
      </c>
      <c r="K183" s="28">
        <v>165100</v>
      </c>
      <c r="L183" s="8">
        <v>42870</v>
      </c>
      <c r="M183" s="88">
        <f t="shared" si="21"/>
        <v>5</v>
      </c>
      <c r="N183" s="17"/>
      <c r="O183" s="17">
        <v>42916</v>
      </c>
      <c r="P183" s="17"/>
      <c r="Q183" s="17"/>
      <c r="R183" s="17">
        <v>42930</v>
      </c>
      <c r="S183" s="24">
        <f>MONTH(R183)</f>
        <v>7</v>
      </c>
      <c r="T183" s="5"/>
      <c r="U183" s="23"/>
      <c r="V183" s="3" t="s">
        <v>261</v>
      </c>
      <c r="W183" s="3" t="s">
        <v>480</v>
      </c>
      <c r="X183" s="3"/>
      <c r="Y183" s="59"/>
    </row>
    <row r="184" spans="1:25" ht="55.5" customHeight="1" outlineLevel="1" x14ac:dyDescent="0.25">
      <c r="A184" s="2" t="s">
        <v>17</v>
      </c>
      <c r="B184" s="2" t="s">
        <v>18</v>
      </c>
      <c r="C184" s="2" t="s">
        <v>19</v>
      </c>
      <c r="D184" s="2">
        <v>2</v>
      </c>
      <c r="E184" s="2" t="s">
        <v>9</v>
      </c>
      <c r="F184" s="196" t="s">
        <v>277</v>
      </c>
      <c r="G184" s="75">
        <v>28</v>
      </c>
      <c r="H184" s="2" t="s">
        <v>17</v>
      </c>
      <c r="I184" s="3" t="s">
        <v>166</v>
      </c>
      <c r="J184" s="3" t="s">
        <v>167</v>
      </c>
      <c r="K184" s="28">
        <v>285000</v>
      </c>
      <c r="L184" s="8">
        <v>42886</v>
      </c>
      <c r="M184" s="207">
        <f t="shared" si="21"/>
        <v>5</v>
      </c>
      <c r="N184" s="17"/>
      <c r="O184" s="17">
        <v>42978</v>
      </c>
      <c r="P184" s="17"/>
      <c r="Q184" s="5"/>
      <c r="R184" s="209" t="s">
        <v>124</v>
      </c>
      <c r="S184" s="203" t="s">
        <v>124</v>
      </c>
      <c r="T184" s="129">
        <v>43039</v>
      </c>
      <c r="U184" s="212"/>
      <c r="V184" s="3" t="s">
        <v>263</v>
      </c>
      <c r="W184" s="3"/>
      <c r="X184" s="195" t="s">
        <v>263</v>
      </c>
      <c r="Y184" s="71" t="s">
        <v>794</v>
      </c>
    </row>
    <row r="185" spans="1:25" ht="25.5" hidden="1" customHeight="1" outlineLevel="1" x14ac:dyDescent="0.25">
      <c r="A185" s="2" t="s">
        <v>17</v>
      </c>
      <c r="B185" s="2" t="s">
        <v>18</v>
      </c>
      <c r="C185" s="2" t="s">
        <v>19</v>
      </c>
      <c r="D185" s="2">
        <v>2</v>
      </c>
      <c r="E185" s="2" t="s">
        <v>9</v>
      </c>
      <c r="F185" s="2" t="s">
        <v>277</v>
      </c>
      <c r="G185" s="2"/>
      <c r="H185" s="2" t="s">
        <v>17</v>
      </c>
      <c r="I185" s="3" t="s">
        <v>162</v>
      </c>
      <c r="J185" s="3" t="s">
        <v>163</v>
      </c>
      <c r="K185" s="28">
        <v>109730.6</v>
      </c>
      <c r="L185" s="8">
        <v>42870</v>
      </c>
      <c r="M185" s="88">
        <f t="shared" si="21"/>
        <v>5</v>
      </c>
      <c r="N185" s="17"/>
      <c r="O185" s="17"/>
      <c r="P185" s="17"/>
      <c r="Q185" s="17"/>
      <c r="R185" s="17">
        <v>42888</v>
      </c>
      <c r="S185" s="24">
        <f>MONTH(R185)</f>
        <v>6</v>
      </c>
      <c r="T185" s="5"/>
      <c r="U185" s="23"/>
      <c r="V185" s="3"/>
      <c r="W185" s="3"/>
      <c r="X185" s="3" t="s">
        <v>648</v>
      </c>
      <c r="Y185" s="59"/>
    </row>
    <row r="186" spans="1:25" ht="51" outlineLevel="1" x14ac:dyDescent="0.25">
      <c r="A186" s="2" t="s">
        <v>17</v>
      </c>
      <c r="B186" s="2" t="s">
        <v>18</v>
      </c>
      <c r="C186" s="2" t="s">
        <v>19</v>
      </c>
      <c r="D186" s="2">
        <v>2</v>
      </c>
      <c r="E186" s="2" t="s">
        <v>9</v>
      </c>
      <c r="F186" s="196" t="s">
        <v>277</v>
      </c>
      <c r="G186" s="75">
        <v>29</v>
      </c>
      <c r="H186" s="2" t="s">
        <v>17</v>
      </c>
      <c r="I186" s="3" t="s">
        <v>162</v>
      </c>
      <c r="J186" s="3" t="s">
        <v>163</v>
      </c>
      <c r="K186" s="70">
        <v>272213</v>
      </c>
      <c r="L186" s="8">
        <v>42947</v>
      </c>
      <c r="M186" s="207">
        <f t="shared" si="21"/>
        <v>7</v>
      </c>
      <c r="N186" s="17"/>
      <c r="O186" s="17"/>
      <c r="P186" s="17"/>
      <c r="Q186" s="5">
        <v>43068</v>
      </c>
      <c r="R186" s="209" t="s">
        <v>124</v>
      </c>
      <c r="S186" s="203" t="s">
        <v>124</v>
      </c>
      <c r="T186" s="8">
        <v>43039</v>
      </c>
      <c r="U186" s="212"/>
      <c r="V186" s="3"/>
      <c r="W186" s="3"/>
      <c r="X186" s="195" t="s">
        <v>648</v>
      </c>
      <c r="Y186" s="133" t="s">
        <v>882</v>
      </c>
    </row>
    <row r="187" spans="1:25" ht="63.75" outlineLevel="1" x14ac:dyDescent="0.25">
      <c r="A187" s="3" t="s">
        <v>17</v>
      </c>
      <c r="B187" s="2" t="s">
        <v>18</v>
      </c>
      <c r="C187" s="2" t="s">
        <v>19</v>
      </c>
      <c r="D187" s="2">
        <v>2</v>
      </c>
      <c r="E187" s="2" t="s">
        <v>9</v>
      </c>
      <c r="F187" s="196" t="s">
        <v>277</v>
      </c>
      <c r="G187" s="75">
        <v>30</v>
      </c>
      <c r="H187" s="3" t="s">
        <v>17</v>
      </c>
      <c r="I187" s="3" t="s">
        <v>168</v>
      </c>
      <c r="J187" s="3" t="s">
        <v>169</v>
      </c>
      <c r="K187" s="28">
        <v>206125</v>
      </c>
      <c r="L187" s="10">
        <v>42886</v>
      </c>
      <c r="M187" s="207">
        <f t="shared" si="21"/>
        <v>5</v>
      </c>
      <c r="N187" s="17"/>
      <c r="O187" s="17">
        <v>43040</v>
      </c>
      <c r="P187" s="17"/>
      <c r="Q187" s="5">
        <v>43040</v>
      </c>
      <c r="R187" s="209" t="s">
        <v>124</v>
      </c>
      <c r="S187" s="203" t="s">
        <v>124</v>
      </c>
      <c r="T187" s="129">
        <v>43040</v>
      </c>
      <c r="U187" s="212"/>
      <c r="V187" s="3" t="s">
        <v>264</v>
      </c>
      <c r="W187" s="3"/>
      <c r="X187" s="195" t="s">
        <v>658</v>
      </c>
      <c r="Y187" s="71" t="s">
        <v>813</v>
      </c>
    </row>
    <row r="188" spans="1:25" ht="59.25" customHeight="1" outlineLevel="1" x14ac:dyDescent="0.25">
      <c r="A188" s="3" t="s">
        <v>17</v>
      </c>
      <c r="B188" s="2" t="s">
        <v>18</v>
      </c>
      <c r="C188" s="2" t="s">
        <v>19</v>
      </c>
      <c r="D188" s="2">
        <v>2</v>
      </c>
      <c r="E188" s="2" t="s">
        <v>9</v>
      </c>
      <c r="F188" s="196" t="s">
        <v>277</v>
      </c>
      <c r="G188" s="75">
        <v>31</v>
      </c>
      <c r="H188" s="3" t="s">
        <v>17</v>
      </c>
      <c r="I188" s="3" t="s">
        <v>170</v>
      </c>
      <c r="J188" s="3" t="s">
        <v>171</v>
      </c>
      <c r="K188" s="28">
        <v>207364</v>
      </c>
      <c r="L188" s="10">
        <v>42886</v>
      </c>
      <c r="M188" s="207">
        <f t="shared" si="21"/>
        <v>5</v>
      </c>
      <c r="N188" s="17"/>
      <c r="O188" s="17">
        <v>42916</v>
      </c>
      <c r="P188" s="17"/>
      <c r="Q188" s="5">
        <v>42978</v>
      </c>
      <c r="R188" s="209" t="s">
        <v>124</v>
      </c>
      <c r="S188" s="203" t="s">
        <v>124</v>
      </c>
      <c r="T188" s="129" t="s">
        <v>783</v>
      </c>
      <c r="U188" s="212"/>
      <c r="V188" s="3" t="s">
        <v>265</v>
      </c>
      <c r="W188" s="3"/>
      <c r="X188" s="195" t="s">
        <v>265</v>
      </c>
      <c r="Y188" s="71" t="s">
        <v>796</v>
      </c>
    </row>
    <row r="189" spans="1:25" ht="25.5" hidden="1" customHeight="1" x14ac:dyDescent="0.25">
      <c r="A189" s="2" t="s">
        <v>17</v>
      </c>
      <c r="B189" s="2" t="s">
        <v>18</v>
      </c>
      <c r="C189" s="2" t="s">
        <v>19</v>
      </c>
      <c r="D189" s="2">
        <v>2</v>
      </c>
      <c r="E189" s="2" t="s">
        <v>9</v>
      </c>
      <c r="F189" s="2" t="s">
        <v>277</v>
      </c>
      <c r="G189" s="2"/>
      <c r="H189" s="2" t="s">
        <v>17</v>
      </c>
      <c r="I189" s="3" t="s">
        <v>26</v>
      </c>
      <c r="J189" s="3" t="s">
        <v>27</v>
      </c>
      <c r="K189" s="28">
        <v>70430</v>
      </c>
      <c r="L189" s="8">
        <v>42855</v>
      </c>
      <c r="M189" s="88">
        <f t="shared" si="21"/>
        <v>4</v>
      </c>
      <c r="N189" s="17">
        <v>42886</v>
      </c>
      <c r="O189" s="17">
        <v>42930</v>
      </c>
      <c r="P189" s="17"/>
      <c r="Q189" s="17"/>
      <c r="R189" s="17">
        <v>42930</v>
      </c>
      <c r="S189" s="24">
        <f>MONTH(R189)</f>
        <v>7</v>
      </c>
      <c r="T189" s="5"/>
      <c r="U189" s="23" t="s">
        <v>117</v>
      </c>
      <c r="V189" s="3" t="s">
        <v>260</v>
      </c>
      <c r="W189" s="3"/>
      <c r="X189" s="3"/>
      <c r="Y189" s="59"/>
    </row>
    <row r="190" spans="1:25" ht="25.5" hidden="1" customHeight="1" x14ac:dyDescent="0.25">
      <c r="A190" s="2" t="s">
        <v>17</v>
      </c>
      <c r="B190" s="2" t="s">
        <v>18</v>
      </c>
      <c r="C190" s="2" t="s">
        <v>19</v>
      </c>
      <c r="D190" s="2">
        <v>2</v>
      </c>
      <c r="E190" s="2" t="s">
        <v>9</v>
      </c>
      <c r="F190" s="2" t="s">
        <v>277</v>
      </c>
      <c r="G190" s="2"/>
      <c r="H190" s="2" t="s">
        <v>17</v>
      </c>
      <c r="I190" s="3" t="s">
        <v>26</v>
      </c>
      <c r="J190" s="3" t="s">
        <v>28</v>
      </c>
      <c r="K190" s="28">
        <v>322300</v>
      </c>
      <c r="L190" s="8">
        <v>42855</v>
      </c>
      <c r="M190" s="88">
        <f t="shared" si="21"/>
        <v>4</v>
      </c>
      <c r="N190" s="17">
        <v>42886</v>
      </c>
      <c r="O190" s="17"/>
      <c r="P190" s="17"/>
      <c r="Q190" s="17"/>
      <c r="R190" s="17">
        <v>42886</v>
      </c>
      <c r="S190" s="24">
        <f>MONTH(R190)</f>
        <v>5</v>
      </c>
      <c r="T190" s="5"/>
      <c r="U190" s="23" t="s">
        <v>117</v>
      </c>
      <c r="V190" s="3"/>
      <c r="W190" s="3"/>
      <c r="X190" s="3"/>
      <c r="Y190" s="59"/>
    </row>
    <row r="191" spans="1:25" ht="25.5" hidden="1" customHeight="1" x14ac:dyDescent="0.25">
      <c r="A191" s="3" t="s">
        <v>172</v>
      </c>
      <c r="B191" s="2" t="s">
        <v>350</v>
      </c>
      <c r="C191" s="2" t="s">
        <v>351</v>
      </c>
      <c r="D191" s="2">
        <v>1</v>
      </c>
      <c r="E191" s="2" t="s">
        <v>39</v>
      </c>
      <c r="F191" s="2" t="s">
        <v>352</v>
      </c>
      <c r="G191" s="2"/>
      <c r="H191" s="3" t="s">
        <v>172</v>
      </c>
      <c r="I191" s="3" t="s">
        <v>173</v>
      </c>
      <c r="J191" s="3" t="s">
        <v>174</v>
      </c>
      <c r="K191" s="28">
        <v>1274000</v>
      </c>
      <c r="L191" s="10">
        <v>42886</v>
      </c>
      <c r="M191" s="88">
        <f t="shared" si="21"/>
        <v>5</v>
      </c>
      <c r="N191" s="17"/>
      <c r="O191" s="17"/>
      <c r="P191" s="17"/>
      <c r="Q191" s="17"/>
      <c r="R191" s="17">
        <v>42885</v>
      </c>
      <c r="S191" s="24">
        <f>MONTH(R191)</f>
        <v>5</v>
      </c>
      <c r="T191" s="5"/>
      <c r="U191" s="23"/>
      <c r="V191" s="3"/>
      <c r="W191" s="3"/>
      <c r="X191" s="3"/>
      <c r="Y191" s="59"/>
    </row>
    <row r="192" spans="1:25" ht="25.5" hidden="1" customHeight="1" x14ac:dyDescent="0.25">
      <c r="A192" s="3" t="s">
        <v>172</v>
      </c>
      <c r="B192" s="2" t="s">
        <v>350</v>
      </c>
      <c r="C192" s="2" t="s">
        <v>351</v>
      </c>
      <c r="D192" s="2">
        <v>1</v>
      </c>
      <c r="E192" s="2" t="s">
        <v>39</v>
      </c>
      <c r="F192" s="2" t="s">
        <v>352</v>
      </c>
      <c r="G192" s="2"/>
      <c r="H192" s="3" t="s">
        <v>172</v>
      </c>
      <c r="I192" s="3" t="s">
        <v>68</v>
      </c>
      <c r="J192" s="3" t="s">
        <v>175</v>
      </c>
      <c r="K192" s="28">
        <v>1360000</v>
      </c>
      <c r="L192" s="10">
        <v>42886</v>
      </c>
      <c r="M192" s="88">
        <f t="shared" si="21"/>
        <v>5</v>
      </c>
      <c r="N192" s="17"/>
      <c r="O192" s="17"/>
      <c r="P192" s="17"/>
      <c r="Q192" s="17"/>
      <c r="R192" s="17">
        <v>42878</v>
      </c>
      <c r="S192" s="24">
        <f>MONTH(R192)</f>
        <v>5</v>
      </c>
      <c r="T192" s="5"/>
      <c r="U192" s="23"/>
      <c r="V192" s="3"/>
      <c r="W192" s="3"/>
      <c r="X192" s="3"/>
      <c r="Y192" s="59"/>
    </row>
    <row r="193" spans="1:25" s="231" customFormat="1" ht="28.5" customHeight="1" x14ac:dyDescent="0.25">
      <c r="A193" s="3"/>
      <c r="B193" s="2"/>
      <c r="C193" s="2"/>
      <c r="D193" s="2"/>
      <c r="E193" s="2"/>
      <c r="F193" s="196"/>
      <c r="G193" s="224"/>
      <c r="H193" s="233" t="s">
        <v>172</v>
      </c>
      <c r="I193" s="224" t="s">
        <v>351</v>
      </c>
      <c r="J193" s="226">
        <f>K194</f>
        <v>1906322</v>
      </c>
      <c r="K193" s="234"/>
      <c r="L193" s="228"/>
      <c r="M193" s="207"/>
      <c r="N193" s="228"/>
      <c r="O193" s="228"/>
      <c r="P193" s="228"/>
      <c r="Q193" s="228"/>
      <c r="R193" s="208" t="s">
        <v>124</v>
      </c>
      <c r="S193" s="202"/>
      <c r="T193" s="232"/>
      <c r="U193" s="212"/>
      <c r="V193" s="3"/>
      <c r="W193" s="3"/>
      <c r="X193" s="195"/>
      <c r="Y193" s="223"/>
    </row>
    <row r="194" spans="1:25" ht="66" customHeight="1" outlineLevel="1" x14ac:dyDescent="0.25">
      <c r="A194" s="53" t="s">
        <v>172</v>
      </c>
      <c r="B194" s="53" t="s">
        <v>350</v>
      </c>
      <c r="C194" s="20" t="s">
        <v>351</v>
      </c>
      <c r="D194" s="53">
        <v>1</v>
      </c>
      <c r="E194" s="53" t="s">
        <v>39</v>
      </c>
      <c r="F194" s="199" t="s">
        <v>352</v>
      </c>
      <c r="G194" s="75">
        <v>32</v>
      </c>
      <c r="H194" s="53" t="s">
        <v>172</v>
      </c>
      <c r="I194" s="20" t="s">
        <v>709</v>
      </c>
      <c r="J194" s="20" t="s">
        <v>710</v>
      </c>
      <c r="K194" s="55">
        <v>1906322</v>
      </c>
      <c r="L194" s="54">
        <v>42978</v>
      </c>
      <c r="M194" s="207">
        <f t="shared" si="21"/>
        <v>8</v>
      </c>
      <c r="N194" s="108"/>
      <c r="O194" s="108"/>
      <c r="P194" s="109"/>
      <c r="Q194" s="5"/>
      <c r="R194" s="217" t="s">
        <v>124</v>
      </c>
      <c r="S194" s="192" t="s">
        <v>124</v>
      </c>
      <c r="T194" s="58">
        <v>43054</v>
      </c>
      <c r="U194" s="210"/>
      <c r="V194" s="59"/>
      <c r="W194" s="59"/>
      <c r="X194" s="192"/>
      <c r="Y194" s="133" t="s">
        <v>797</v>
      </c>
    </row>
    <row r="195" spans="1:25" s="231" customFormat="1" ht="42.75" customHeight="1" x14ac:dyDescent="0.25">
      <c r="A195" s="53"/>
      <c r="B195" s="53"/>
      <c r="C195" s="20"/>
      <c r="D195" s="53"/>
      <c r="E195" s="53"/>
      <c r="F195" s="199"/>
      <c r="G195" s="235"/>
      <c r="H195" s="233" t="s">
        <v>176</v>
      </c>
      <c r="I195" s="224" t="s">
        <v>354</v>
      </c>
      <c r="J195" s="234">
        <f>K196</f>
        <v>4675000</v>
      </c>
      <c r="K195" s="234"/>
      <c r="L195" s="236"/>
      <c r="M195" s="207"/>
      <c r="N195" s="229"/>
      <c r="O195" s="229"/>
      <c r="P195" s="230"/>
      <c r="Q195" s="232"/>
      <c r="R195" s="208" t="s">
        <v>124</v>
      </c>
      <c r="S195" s="192"/>
      <c r="T195" s="229"/>
      <c r="U195" s="210"/>
      <c r="V195" s="59"/>
      <c r="W195" s="59"/>
      <c r="X195" s="192"/>
      <c r="Y195" s="225"/>
    </row>
    <row r="196" spans="1:25" ht="47.25" customHeight="1" outlineLevel="1" x14ac:dyDescent="0.25">
      <c r="A196" s="53" t="s">
        <v>176</v>
      </c>
      <c r="B196" s="53" t="s">
        <v>353</v>
      </c>
      <c r="C196" s="20" t="s">
        <v>354</v>
      </c>
      <c r="D196" s="53">
        <v>2</v>
      </c>
      <c r="E196" s="53" t="s">
        <v>9</v>
      </c>
      <c r="F196" s="199" t="s">
        <v>277</v>
      </c>
      <c r="G196" s="75">
        <v>33</v>
      </c>
      <c r="H196" s="53" t="s">
        <v>176</v>
      </c>
      <c r="I196" s="20" t="s">
        <v>20</v>
      </c>
      <c r="J196" s="20" t="s">
        <v>711</v>
      </c>
      <c r="K196" s="55">
        <v>4675000</v>
      </c>
      <c r="L196" s="54">
        <v>42978</v>
      </c>
      <c r="M196" s="207">
        <f t="shared" si="21"/>
        <v>8</v>
      </c>
      <c r="N196" s="108"/>
      <c r="O196" s="108"/>
      <c r="P196" s="109"/>
      <c r="Q196" s="5"/>
      <c r="R196" s="217" t="s">
        <v>124</v>
      </c>
      <c r="S196" s="192" t="s">
        <v>124</v>
      </c>
      <c r="T196" s="58">
        <v>43018</v>
      </c>
      <c r="U196" s="210"/>
      <c r="V196" s="59"/>
      <c r="W196" s="59"/>
      <c r="X196" s="192"/>
      <c r="Y196" s="133" t="s">
        <v>798</v>
      </c>
    </row>
    <row r="197" spans="1:25" ht="63.75" hidden="1" x14ac:dyDescent="0.25">
      <c r="A197" s="3" t="s">
        <v>176</v>
      </c>
      <c r="B197" s="2" t="s">
        <v>353</v>
      </c>
      <c r="C197" s="2" t="s">
        <v>354</v>
      </c>
      <c r="D197" s="2">
        <v>2</v>
      </c>
      <c r="E197" s="2" t="s">
        <v>9</v>
      </c>
      <c r="F197" s="2" t="s">
        <v>277</v>
      </c>
      <c r="G197" s="2"/>
      <c r="H197" s="3" t="s">
        <v>176</v>
      </c>
      <c r="I197" s="3" t="s">
        <v>177</v>
      </c>
      <c r="J197" s="3" t="s">
        <v>178</v>
      </c>
      <c r="K197" s="28">
        <v>1485986</v>
      </c>
      <c r="L197" s="10">
        <v>42856</v>
      </c>
      <c r="M197" s="88">
        <f t="shared" si="21"/>
        <v>5</v>
      </c>
      <c r="N197" s="17"/>
      <c r="O197" s="17"/>
      <c r="P197" s="17"/>
      <c r="Q197" s="17"/>
      <c r="R197" s="17">
        <v>42867</v>
      </c>
      <c r="S197" s="24">
        <f>MONTH(R197)</f>
        <v>5</v>
      </c>
      <c r="T197" s="5"/>
      <c r="U197" s="23"/>
      <c r="V197" s="3"/>
      <c r="W197" s="3"/>
      <c r="X197" s="3"/>
      <c r="Y197" s="59"/>
    </row>
    <row r="198" spans="1:25" ht="51" hidden="1" customHeight="1" x14ac:dyDescent="0.25">
      <c r="A198" s="20" t="s">
        <v>355</v>
      </c>
      <c r="B198" s="20" t="s">
        <v>356</v>
      </c>
      <c r="C198" s="20" t="s">
        <v>102</v>
      </c>
      <c r="D198" s="20">
        <v>1</v>
      </c>
      <c r="E198" s="20" t="s">
        <v>70</v>
      </c>
      <c r="F198" s="20" t="s">
        <v>277</v>
      </c>
      <c r="G198" s="2"/>
      <c r="H198" s="20" t="s">
        <v>355</v>
      </c>
      <c r="I198" s="20" t="s">
        <v>357</v>
      </c>
      <c r="J198" s="20" t="s">
        <v>358</v>
      </c>
      <c r="K198" s="28">
        <v>935000</v>
      </c>
      <c r="L198" s="18">
        <v>42916</v>
      </c>
      <c r="M198" s="88">
        <f t="shared" si="21"/>
        <v>6</v>
      </c>
      <c r="N198" s="17"/>
      <c r="O198" s="86"/>
      <c r="P198" s="17">
        <v>42978</v>
      </c>
      <c r="Q198" s="17"/>
      <c r="R198" s="17">
        <v>42965</v>
      </c>
      <c r="S198" s="24">
        <f>MONTH(R198)</f>
        <v>8</v>
      </c>
      <c r="T198" s="5"/>
      <c r="U198" s="3"/>
      <c r="V198" s="3"/>
      <c r="W198" s="3" t="s">
        <v>483</v>
      </c>
      <c r="X198" s="3" t="s">
        <v>483</v>
      </c>
      <c r="Y198" s="59"/>
    </row>
    <row r="199" spans="1:25" ht="76.5" hidden="1" x14ac:dyDescent="0.25">
      <c r="A199" s="20" t="s">
        <v>355</v>
      </c>
      <c r="B199" s="20" t="s">
        <v>356</v>
      </c>
      <c r="C199" s="20" t="s">
        <v>102</v>
      </c>
      <c r="D199" s="20">
        <v>1</v>
      </c>
      <c r="E199" s="20" t="s">
        <v>70</v>
      </c>
      <c r="F199" s="20" t="s">
        <v>277</v>
      </c>
      <c r="G199" s="2"/>
      <c r="H199" s="20" t="s">
        <v>355</v>
      </c>
      <c r="I199" s="20" t="s">
        <v>357</v>
      </c>
      <c r="J199" s="20" t="s">
        <v>359</v>
      </c>
      <c r="K199" s="28">
        <v>986000</v>
      </c>
      <c r="L199" s="18">
        <v>42916</v>
      </c>
      <c r="M199" s="88">
        <f t="shared" si="21"/>
        <v>6</v>
      </c>
      <c r="N199" s="17"/>
      <c r="O199" s="86"/>
      <c r="P199" s="17">
        <v>42978</v>
      </c>
      <c r="Q199" s="17"/>
      <c r="R199" s="17">
        <v>42965</v>
      </c>
      <c r="S199" s="24">
        <f>MONTH(R199)</f>
        <v>8</v>
      </c>
      <c r="T199" s="5"/>
      <c r="U199" s="3"/>
      <c r="V199" s="3"/>
      <c r="W199" s="3" t="s">
        <v>483</v>
      </c>
      <c r="X199" s="3" t="s">
        <v>483</v>
      </c>
      <c r="Y199" s="59"/>
    </row>
    <row r="200" spans="1:25" s="231" customFormat="1" ht="32.25" customHeight="1" x14ac:dyDescent="0.25">
      <c r="A200" s="20"/>
      <c r="B200" s="20"/>
      <c r="C200" s="20"/>
      <c r="D200" s="20"/>
      <c r="E200" s="20"/>
      <c r="F200" s="193"/>
      <c r="G200" s="224"/>
      <c r="H200" s="224" t="s">
        <v>355</v>
      </c>
      <c r="I200" s="224" t="s">
        <v>102</v>
      </c>
      <c r="J200" s="234">
        <f>K201+K202+K203</f>
        <v>1105000</v>
      </c>
      <c r="K200" s="234"/>
      <c r="L200" s="232"/>
      <c r="M200" s="207"/>
      <c r="N200" s="228"/>
      <c r="O200" s="225"/>
      <c r="P200" s="228"/>
      <c r="Q200" s="228"/>
      <c r="R200" s="208" t="s">
        <v>124</v>
      </c>
      <c r="S200" s="202"/>
      <c r="T200" s="232"/>
      <c r="U200" s="211"/>
      <c r="V200" s="3"/>
      <c r="W200" s="3"/>
      <c r="X200" s="195"/>
      <c r="Y200" s="223"/>
    </row>
    <row r="201" spans="1:25" ht="64.5" hidden="1" customHeight="1" outlineLevel="1" x14ac:dyDescent="0.25">
      <c r="A201" s="20" t="s">
        <v>355</v>
      </c>
      <c r="B201" s="20" t="s">
        <v>356</v>
      </c>
      <c r="C201" s="20" t="s">
        <v>102</v>
      </c>
      <c r="D201" s="20">
        <v>1</v>
      </c>
      <c r="E201" s="20" t="s">
        <v>70</v>
      </c>
      <c r="F201" s="193" t="s">
        <v>277</v>
      </c>
      <c r="G201" s="75">
        <v>35</v>
      </c>
      <c r="H201" s="20" t="s">
        <v>355</v>
      </c>
      <c r="I201" s="20" t="s">
        <v>357</v>
      </c>
      <c r="J201" s="20" t="s">
        <v>360</v>
      </c>
      <c r="K201" s="28">
        <v>484500</v>
      </c>
      <c r="L201" s="18">
        <v>42916</v>
      </c>
      <c r="M201" s="207">
        <f t="shared" si="21"/>
        <v>6</v>
      </c>
      <c r="N201" s="17"/>
      <c r="O201" s="86"/>
      <c r="P201" s="17">
        <v>43008</v>
      </c>
      <c r="Q201" s="5">
        <v>43008</v>
      </c>
      <c r="R201" s="209">
        <v>42999</v>
      </c>
      <c r="S201" s="202">
        <f>MONTH(R201)</f>
        <v>9</v>
      </c>
      <c r="T201" s="5">
        <v>43008</v>
      </c>
      <c r="U201" s="211"/>
      <c r="V201" s="3"/>
      <c r="W201" s="3" t="s">
        <v>484</v>
      </c>
      <c r="X201" s="195" t="s">
        <v>654</v>
      </c>
      <c r="Y201" s="71" t="s">
        <v>821</v>
      </c>
    </row>
    <row r="202" spans="1:25" ht="67.5" customHeight="1" outlineLevel="1" x14ac:dyDescent="0.25">
      <c r="A202" s="20" t="s">
        <v>355</v>
      </c>
      <c r="B202" s="20" t="s">
        <v>356</v>
      </c>
      <c r="C202" s="20" t="s">
        <v>102</v>
      </c>
      <c r="D202" s="20">
        <v>1</v>
      </c>
      <c r="E202" s="20" t="s">
        <v>70</v>
      </c>
      <c r="F202" s="193" t="s">
        <v>277</v>
      </c>
      <c r="G202" s="75">
        <v>34</v>
      </c>
      <c r="H202" s="20" t="s">
        <v>355</v>
      </c>
      <c r="I202" s="20" t="s">
        <v>357</v>
      </c>
      <c r="J202" s="20" t="s">
        <v>361</v>
      </c>
      <c r="K202" s="28">
        <v>348500</v>
      </c>
      <c r="L202" s="18">
        <v>42916</v>
      </c>
      <c r="M202" s="207">
        <f t="shared" si="21"/>
        <v>6</v>
      </c>
      <c r="N202" s="17"/>
      <c r="O202" s="86"/>
      <c r="P202" s="17">
        <v>43008</v>
      </c>
      <c r="Q202" s="5">
        <v>43008</v>
      </c>
      <c r="R202" s="209" t="s">
        <v>124</v>
      </c>
      <c r="S202" s="203" t="s">
        <v>124</v>
      </c>
      <c r="T202" s="5">
        <v>43008</v>
      </c>
      <c r="U202" s="211"/>
      <c r="V202" s="3"/>
      <c r="W202" s="3" t="s">
        <v>485</v>
      </c>
      <c r="X202" s="195" t="s">
        <v>653</v>
      </c>
      <c r="Y202" s="71" t="s">
        <v>822</v>
      </c>
    </row>
    <row r="203" spans="1:25" ht="89.25" customHeight="1" outlineLevel="1" x14ac:dyDescent="0.25">
      <c r="A203" s="53" t="s">
        <v>355</v>
      </c>
      <c r="B203" s="53" t="s">
        <v>356</v>
      </c>
      <c r="C203" s="20" t="s">
        <v>102</v>
      </c>
      <c r="D203" s="53">
        <v>1</v>
      </c>
      <c r="E203" s="53" t="s">
        <v>70</v>
      </c>
      <c r="F203" s="199" t="s">
        <v>277</v>
      </c>
      <c r="G203" s="75">
        <v>35</v>
      </c>
      <c r="H203" s="53" t="s">
        <v>355</v>
      </c>
      <c r="I203" s="20" t="s">
        <v>357</v>
      </c>
      <c r="J203" s="20" t="s">
        <v>712</v>
      </c>
      <c r="K203" s="55">
        <v>272000</v>
      </c>
      <c r="L203" s="54">
        <v>42978</v>
      </c>
      <c r="M203" s="207">
        <f t="shared" si="21"/>
        <v>8</v>
      </c>
      <c r="N203" s="108"/>
      <c r="O203" s="108"/>
      <c r="P203" s="109"/>
      <c r="Q203" s="5"/>
      <c r="R203" s="217" t="s">
        <v>124</v>
      </c>
      <c r="S203" s="192" t="s">
        <v>124</v>
      </c>
      <c r="T203" s="108">
        <v>43039</v>
      </c>
      <c r="U203" s="210"/>
      <c r="V203" s="59"/>
      <c r="W203" s="59"/>
      <c r="X203" s="192"/>
      <c r="Y203" s="71" t="s">
        <v>823</v>
      </c>
    </row>
    <row r="204" spans="1:25" s="231" customFormat="1" ht="19.5" customHeight="1" x14ac:dyDescent="0.25">
      <c r="A204" s="53"/>
      <c r="B204" s="53"/>
      <c r="C204" s="20"/>
      <c r="D204" s="53"/>
      <c r="E204" s="53"/>
      <c r="F204" s="199"/>
      <c r="G204" s="235"/>
      <c r="H204" s="233" t="s">
        <v>29</v>
      </c>
      <c r="I204" s="224" t="s">
        <v>31</v>
      </c>
      <c r="J204" s="234">
        <f>K236+K237+K238+K239+K240</f>
        <v>5092442</v>
      </c>
      <c r="K204" s="234"/>
      <c r="L204" s="236"/>
      <c r="M204" s="207"/>
      <c r="N204" s="229"/>
      <c r="O204" s="229"/>
      <c r="P204" s="230"/>
      <c r="Q204" s="232"/>
      <c r="R204" s="217" t="s">
        <v>124</v>
      </c>
      <c r="S204" s="192"/>
      <c r="T204" s="229"/>
      <c r="U204" s="210"/>
      <c r="V204" s="59"/>
      <c r="W204" s="59"/>
      <c r="X204" s="192"/>
      <c r="Y204" s="225"/>
    </row>
    <row r="205" spans="1:25" ht="25.5" hidden="1" x14ac:dyDescent="0.25">
      <c r="A205" s="53" t="s">
        <v>29</v>
      </c>
      <c r="B205" s="53" t="s">
        <v>30</v>
      </c>
      <c r="C205" s="20" t="s">
        <v>31</v>
      </c>
      <c r="D205" s="53">
        <v>2</v>
      </c>
      <c r="E205" s="53" t="s">
        <v>9</v>
      </c>
      <c r="F205" s="53" t="s">
        <v>352</v>
      </c>
      <c r="G205" s="2"/>
      <c r="H205" s="53" t="s">
        <v>29</v>
      </c>
      <c r="I205" s="20" t="s">
        <v>519</v>
      </c>
      <c r="J205" s="20" t="s">
        <v>572</v>
      </c>
      <c r="K205" s="55">
        <v>682760</v>
      </c>
      <c r="L205" s="54">
        <v>42936</v>
      </c>
      <c r="M205" s="88">
        <f t="shared" si="21"/>
        <v>7</v>
      </c>
      <c r="N205" s="17"/>
      <c r="O205" s="5"/>
      <c r="P205" s="5"/>
      <c r="Q205" s="5"/>
      <c r="R205" s="106">
        <v>42951</v>
      </c>
      <c r="S205" s="24">
        <f t="shared" ref="S205:S243" si="22">MONTH(R205)</f>
        <v>8</v>
      </c>
      <c r="T205" s="10"/>
      <c r="U205" s="3"/>
      <c r="V205" s="59"/>
      <c r="W205" s="59"/>
      <c r="X205" s="59"/>
      <c r="Y205" s="59"/>
    </row>
    <row r="206" spans="1:25" ht="25.5" hidden="1" customHeight="1" x14ac:dyDescent="0.25">
      <c r="A206" s="53" t="s">
        <v>29</v>
      </c>
      <c r="B206" s="53" t="s">
        <v>30</v>
      </c>
      <c r="C206" s="20" t="s">
        <v>31</v>
      </c>
      <c r="D206" s="53">
        <v>2</v>
      </c>
      <c r="E206" s="53" t="s">
        <v>9</v>
      </c>
      <c r="F206" s="53" t="s">
        <v>352</v>
      </c>
      <c r="G206" s="2"/>
      <c r="H206" s="53" t="s">
        <v>29</v>
      </c>
      <c r="I206" s="20" t="s">
        <v>520</v>
      </c>
      <c r="J206" s="20" t="s">
        <v>521</v>
      </c>
      <c r="K206" s="55">
        <v>413655.65</v>
      </c>
      <c r="L206" s="54">
        <v>42917</v>
      </c>
      <c r="M206" s="88">
        <f t="shared" si="21"/>
        <v>7</v>
      </c>
      <c r="N206" s="17"/>
      <c r="O206" s="5"/>
      <c r="P206" s="5"/>
      <c r="Q206" s="5"/>
      <c r="R206" s="106">
        <v>42949</v>
      </c>
      <c r="S206" s="24">
        <f t="shared" si="22"/>
        <v>8</v>
      </c>
      <c r="T206" s="10"/>
      <c r="U206" s="3"/>
      <c r="V206" s="59"/>
      <c r="W206" s="59"/>
      <c r="X206" s="59"/>
      <c r="Y206" s="59"/>
    </row>
    <row r="207" spans="1:25" ht="25.5" hidden="1" x14ac:dyDescent="0.25">
      <c r="A207" s="53" t="s">
        <v>29</v>
      </c>
      <c r="B207" s="53" t="s">
        <v>30</v>
      </c>
      <c r="C207" s="20" t="s">
        <v>31</v>
      </c>
      <c r="D207" s="53">
        <v>2</v>
      </c>
      <c r="E207" s="53" t="s">
        <v>9</v>
      </c>
      <c r="F207" s="53" t="s">
        <v>352</v>
      </c>
      <c r="G207" s="2"/>
      <c r="H207" s="53" t="s">
        <v>29</v>
      </c>
      <c r="I207" s="20" t="s">
        <v>576</v>
      </c>
      <c r="J207" s="20" t="s">
        <v>577</v>
      </c>
      <c r="K207" s="70">
        <v>1551470</v>
      </c>
      <c r="L207" s="54">
        <v>42951</v>
      </c>
      <c r="M207" s="88">
        <f t="shared" si="21"/>
        <v>8</v>
      </c>
      <c r="N207" s="97"/>
      <c r="O207" s="110"/>
      <c r="P207" s="108"/>
      <c r="Q207" s="108"/>
      <c r="R207" s="108">
        <v>42950</v>
      </c>
      <c r="S207" s="24">
        <f t="shared" si="22"/>
        <v>8</v>
      </c>
      <c r="T207" s="59"/>
      <c r="U207" s="3"/>
      <c r="V207" s="3"/>
      <c r="W207" s="59"/>
      <c r="X207" s="59"/>
      <c r="Y207" s="59"/>
    </row>
    <row r="208" spans="1:25" ht="25.5" hidden="1" customHeight="1" x14ac:dyDescent="0.25">
      <c r="A208" s="53" t="s">
        <v>29</v>
      </c>
      <c r="B208" s="53" t="s">
        <v>30</v>
      </c>
      <c r="C208" s="20" t="s">
        <v>31</v>
      </c>
      <c r="D208" s="53">
        <v>2</v>
      </c>
      <c r="E208" s="53" t="s">
        <v>9</v>
      </c>
      <c r="F208" s="53" t="s">
        <v>352</v>
      </c>
      <c r="G208" s="2"/>
      <c r="H208" s="3" t="s">
        <v>29</v>
      </c>
      <c r="I208" s="20" t="s">
        <v>578</v>
      </c>
      <c r="J208" s="20" t="s">
        <v>579</v>
      </c>
      <c r="K208" s="70">
        <v>164668</v>
      </c>
      <c r="L208" s="124" t="s">
        <v>245</v>
      </c>
      <c r="M208" s="88" t="s">
        <v>245</v>
      </c>
      <c r="N208" s="97"/>
      <c r="O208" s="110"/>
      <c r="P208" s="108"/>
      <c r="Q208" s="108"/>
      <c r="R208" s="108">
        <v>42944</v>
      </c>
      <c r="S208" s="24">
        <f t="shared" si="22"/>
        <v>7</v>
      </c>
      <c r="T208" s="59"/>
      <c r="U208" s="3"/>
      <c r="V208" s="3"/>
      <c r="W208" s="59"/>
      <c r="X208" s="59"/>
      <c r="Y208" s="59"/>
    </row>
    <row r="209" spans="1:25" ht="25.5" hidden="1" x14ac:dyDescent="0.25">
      <c r="A209" s="53" t="s">
        <v>29</v>
      </c>
      <c r="B209" s="53" t="s">
        <v>30</v>
      </c>
      <c r="C209" s="20" t="s">
        <v>31</v>
      </c>
      <c r="D209" s="53">
        <v>2</v>
      </c>
      <c r="E209" s="53" t="s">
        <v>9</v>
      </c>
      <c r="F209" s="53" t="s">
        <v>352</v>
      </c>
      <c r="G209" s="2"/>
      <c r="H209" s="53" t="s">
        <v>29</v>
      </c>
      <c r="I209" s="20" t="s">
        <v>522</v>
      </c>
      <c r="J209" s="20" t="s">
        <v>523</v>
      </c>
      <c r="K209" s="55">
        <v>895377</v>
      </c>
      <c r="L209" s="54">
        <v>42947</v>
      </c>
      <c r="M209" s="88">
        <f t="shared" ref="M209:M220" si="23">MONTH(L209)</f>
        <v>7</v>
      </c>
      <c r="N209" s="17"/>
      <c r="O209" s="5"/>
      <c r="P209" s="5"/>
      <c r="Q209" s="5"/>
      <c r="R209" s="106">
        <v>42949</v>
      </c>
      <c r="S209" s="24">
        <f t="shared" si="22"/>
        <v>8</v>
      </c>
      <c r="T209" s="10"/>
      <c r="U209" s="3"/>
      <c r="V209" s="59"/>
      <c r="W209" s="59"/>
      <c r="X209" s="59"/>
      <c r="Y209" s="59"/>
    </row>
    <row r="210" spans="1:25" ht="25.5" hidden="1" customHeight="1" x14ac:dyDescent="0.25">
      <c r="A210" s="53" t="s">
        <v>29</v>
      </c>
      <c r="B210" s="53" t="s">
        <v>30</v>
      </c>
      <c r="C210" s="20" t="s">
        <v>31</v>
      </c>
      <c r="D210" s="53">
        <v>2</v>
      </c>
      <c r="E210" s="53" t="s">
        <v>9</v>
      </c>
      <c r="F210" s="53" t="s">
        <v>352</v>
      </c>
      <c r="G210" s="2"/>
      <c r="H210" s="53" t="s">
        <v>29</v>
      </c>
      <c r="I210" s="3" t="s">
        <v>563</v>
      </c>
      <c r="J210" s="3" t="s">
        <v>564</v>
      </c>
      <c r="K210" s="57">
        <v>527454.43000000005</v>
      </c>
      <c r="L210" s="58">
        <v>42951</v>
      </c>
      <c r="M210" s="88">
        <f t="shared" si="23"/>
        <v>8</v>
      </c>
      <c r="N210" s="17"/>
      <c r="O210" s="108"/>
      <c r="P210" s="108"/>
      <c r="Q210" s="108"/>
      <c r="R210" s="108">
        <v>42948</v>
      </c>
      <c r="S210" s="24">
        <f t="shared" si="22"/>
        <v>8</v>
      </c>
      <c r="T210" s="58"/>
      <c r="U210" s="59"/>
      <c r="V210" s="59"/>
      <c r="W210" s="3"/>
      <c r="X210" s="3"/>
      <c r="Y210" s="59"/>
    </row>
    <row r="211" spans="1:25" ht="25.5" hidden="1" customHeight="1" x14ac:dyDescent="0.25">
      <c r="A211" s="53" t="s">
        <v>29</v>
      </c>
      <c r="B211" s="53" t="s">
        <v>30</v>
      </c>
      <c r="C211" s="20" t="s">
        <v>31</v>
      </c>
      <c r="D211" s="53">
        <v>2</v>
      </c>
      <c r="E211" s="53" t="s">
        <v>9</v>
      </c>
      <c r="F211" s="53" t="s">
        <v>352</v>
      </c>
      <c r="G211" s="2"/>
      <c r="H211" s="53" t="s">
        <v>29</v>
      </c>
      <c r="I211" s="20" t="s">
        <v>580</v>
      </c>
      <c r="J211" s="20" t="s">
        <v>581</v>
      </c>
      <c r="K211" s="70">
        <v>383480</v>
      </c>
      <c r="L211" s="54">
        <v>42948</v>
      </c>
      <c r="M211" s="88">
        <f t="shared" si="23"/>
        <v>8</v>
      </c>
      <c r="N211" s="97"/>
      <c r="O211" s="110"/>
      <c r="P211" s="108"/>
      <c r="Q211" s="108"/>
      <c r="R211" s="108">
        <v>42950</v>
      </c>
      <c r="S211" s="24">
        <f t="shared" si="22"/>
        <v>8</v>
      </c>
      <c r="T211" s="59"/>
      <c r="U211" s="3"/>
      <c r="V211" s="3"/>
      <c r="W211" s="59"/>
      <c r="X211" s="59"/>
      <c r="Y211" s="59"/>
    </row>
    <row r="212" spans="1:25" ht="63.75" hidden="1" customHeight="1" x14ac:dyDescent="0.25">
      <c r="A212" s="53" t="s">
        <v>29</v>
      </c>
      <c r="B212" s="53" t="s">
        <v>30</v>
      </c>
      <c r="C212" s="20" t="s">
        <v>31</v>
      </c>
      <c r="D212" s="53">
        <v>2</v>
      </c>
      <c r="E212" s="53" t="s">
        <v>9</v>
      </c>
      <c r="F212" s="53" t="s">
        <v>352</v>
      </c>
      <c r="G212" s="2"/>
      <c r="H212" s="53" t="s">
        <v>29</v>
      </c>
      <c r="I212" s="20" t="s">
        <v>524</v>
      </c>
      <c r="J212" s="20" t="s">
        <v>525</v>
      </c>
      <c r="K212" s="55">
        <v>409360</v>
      </c>
      <c r="L212" s="54">
        <v>42926</v>
      </c>
      <c r="M212" s="88">
        <f t="shared" si="23"/>
        <v>7</v>
      </c>
      <c r="N212" s="17"/>
      <c r="O212" s="5"/>
      <c r="P212" s="5"/>
      <c r="Q212" s="5"/>
      <c r="R212" s="106">
        <v>42950</v>
      </c>
      <c r="S212" s="24">
        <f t="shared" si="22"/>
        <v>8</v>
      </c>
      <c r="T212" s="10"/>
      <c r="U212" s="3"/>
      <c r="V212" s="59"/>
      <c r="W212" s="59"/>
      <c r="X212" s="59"/>
      <c r="Y212" s="59"/>
    </row>
    <row r="213" spans="1:25" ht="51" hidden="1" customHeight="1" x14ac:dyDescent="0.25">
      <c r="A213" s="20" t="s">
        <v>29</v>
      </c>
      <c r="B213" s="20" t="s">
        <v>30</v>
      </c>
      <c r="C213" s="20" t="s">
        <v>31</v>
      </c>
      <c r="D213" s="20">
        <v>2</v>
      </c>
      <c r="E213" s="20" t="s">
        <v>9</v>
      </c>
      <c r="F213" s="20" t="s">
        <v>352</v>
      </c>
      <c r="G213" s="2"/>
      <c r="H213" s="20" t="s">
        <v>29</v>
      </c>
      <c r="I213" s="20" t="s">
        <v>362</v>
      </c>
      <c r="J213" s="20" t="s">
        <v>363</v>
      </c>
      <c r="K213" s="28">
        <v>644334</v>
      </c>
      <c r="L213" s="18">
        <v>42916</v>
      </c>
      <c r="M213" s="88">
        <f t="shared" si="23"/>
        <v>6</v>
      </c>
      <c r="N213" s="17"/>
      <c r="O213" s="86"/>
      <c r="P213" s="17">
        <v>42950</v>
      </c>
      <c r="Q213" s="17"/>
      <c r="R213" s="17">
        <v>42951</v>
      </c>
      <c r="S213" s="24">
        <f t="shared" si="22"/>
        <v>8</v>
      </c>
      <c r="T213" s="5"/>
      <c r="U213" s="3"/>
      <c r="V213" s="3"/>
      <c r="W213" s="3" t="s">
        <v>486</v>
      </c>
      <c r="X213" s="3"/>
      <c r="Y213" s="59"/>
    </row>
    <row r="214" spans="1:25" ht="51" hidden="1" customHeight="1" x14ac:dyDescent="0.25">
      <c r="A214" s="53" t="s">
        <v>29</v>
      </c>
      <c r="B214" s="53" t="s">
        <v>30</v>
      </c>
      <c r="C214" s="20" t="s">
        <v>31</v>
      </c>
      <c r="D214" s="53">
        <v>2</v>
      </c>
      <c r="E214" s="53" t="s">
        <v>9</v>
      </c>
      <c r="F214" s="53" t="s">
        <v>352</v>
      </c>
      <c r="G214" s="2"/>
      <c r="H214" s="53" t="s">
        <v>29</v>
      </c>
      <c r="I214" s="20" t="s">
        <v>582</v>
      </c>
      <c r="J214" s="20" t="s">
        <v>583</v>
      </c>
      <c r="K214" s="70">
        <v>1874760</v>
      </c>
      <c r="L214" s="54">
        <v>42951</v>
      </c>
      <c r="M214" s="88">
        <f t="shared" si="23"/>
        <v>8</v>
      </c>
      <c r="N214" s="97"/>
      <c r="O214" s="110"/>
      <c r="P214" s="108"/>
      <c r="Q214" s="108"/>
      <c r="R214" s="108">
        <v>42950</v>
      </c>
      <c r="S214" s="24">
        <f t="shared" si="22"/>
        <v>8</v>
      </c>
      <c r="T214" s="59"/>
      <c r="U214" s="3"/>
      <c r="V214" s="3"/>
      <c r="W214" s="59"/>
      <c r="X214" s="59"/>
      <c r="Y214" s="59"/>
    </row>
    <row r="215" spans="1:25" ht="63.75" hidden="1" customHeight="1" x14ac:dyDescent="0.25">
      <c r="A215" s="53" t="s">
        <v>29</v>
      </c>
      <c r="B215" s="53" t="s">
        <v>30</v>
      </c>
      <c r="C215" s="20" t="s">
        <v>31</v>
      </c>
      <c r="D215" s="53">
        <v>2</v>
      </c>
      <c r="E215" s="53" t="s">
        <v>9</v>
      </c>
      <c r="F215" s="53" t="s">
        <v>352</v>
      </c>
      <c r="G215" s="2"/>
      <c r="H215" s="3" t="s">
        <v>29</v>
      </c>
      <c r="I215" s="20" t="s">
        <v>584</v>
      </c>
      <c r="J215" s="20" t="s">
        <v>585</v>
      </c>
      <c r="K215" s="70">
        <v>5034788</v>
      </c>
      <c r="L215" s="54">
        <v>42951</v>
      </c>
      <c r="M215" s="88">
        <f t="shared" si="23"/>
        <v>8</v>
      </c>
      <c r="N215" s="97"/>
      <c r="O215" s="110"/>
      <c r="P215" s="108"/>
      <c r="Q215" s="108"/>
      <c r="R215" s="108">
        <v>42951</v>
      </c>
      <c r="S215" s="24">
        <f t="shared" si="22"/>
        <v>8</v>
      </c>
      <c r="T215" s="59"/>
      <c r="U215" s="3"/>
      <c r="V215" s="3"/>
      <c r="W215" s="59"/>
      <c r="X215" s="59"/>
      <c r="Y215" s="59"/>
    </row>
    <row r="216" spans="1:25" ht="140.25" hidden="1" customHeight="1" x14ac:dyDescent="0.25">
      <c r="A216" s="53" t="s">
        <v>29</v>
      </c>
      <c r="B216" s="53" t="s">
        <v>30</v>
      </c>
      <c r="C216" s="20" t="s">
        <v>31</v>
      </c>
      <c r="D216" s="53">
        <v>2</v>
      </c>
      <c r="E216" s="53" t="s">
        <v>9</v>
      </c>
      <c r="F216" s="53" t="s">
        <v>352</v>
      </c>
      <c r="G216" s="2"/>
      <c r="H216" s="53" t="s">
        <v>29</v>
      </c>
      <c r="I216" s="20" t="s">
        <v>586</v>
      </c>
      <c r="J216" s="20" t="s">
        <v>587</v>
      </c>
      <c r="K216" s="70">
        <v>180115</v>
      </c>
      <c r="L216" s="54">
        <v>42948</v>
      </c>
      <c r="M216" s="88">
        <f t="shared" si="23"/>
        <v>8</v>
      </c>
      <c r="N216" s="97"/>
      <c r="O216" s="110"/>
      <c r="P216" s="108"/>
      <c r="Q216" s="108"/>
      <c r="R216" s="108">
        <v>42949</v>
      </c>
      <c r="S216" s="24">
        <f t="shared" si="22"/>
        <v>8</v>
      </c>
      <c r="T216" s="59"/>
      <c r="U216" s="3"/>
      <c r="V216" s="3"/>
      <c r="W216" s="59"/>
      <c r="X216" s="59"/>
      <c r="Y216" s="59"/>
    </row>
    <row r="217" spans="1:25" ht="51" hidden="1" customHeight="1" x14ac:dyDescent="0.25">
      <c r="A217" s="53" t="s">
        <v>29</v>
      </c>
      <c r="B217" s="53" t="s">
        <v>30</v>
      </c>
      <c r="C217" s="20" t="s">
        <v>31</v>
      </c>
      <c r="D217" s="53">
        <v>2</v>
      </c>
      <c r="E217" s="53" t="s">
        <v>9</v>
      </c>
      <c r="F217" s="53" t="s">
        <v>352</v>
      </c>
      <c r="G217" s="2"/>
      <c r="H217" s="53" t="s">
        <v>29</v>
      </c>
      <c r="I217" s="20" t="s">
        <v>588</v>
      </c>
      <c r="J217" s="20" t="s">
        <v>589</v>
      </c>
      <c r="K217" s="70">
        <v>935022</v>
      </c>
      <c r="L217" s="54">
        <v>42951</v>
      </c>
      <c r="M217" s="88">
        <f t="shared" si="23"/>
        <v>8</v>
      </c>
      <c r="N217" s="97"/>
      <c r="O217" s="110"/>
      <c r="P217" s="108"/>
      <c r="Q217" s="108"/>
      <c r="R217" s="108">
        <v>42949</v>
      </c>
      <c r="S217" s="24">
        <f t="shared" si="22"/>
        <v>8</v>
      </c>
      <c r="T217" s="59"/>
      <c r="U217" s="3"/>
      <c r="V217" s="3"/>
      <c r="W217" s="59"/>
      <c r="X217" s="59"/>
      <c r="Y217" s="59"/>
    </row>
    <row r="218" spans="1:25" ht="38.25" hidden="1" customHeight="1" x14ac:dyDescent="0.25">
      <c r="A218" s="53" t="s">
        <v>29</v>
      </c>
      <c r="B218" s="53" t="s">
        <v>30</v>
      </c>
      <c r="C218" s="20" t="s">
        <v>31</v>
      </c>
      <c r="D218" s="53">
        <v>2</v>
      </c>
      <c r="E218" s="53" t="s">
        <v>9</v>
      </c>
      <c r="F218" s="53" t="s">
        <v>352</v>
      </c>
      <c r="G218" s="2"/>
      <c r="H218" s="53" t="s">
        <v>29</v>
      </c>
      <c r="I218" s="20" t="s">
        <v>590</v>
      </c>
      <c r="J218" s="20" t="s">
        <v>591</v>
      </c>
      <c r="K218" s="70">
        <v>841303</v>
      </c>
      <c r="L218" s="54">
        <v>42948</v>
      </c>
      <c r="M218" s="88">
        <f t="shared" si="23"/>
        <v>8</v>
      </c>
      <c r="N218" s="97"/>
      <c r="O218" s="110"/>
      <c r="P218" s="108"/>
      <c r="Q218" s="108"/>
      <c r="R218" s="108">
        <v>42951</v>
      </c>
      <c r="S218" s="24">
        <f t="shared" si="22"/>
        <v>8</v>
      </c>
      <c r="T218" s="59"/>
      <c r="U218" s="3"/>
      <c r="V218" s="3"/>
      <c r="W218" s="59"/>
      <c r="X218" s="59"/>
      <c r="Y218" s="59"/>
    </row>
    <row r="219" spans="1:25" ht="76.5" hidden="1" customHeight="1" x14ac:dyDescent="0.25">
      <c r="A219" s="53" t="s">
        <v>29</v>
      </c>
      <c r="B219" s="53" t="s">
        <v>30</v>
      </c>
      <c r="C219" s="20" t="s">
        <v>31</v>
      </c>
      <c r="D219" s="53">
        <v>2</v>
      </c>
      <c r="E219" s="53" t="s">
        <v>9</v>
      </c>
      <c r="F219" s="53" t="s">
        <v>352</v>
      </c>
      <c r="G219" s="2"/>
      <c r="H219" s="53" t="s">
        <v>29</v>
      </c>
      <c r="I219" s="20" t="s">
        <v>526</v>
      </c>
      <c r="J219" s="20" t="s">
        <v>574</v>
      </c>
      <c r="K219" s="55">
        <v>387628</v>
      </c>
      <c r="L219" s="54">
        <v>42936</v>
      </c>
      <c r="M219" s="88">
        <f t="shared" si="23"/>
        <v>7</v>
      </c>
      <c r="N219" s="17"/>
      <c r="O219" s="5"/>
      <c r="P219" s="5"/>
      <c r="Q219" s="5"/>
      <c r="R219" s="106">
        <v>42951</v>
      </c>
      <c r="S219" s="24">
        <f t="shared" si="22"/>
        <v>8</v>
      </c>
      <c r="T219" s="10"/>
      <c r="U219" s="3"/>
      <c r="V219" s="59"/>
      <c r="W219" s="59"/>
      <c r="X219" s="59"/>
      <c r="Y219" s="59"/>
    </row>
    <row r="220" spans="1:25" ht="102" hidden="1" customHeight="1" x14ac:dyDescent="0.25">
      <c r="A220" s="20" t="s">
        <v>29</v>
      </c>
      <c r="B220" s="20" t="s">
        <v>30</v>
      </c>
      <c r="C220" s="20" t="s">
        <v>31</v>
      </c>
      <c r="D220" s="20">
        <v>2</v>
      </c>
      <c r="E220" s="20" t="s">
        <v>9</v>
      </c>
      <c r="F220" s="20" t="s">
        <v>352</v>
      </c>
      <c r="G220" s="2"/>
      <c r="H220" s="20" t="s">
        <v>29</v>
      </c>
      <c r="I220" s="20" t="s">
        <v>364</v>
      </c>
      <c r="J220" s="20" t="s">
        <v>573</v>
      </c>
      <c r="K220" s="28">
        <v>3130057</v>
      </c>
      <c r="L220" s="18">
        <v>42916</v>
      </c>
      <c r="M220" s="88">
        <f t="shared" si="23"/>
        <v>6</v>
      </c>
      <c r="N220" s="17"/>
      <c r="O220" s="86"/>
      <c r="P220" s="17">
        <v>42951</v>
      </c>
      <c r="Q220" s="17"/>
      <c r="R220" s="17">
        <v>42949</v>
      </c>
      <c r="S220" s="24">
        <f t="shared" si="22"/>
        <v>8</v>
      </c>
      <c r="T220" s="5"/>
      <c r="U220" s="3"/>
      <c r="V220" s="3"/>
      <c r="W220" s="3" t="s">
        <v>487</v>
      </c>
      <c r="X220" s="3"/>
      <c r="Y220" s="59"/>
    </row>
    <row r="221" spans="1:25" ht="38.25" hidden="1" customHeight="1" x14ac:dyDescent="0.25">
      <c r="A221" s="3" t="s">
        <v>29</v>
      </c>
      <c r="B221" s="2" t="s">
        <v>30</v>
      </c>
      <c r="C221" s="2" t="s">
        <v>31</v>
      </c>
      <c r="D221" s="2">
        <v>2</v>
      </c>
      <c r="E221" s="2" t="s">
        <v>9</v>
      </c>
      <c r="F221" s="2" t="s">
        <v>352</v>
      </c>
      <c r="G221" s="2"/>
      <c r="H221" s="3" t="s">
        <v>29</v>
      </c>
      <c r="I221" s="3" t="s">
        <v>32</v>
      </c>
      <c r="J221" s="3" t="s">
        <v>565</v>
      </c>
      <c r="K221" s="28">
        <v>3316362</v>
      </c>
      <c r="L221" s="10">
        <v>42855</v>
      </c>
      <c r="M221" s="88">
        <f t="shared" ref="M221:M231" si="24">MONTH(L221)</f>
        <v>4</v>
      </c>
      <c r="N221" s="17"/>
      <c r="O221" s="17">
        <v>42932</v>
      </c>
      <c r="P221" s="17">
        <v>42950</v>
      </c>
      <c r="Q221" s="17"/>
      <c r="R221" s="17">
        <v>42947</v>
      </c>
      <c r="S221" s="24">
        <f t="shared" si="22"/>
        <v>7</v>
      </c>
      <c r="T221" s="5"/>
      <c r="U221" s="23" t="s">
        <v>119</v>
      </c>
      <c r="V221" s="3" t="s">
        <v>266</v>
      </c>
      <c r="W221" s="3" t="s">
        <v>266</v>
      </c>
      <c r="X221" s="3"/>
      <c r="Y221" s="59"/>
    </row>
    <row r="222" spans="1:25" ht="38.25" hidden="1" customHeight="1" x14ac:dyDescent="0.25">
      <c r="A222" s="53" t="s">
        <v>29</v>
      </c>
      <c r="B222" s="53" t="s">
        <v>30</v>
      </c>
      <c r="C222" s="20" t="s">
        <v>31</v>
      </c>
      <c r="D222" s="53">
        <v>2</v>
      </c>
      <c r="E222" s="53" t="s">
        <v>9</v>
      </c>
      <c r="F222" s="53" t="s">
        <v>352</v>
      </c>
      <c r="G222" s="2"/>
      <c r="H222" s="53" t="s">
        <v>29</v>
      </c>
      <c r="I222" s="20" t="s">
        <v>527</v>
      </c>
      <c r="J222" s="20" t="s">
        <v>528</v>
      </c>
      <c r="K222" s="55">
        <v>1947021</v>
      </c>
      <c r="L222" s="54">
        <v>42947</v>
      </c>
      <c r="M222" s="88">
        <f t="shared" si="24"/>
        <v>7</v>
      </c>
      <c r="N222" s="17"/>
      <c r="O222" s="5"/>
      <c r="P222" s="5"/>
      <c r="Q222" s="5"/>
      <c r="R222" s="106">
        <v>42949</v>
      </c>
      <c r="S222" s="24">
        <f t="shared" si="22"/>
        <v>8</v>
      </c>
      <c r="T222" s="10"/>
      <c r="U222" s="3"/>
      <c r="V222" s="59"/>
      <c r="W222" s="59"/>
      <c r="X222" s="59"/>
      <c r="Y222" s="59"/>
    </row>
    <row r="223" spans="1:25" ht="38.25" hidden="1" customHeight="1" x14ac:dyDescent="0.25">
      <c r="A223" s="53" t="s">
        <v>29</v>
      </c>
      <c r="B223" s="53" t="s">
        <v>30</v>
      </c>
      <c r="C223" s="20" t="s">
        <v>31</v>
      </c>
      <c r="D223" s="53">
        <v>2</v>
      </c>
      <c r="E223" s="53" t="s">
        <v>9</v>
      </c>
      <c r="F223" s="53" t="s">
        <v>352</v>
      </c>
      <c r="G223" s="2"/>
      <c r="H223" s="3" t="s">
        <v>29</v>
      </c>
      <c r="I223" s="20" t="s">
        <v>592</v>
      </c>
      <c r="J223" s="20" t="s">
        <v>593</v>
      </c>
      <c r="K223" s="70">
        <v>593300</v>
      </c>
      <c r="L223" s="54">
        <v>42951</v>
      </c>
      <c r="M223" s="88">
        <f t="shared" si="24"/>
        <v>8</v>
      </c>
      <c r="N223" s="97"/>
      <c r="O223" s="110"/>
      <c r="P223" s="108"/>
      <c r="Q223" s="108"/>
      <c r="R223" s="108">
        <v>42951</v>
      </c>
      <c r="S223" s="24">
        <f t="shared" si="22"/>
        <v>8</v>
      </c>
      <c r="T223" s="59"/>
      <c r="U223" s="3"/>
      <c r="V223" s="3"/>
      <c r="W223" s="59"/>
      <c r="X223" s="59"/>
      <c r="Y223" s="59"/>
    </row>
    <row r="224" spans="1:25" ht="38.25" hidden="1" customHeight="1" x14ac:dyDescent="0.25">
      <c r="A224" s="53" t="s">
        <v>29</v>
      </c>
      <c r="B224" s="53" t="s">
        <v>30</v>
      </c>
      <c r="C224" s="20" t="s">
        <v>31</v>
      </c>
      <c r="D224" s="53">
        <v>2</v>
      </c>
      <c r="E224" s="53" t="s">
        <v>9</v>
      </c>
      <c r="F224" s="53" t="s">
        <v>352</v>
      </c>
      <c r="G224" s="2"/>
      <c r="H224" s="53" t="s">
        <v>29</v>
      </c>
      <c r="I224" s="20" t="s">
        <v>594</v>
      </c>
      <c r="J224" s="20" t="s">
        <v>595</v>
      </c>
      <c r="K224" s="70">
        <v>1077423</v>
      </c>
      <c r="L224" s="54">
        <v>42951</v>
      </c>
      <c r="M224" s="88">
        <f t="shared" si="24"/>
        <v>8</v>
      </c>
      <c r="N224" s="97"/>
      <c r="O224" s="110"/>
      <c r="P224" s="108"/>
      <c r="Q224" s="108"/>
      <c r="R224" s="108">
        <v>42949</v>
      </c>
      <c r="S224" s="24">
        <f t="shared" si="22"/>
        <v>8</v>
      </c>
      <c r="T224" s="59"/>
      <c r="U224" s="3"/>
      <c r="V224" s="3"/>
      <c r="W224" s="59"/>
      <c r="X224" s="59"/>
      <c r="Y224" s="59"/>
    </row>
    <row r="225" spans="1:25" ht="25.5" hidden="1" x14ac:dyDescent="0.25">
      <c r="A225" s="53" t="s">
        <v>29</v>
      </c>
      <c r="B225" s="53" t="s">
        <v>30</v>
      </c>
      <c r="C225" s="20" t="s">
        <v>31</v>
      </c>
      <c r="D225" s="53">
        <v>2</v>
      </c>
      <c r="E225" s="53" t="s">
        <v>9</v>
      </c>
      <c r="F225" s="53" t="s">
        <v>352</v>
      </c>
      <c r="G225" s="2"/>
      <c r="H225" s="53" t="s">
        <v>29</v>
      </c>
      <c r="I225" s="20" t="s">
        <v>530</v>
      </c>
      <c r="J225" s="20" t="s">
        <v>531</v>
      </c>
      <c r="K225" s="55">
        <v>231065</v>
      </c>
      <c r="L225" s="54">
        <v>42947</v>
      </c>
      <c r="M225" s="88">
        <f t="shared" si="24"/>
        <v>7</v>
      </c>
      <c r="N225" s="17"/>
      <c r="O225" s="5"/>
      <c r="P225" s="5"/>
      <c r="Q225" s="5"/>
      <c r="R225" s="106">
        <v>42951</v>
      </c>
      <c r="S225" s="24">
        <f t="shared" si="22"/>
        <v>8</v>
      </c>
      <c r="T225" s="10"/>
      <c r="U225" s="3"/>
      <c r="V225" s="59"/>
      <c r="W225" s="59"/>
      <c r="X225" s="59"/>
      <c r="Y225" s="59"/>
    </row>
    <row r="226" spans="1:25" ht="76.5" hidden="1" customHeight="1" x14ac:dyDescent="0.25">
      <c r="A226" s="53" t="s">
        <v>29</v>
      </c>
      <c r="B226" s="53" t="s">
        <v>30</v>
      </c>
      <c r="C226" s="20" t="s">
        <v>31</v>
      </c>
      <c r="D226" s="53">
        <v>2</v>
      </c>
      <c r="E226" s="53" t="s">
        <v>9</v>
      </c>
      <c r="F226" s="53" t="s">
        <v>352</v>
      </c>
      <c r="G226" s="2"/>
      <c r="H226" s="53" t="s">
        <v>29</v>
      </c>
      <c r="I226" s="20" t="s">
        <v>529</v>
      </c>
      <c r="J226" s="20" t="s">
        <v>575</v>
      </c>
      <c r="K226" s="55">
        <v>1752710</v>
      </c>
      <c r="L226" s="54">
        <v>42947</v>
      </c>
      <c r="M226" s="88">
        <f t="shared" si="24"/>
        <v>7</v>
      </c>
      <c r="N226" s="17"/>
      <c r="O226" s="5"/>
      <c r="P226" s="5"/>
      <c r="Q226" s="5"/>
      <c r="R226" s="106">
        <v>42951</v>
      </c>
      <c r="S226" s="24">
        <f t="shared" si="22"/>
        <v>8</v>
      </c>
      <c r="T226" s="10"/>
      <c r="U226" s="3"/>
      <c r="V226" s="59"/>
      <c r="W226" s="59"/>
      <c r="X226" s="59"/>
      <c r="Y226" s="59"/>
    </row>
    <row r="227" spans="1:25" ht="25.5" hidden="1" customHeight="1" x14ac:dyDescent="0.25">
      <c r="A227" s="53" t="s">
        <v>29</v>
      </c>
      <c r="B227" s="53" t="s">
        <v>30</v>
      </c>
      <c r="C227" s="20" t="s">
        <v>31</v>
      </c>
      <c r="D227" s="53">
        <v>2</v>
      </c>
      <c r="E227" s="53" t="s">
        <v>9</v>
      </c>
      <c r="F227" s="53" t="s">
        <v>352</v>
      </c>
      <c r="G227" s="2"/>
      <c r="H227" s="53" t="s">
        <v>29</v>
      </c>
      <c r="I227" s="20" t="s">
        <v>596</v>
      </c>
      <c r="J227" s="20" t="s">
        <v>597</v>
      </c>
      <c r="K227" s="70">
        <v>285367</v>
      </c>
      <c r="L227" s="54">
        <v>42951</v>
      </c>
      <c r="M227" s="88">
        <f t="shared" si="24"/>
        <v>8</v>
      </c>
      <c r="N227" s="97"/>
      <c r="O227" s="110"/>
      <c r="P227" s="108"/>
      <c r="Q227" s="108"/>
      <c r="R227" s="108">
        <v>42951</v>
      </c>
      <c r="S227" s="24">
        <f t="shared" si="22"/>
        <v>8</v>
      </c>
      <c r="T227" s="59"/>
      <c r="U227" s="3"/>
      <c r="V227" s="3"/>
      <c r="W227" s="59"/>
      <c r="X227" s="59"/>
      <c r="Y227" s="59"/>
    </row>
    <row r="228" spans="1:25" ht="38.25" hidden="1" customHeight="1" x14ac:dyDescent="0.25">
      <c r="A228" s="10" t="s">
        <v>29</v>
      </c>
      <c r="B228" s="2" t="s">
        <v>30</v>
      </c>
      <c r="C228" s="2" t="s">
        <v>31</v>
      </c>
      <c r="D228" s="2">
        <v>2</v>
      </c>
      <c r="E228" s="2" t="s">
        <v>9</v>
      </c>
      <c r="F228" s="2" t="s">
        <v>352</v>
      </c>
      <c r="G228" s="2"/>
      <c r="H228" s="10" t="s">
        <v>29</v>
      </c>
      <c r="I228" s="3" t="s">
        <v>464</v>
      </c>
      <c r="J228" s="3" t="s">
        <v>465</v>
      </c>
      <c r="K228" s="28">
        <v>380248</v>
      </c>
      <c r="L228" s="10">
        <v>42931</v>
      </c>
      <c r="M228" s="88">
        <f t="shared" si="24"/>
        <v>7</v>
      </c>
      <c r="N228" s="17"/>
      <c r="O228" s="17"/>
      <c r="P228" s="17"/>
      <c r="Q228" s="17"/>
      <c r="R228" s="17">
        <v>42923</v>
      </c>
      <c r="S228" s="24">
        <f t="shared" si="22"/>
        <v>7</v>
      </c>
      <c r="T228" s="5"/>
      <c r="U228" s="23"/>
      <c r="V228" s="3"/>
      <c r="W228" s="3"/>
      <c r="X228" s="3"/>
      <c r="Y228" s="59"/>
    </row>
    <row r="229" spans="1:25" ht="38.25" hidden="1" customHeight="1" x14ac:dyDescent="0.25">
      <c r="A229" s="53" t="s">
        <v>29</v>
      </c>
      <c r="B229" s="53" t="s">
        <v>30</v>
      </c>
      <c r="C229" s="20" t="s">
        <v>31</v>
      </c>
      <c r="D229" s="53">
        <v>2</v>
      </c>
      <c r="E229" s="53" t="s">
        <v>9</v>
      </c>
      <c r="F229" s="53" t="s">
        <v>352</v>
      </c>
      <c r="G229" s="2"/>
      <c r="H229" s="53" t="s">
        <v>29</v>
      </c>
      <c r="I229" s="3" t="s">
        <v>561</v>
      </c>
      <c r="J229" s="3" t="s">
        <v>562</v>
      </c>
      <c r="K229" s="57">
        <v>1874301.75</v>
      </c>
      <c r="L229" s="58">
        <v>42951</v>
      </c>
      <c r="M229" s="88">
        <f t="shared" si="24"/>
        <v>8</v>
      </c>
      <c r="N229" s="17"/>
      <c r="O229" s="108"/>
      <c r="P229" s="108"/>
      <c r="Q229" s="108"/>
      <c r="R229" s="108">
        <v>42948</v>
      </c>
      <c r="S229" s="24">
        <f t="shared" si="22"/>
        <v>8</v>
      </c>
      <c r="T229" s="58"/>
      <c r="U229" s="59"/>
      <c r="V229" s="59"/>
      <c r="W229" s="3"/>
      <c r="X229" s="3"/>
      <c r="Y229" s="59"/>
    </row>
    <row r="230" spans="1:25" ht="89.25" hidden="1" customHeight="1" x14ac:dyDescent="0.25">
      <c r="A230" s="3" t="s">
        <v>29</v>
      </c>
      <c r="B230" s="2" t="s">
        <v>30</v>
      </c>
      <c r="C230" s="2" t="s">
        <v>31</v>
      </c>
      <c r="D230" s="2">
        <v>2</v>
      </c>
      <c r="E230" s="2" t="s">
        <v>9</v>
      </c>
      <c r="F230" s="2" t="s">
        <v>352</v>
      </c>
      <c r="G230" s="2"/>
      <c r="H230" s="3" t="s">
        <v>29</v>
      </c>
      <c r="I230" s="3" t="s">
        <v>179</v>
      </c>
      <c r="J230" s="3" t="s">
        <v>180</v>
      </c>
      <c r="K230" s="28">
        <v>1148278</v>
      </c>
      <c r="L230" s="10">
        <v>42886</v>
      </c>
      <c r="M230" s="88">
        <f t="shared" si="24"/>
        <v>5</v>
      </c>
      <c r="N230" s="17"/>
      <c r="O230" s="17">
        <v>42916</v>
      </c>
      <c r="P230" s="17"/>
      <c r="Q230" s="17"/>
      <c r="R230" s="17">
        <v>42921</v>
      </c>
      <c r="S230" s="24">
        <f t="shared" si="22"/>
        <v>7</v>
      </c>
      <c r="T230" s="5"/>
      <c r="U230" s="23"/>
      <c r="V230" s="3" t="s">
        <v>252</v>
      </c>
      <c r="W230" s="3"/>
      <c r="X230" s="3"/>
      <c r="Y230" s="59"/>
    </row>
    <row r="231" spans="1:25" ht="38.25" hidden="1" customHeight="1" x14ac:dyDescent="0.25">
      <c r="A231" s="53" t="s">
        <v>29</v>
      </c>
      <c r="B231" s="53" t="s">
        <v>30</v>
      </c>
      <c r="C231" s="20" t="s">
        <v>31</v>
      </c>
      <c r="D231" s="53">
        <v>2</v>
      </c>
      <c r="E231" s="53" t="s">
        <v>9</v>
      </c>
      <c r="F231" s="53" t="s">
        <v>352</v>
      </c>
      <c r="G231" s="2"/>
      <c r="H231" s="53" t="s">
        <v>29</v>
      </c>
      <c r="I231" s="20" t="s">
        <v>607</v>
      </c>
      <c r="J231" s="20" t="s">
        <v>606</v>
      </c>
      <c r="K231" s="70">
        <v>3136976</v>
      </c>
      <c r="L231" s="54">
        <v>42951</v>
      </c>
      <c r="M231" s="88">
        <f t="shared" si="24"/>
        <v>8</v>
      </c>
      <c r="N231" s="97"/>
      <c r="O231" s="110"/>
      <c r="P231" s="108"/>
      <c r="Q231" s="108"/>
      <c r="R231" s="108">
        <v>42951</v>
      </c>
      <c r="S231" s="24">
        <f t="shared" si="22"/>
        <v>8</v>
      </c>
      <c r="T231" s="59"/>
      <c r="U231" s="3"/>
      <c r="V231" s="3"/>
      <c r="W231" s="59"/>
      <c r="X231" s="59"/>
      <c r="Y231" s="59"/>
    </row>
    <row r="232" spans="1:25" ht="153" hidden="1" customHeight="1" x14ac:dyDescent="0.25">
      <c r="A232" s="53" t="s">
        <v>29</v>
      </c>
      <c r="B232" s="53" t="s">
        <v>30</v>
      </c>
      <c r="C232" s="20" t="s">
        <v>31</v>
      </c>
      <c r="D232" s="53">
        <v>2</v>
      </c>
      <c r="E232" s="53" t="s">
        <v>9</v>
      </c>
      <c r="F232" s="53" t="s">
        <v>352</v>
      </c>
      <c r="G232" s="2"/>
      <c r="H232" s="3" t="s">
        <v>29</v>
      </c>
      <c r="I232" s="20" t="s">
        <v>598</v>
      </c>
      <c r="J232" s="20" t="s">
        <v>599</v>
      </c>
      <c r="K232" s="70">
        <v>1238789</v>
      </c>
      <c r="L232" s="124" t="s">
        <v>245</v>
      </c>
      <c r="M232" s="88" t="s">
        <v>245</v>
      </c>
      <c r="N232" s="97"/>
      <c r="O232" s="110"/>
      <c r="P232" s="108"/>
      <c r="Q232" s="108"/>
      <c r="R232" s="108">
        <v>42929</v>
      </c>
      <c r="S232" s="24">
        <f t="shared" si="22"/>
        <v>7</v>
      </c>
      <c r="T232" s="59"/>
      <c r="U232" s="3"/>
      <c r="V232" s="3"/>
      <c r="W232" s="59"/>
      <c r="X232" s="59"/>
      <c r="Y232" s="59"/>
    </row>
    <row r="233" spans="1:25" ht="76.5" hidden="1" customHeight="1" x14ac:dyDescent="0.25">
      <c r="A233" s="53" t="s">
        <v>29</v>
      </c>
      <c r="B233" s="53" t="s">
        <v>30</v>
      </c>
      <c r="C233" s="20" t="s">
        <v>31</v>
      </c>
      <c r="D233" s="53">
        <v>2</v>
      </c>
      <c r="E233" s="53" t="s">
        <v>9</v>
      </c>
      <c r="F233" s="53" t="s">
        <v>352</v>
      </c>
      <c r="G233" s="2"/>
      <c r="H233" s="53" t="s">
        <v>29</v>
      </c>
      <c r="I233" s="20" t="s">
        <v>600</v>
      </c>
      <c r="J233" s="20" t="s">
        <v>601</v>
      </c>
      <c r="K233" s="70">
        <v>1522563</v>
      </c>
      <c r="L233" s="54">
        <v>42951</v>
      </c>
      <c r="M233" s="88">
        <f t="shared" ref="M233:M235" si="25">MONTH(L233)</f>
        <v>8</v>
      </c>
      <c r="N233" s="97"/>
      <c r="O233" s="110"/>
      <c r="P233" s="108"/>
      <c r="Q233" s="108"/>
      <c r="R233" s="108">
        <v>42951</v>
      </c>
      <c r="S233" s="24">
        <f t="shared" si="22"/>
        <v>8</v>
      </c>
      <c r="T233" s="59"/>
      <c r="U233" s="3"/>
      <c r="V233" s="3"/>
      <c r="W233" s="59"/>
      <c r="X233" s="59"/>
      <c r="Y233" s="59"/>
    </row>
    <row r="234" spans="1:25" ht="51" hidden="1" customHeight="1" x14ac:dyDescent="0.25">
      <c r="A234" s="53" t="s">
        <v>29</v>
      </c>
      <c r="B234" s="53" t="s">
        <v>30</v>
      </c>
      <c r="C234" s="20" t="s">
        <v>31</v>
      </c>
      <c r="D234" s="53">
        <v>2</v>
      </c>
      <c r="E234" s="53" t="s">
        <v>9</v>
      </c>
      <c r="F234" s="53" t="s">
        <v>352</v>
      </c>
      <c r="G234" s="2"/>
      <c r="H234" s="53" t="s">
        <v>29</v>
      </c>
      <c r="I234" s="20" t="s">
        <v>602</v>
      </c>
      <c r="J234" s="20" t="s">
        <v>603</v>
      </c>
      <c r="K234" s="70">
        <v>422790</v>
      </c>
      <c r="L234" s="54">
        <v>42951</v>
      </c>
      <c r="M234" s="88">
        <f t="shared" si="25"/>
        <v>8</v>
      </c>
      <c r="N234" s="97"/>
      <c r="O234" s="110"/>
      <c r="P234" s="108"/>
      <c r="Q234" s="108"/>
      <c r="R234" s="108">
        <v>42951</v>
      </c>
      <c r="S234" s="24">
        <f t="shared" si="22"/>
        <v>8</v>
      </c>
      <c r="T234" s="59"/>
      <c r="U234" s="3"/>
      <c r="V234" s="3"/>
      <c r="W234" s="59"/>
      <c r="X234" s="59"/>
      <c r="Y234" s="59"/>
    </row>
    <row r="235" spans="1:25" ht="63.75" hidden="1" customHeight="1" x14ac:dyDescent="0.25">
      <c r="A235" s="53" t="s">
        <v>29</v>
      </c>
      <c r="B235" s="53" t="s">
        <v>30</v>
      </c>
      <c r="C235" s="20" t="s">
        <v>31</v>
      </c>
      <c r="D235" s="53">
        <v>2</v>
      </c>
      <c r="E235" s="53" t="s">
        <v>9</v>
      </c>
      <c r="F235" s="53" t="s">
        <v>352</v>
      </c>
      <c r="G235" s="2"/>
      <c r="H235" s="3" t="s">
        <v>29</v>
      </c>
      <c r="I235" s="20" t="s">
        <v>604</v>
      </c>
      <c r="J235" s="20" t="s">
        <v>605</v>
      </c>
      <c r="K235" s="70">
        <v>308401</v>
      </c>
      <c r="L235" s="54">
        <v>42948</v>
      </c>
      <c r="M235" s="88">
        <f t="shared" si="25"/>
        <v>8</v>
      </c>
      <c r="N235" s="97"/>
      <c r="O235" s="110"/>
      <c r="P235" s="108"/>
      <c r="Q235" s="108"/>
      <c r="R235" s="108">
        <v>42951</v>
      </c>
      <c r="S235" s="24">
        <f t="shared" si="22"/>
        <v>8</v>
      </c>
      <c r="T235" s="59"/>
      <c r="U235" s="3"/>
      <c r="V235" s="3"/>
      <c r="W235" s="59"/>
      <c r="X235" s="59"/>
      <c r="Y235" s="59"/>
    </row>
    <row r="236" spans="1:25" ht="32.25" customHeight="1" outlineLevel="1" x14ac:dyDescent="0.25">
      <c r="A236" s="161" t="s">
        <v>29</v>
      </c>
      <c r="B236" s="161" t="s">
        <v>30</v>
      </c>
      <c r="C236" s="162" t="s">
        <v>31</v>
      </c>
      <c r="D236" s="161">
        <v>2</v>
      </c>
      <c r="E236" s="161" t="s">
        <v>9</v>
      </c>
      <c r="F236" s="204" t="s">
        <v>352</v>
      </c>
      <c r="G236" s="161">
        <v>36</v>
      </c>
      <c r="H236" s="161" t="s">
        <v>29</v>
      </c>
      <c r="I236" s="162" t="s">
        <v>844</v>
      </c>
      <c r="J236" s="162" t="s">
        <v>845</v>
      </c>
      <c r="K236" s="178">
        <v>383010</v>
      </c>
      <c r="L236" s="163">
        <v>42948</v>
      </c>
      <c r="M236" s="219"/>
      <c r="N236" s="163"/>
      <c r="O236" s="163"/>
      <c r="P236" s="164"/>
      <c r="Q236" s="165"/>
      <c r="R236" s="220" t="s">
        <v>124</v>
      </c>
      <c r="S236" s="205"/>
      <c r="T236" s="165"/>
      <c r="U236" s="215"/>
      <c r="V236" s="167"/>
      <c r="W236" s="168"/>
      <c r="X236" s="168"/>
      <c r="Y236" s="261" t="s">
        <v>863</v>
      </c>
    </row>
    <row r="237" spans="1:25" ht="29.25" customHeight="1" outlineLevel="1" x14ac:dyDescent="0.25">
      <c r="A237" s="161" t="s">
        <v>29</v>
      </c>
      <c r="B237" s="161" t="s">
        <v>30</v>
      </c>
      <c r="C237" s="162" t="s">
        <v>31</v>
      </c>
      <c r="D237" s="161">
        <v>2</v>
      </c>
      <c r="E237" s="161" t="s">
        <v>9</v>
      </c>
      <c r="F237" s="204" t="s">
        <v>352</v>
      </c>
      <c r="G237" s="161">
        <v>37</v>
      </c>
      <c r="H237" s="161" t="s">
        <v>29</v>
      </c>
      <c r="I237" s="162" t="s">
        <v>846</v>
      </c>
      <c r="J237" s="162"/>
      <c r="K237" s="178">
        <v>326400</v>
      </c>
      <c r="L237" s="163">
        <v>42951</v>
      </c>
      <c r="M237" s="219"/>
      <c r="N237" s="163"/>
      <c r="O237" s="163"/>
      <c r="P237" s="164"/>
      <c r="Q237" s="165"/>
      <c r="R237" s="220" t="s">
        <v>124</v>
      </c>
      <c r="S237" s="205"/>
      <c r="T237" s="165"/>
      <c r="U237" s="215"/>
      <c r="V237" s="169"/>
      <c r="W237" s="168"/>
      <c r="X237" s="168"/>
      <c r="Y237" s="261"/>
    </row>
    <row r="238" spans="1:25" ht="27" customHeight="1" outlineLevel="1" x14ac:dyDescent="0.25">
      <c r="A238" s="161" t="s">
        <v>29</v>
      </c>
      <c r="B238" s="161" t="s">
        <v>30</v>
      </c>
      <c r="C238" s="162" t="s">
        <v>31</v>
      </c>
      <c r="D238" s="161">
        <v>2</v>
      </c>
      <c r="E238" s="161" t="s">
        <v>9</v>
      </c>
      <c r="F238" s="204" t="s">
        <v>352</v>
      </c>
      <c r="G238" s="161">
        <v>38</v>
      </c>
      <c r="H238" s="161" t="s">
        <v>29</v>
      </c>
      <c r="I238" s="162" t="s">
        <v>847</v>
      </c>
      <c r="J238" s="162" t="s">
        <v>848</v>
      </c>
      <c r="K238" s="178">
        <v>1356692</v>
      </c>
      <c r="L238" s="163">
        <v>42951</v>
      </c>
      <c r="M238" s="219"/>
      <c r="N238" s="163"/>
      <c r="O238" s="163"/>
      <c r="P238" s="164"/>
      <c r="Q238" s="165"/>
      <c r="R238" s="220" t="s">
        <v>124</v>
      </c>
      <c r="S238" s="205"/>
      <c r="T238" s="165"/>
      <c r="U238" s="215"/>
      <c r="V238" s="169"/>
      <c r="W238" s="168"/>
      <c r="X238" s="168"/>
      <c r="Y238" s="261"/>
    </row>
    <row r="239" spans="1:25" ht="30" customHeight="1" outlineLevel="1" x14ac:dyDescent="0.25">
      <c r="A239" s="161" t="s">
        <v>29</v>
      </c>
      <c r="B239" s="161" t="s">
        <v>30</v>
      </c>
      <c r="C239" s="162" t="s">
        <v>31</v>
      </c>
      <c r="D239" s="161">
        <v>2</v>
      </c>
      <c r="E239" s="161" t="s">
        <v>9</v>
      </c>
      <c r="F239" s="204" t="s">
        <v>352</v>
      </c>
      <c r="G239" s="161">
        <v>39</v>
      </c>
      <c r="H239" s="161" t="s">
        <v>29</v>
      </c>
      <c r="I239" s="162" t="s">
        <v>849</v>
      </c>
      <c r="J239" s="162"/>
      <c r="K239" s="178">
        <v>2923830</v>
      </c>
      <c r="L239" s="163">
        <v>42951</v>
      </c>
      <c r="M239" s="219"/>
      <c r="N239" s="163"/>
      <c r="O239" s="163"/>
      <c r="P239" s="164"/>
      <c r="Q239" s="165"/>
      <c r="R239" s="220" t="s">
        <v>124</v>
      </c>
      <c r="S239" s="205"/>
      <c r="T239" s="165"/>
      <c r="U239" s="215"/>
      <c r="V239" s="169"/>
      <c r="W239" s="168"/>
      <c r="X239" s="168"/>
      <c r="Y239" s="261"/>
    </row>
    <row r="240" spans="1:25" ht="24" customHeight="1" outlineLevel="1" x14ac:dyDescent="0.25">
      <c r="A240" s="161" t="s">
        <v>29</v>
      </c>
      <c r="B240" s="161" t="s">
        <v>30</v>
      </c>
      <c r="C240" s="162" t="s">
        <v>31</v>
      </c>
      <c r="D240" s="161">
        <v>2</v>
      </c>
      <c r="E240" s="161" t="s">
        <v>9</v>
      </c>
      <c r="F240" s="204" t="s">
        <v>352</v>
      </c>
      <c r="G240" s="161">
        <v>40</v>
      </c>
      <c r="H240" s="161" t="s">
        <v>29</v>
      </c>
      <c r="I240" s="162" t="s">
        <v>869</v>
      </c>
      <c r="J240" s="162" t="s">
        <v>850</v>
      </c>
      <c r="K240" s="178">
        <v>102510</v>
      </c>
      <c r="L240" s="163">
        <v>42951</v>
      </c>
      <c r="M240" s="219"/>
      <c r="N240" s="163"/>
      <c r="O240" s="163"/>
      <c r="P240" s="164"/>
      <c r="Q240" s="165"/>
      <c r="R240" s="220" t="s">
        <v>124</v>
      </c>
      <c r="S240" s="205"/>
      <c r="T240" s="165"/>
      <c r="U240" s="215"/>
      <c r="V240" s="170"/>
      <c r="W240" s="168"/>
      <c r="X240" s="168"/>
      <c r="Y240" s="261"/>
    </row>
    <row r="241" spans="1:25" ht="127.5" hidden="1" customHeight="1" x14ac:dyDescent="0.25">
      <c r="A241" s="20" t="s">
        <v>365</v>
      </c>
      <c r="B241" s="20" t="s">
        <v>366</v>
      </c>
      <c r="C241" s="20" t="s">
        <v>367</v>
      </c>
      <c r="D241" s="20">
        <v>1</v>
      </c>
      <c r="E241" s="20" t="s">
        <v>9</v>
      </c>
      <c r="F241" s="20" t="s">
        <v>352</v>
      </c>
      <c r="G241" s="2"/>
      <c r="H241" s="20" t="s">
        <v>365</v>
      </c>
      <c r="I241" s="20" t="s">
        <v>368</v>
      </c>
      <c r="J241" s="20" t="s">
        <v>452</v>
      </c>
      <c r="K241" s="28">
        <v>5945241</v>
      </c>
      <c r="L241" s="18">
        <v>42916</v>
      </c>
      <c r="M241" s="88">
        <f t="shared" ref="M241:M278" si="26">MONTH(L241)</f>
        <v>6</v>
      </c>
      <c r="N241" s="17"/>
      <c r="O241" s="86"/>
      <c r="P241" s="86"/>
      <c r="Q241" s="86"/>
      <c r="R241" s="17">
        <v>42916</v>
      </c>
      <c r="S241" s="24">
        <f t="shared" si="22"/>
        <v>6</v>
      </c>
      <c r="T241" s="5"/>
      <c r="U241" s="3"/>
      <c r="V241" s="3"/>
      <c r="W241" s="3"/>
      <c r="X241" s="3"/>
      <c r="Y241" s="59"/>
    </row>
    <row r="242" spans="1:25" ht="127.5" hidden="1" customHeight="1" x14ac:dyDescent="0.25">
      <c r="A242" s="20" t="s">
        <v>365</v>
      </c>
      <c r="B242" s="20" t="s">
        <v>366</v>
      </c>
      <c r="C242" s="20" t="s">
        <v>367</v>
      </c>
      <c r="D242" s="20">
        <v>1</v>
      </c>
      <c r="E242" s="20" t="s">
        <v>9</v>
      </c>
      <c r="F242" s="20" t="s">
        <v>352</v>
      </c>
      <c r="G242" s="2"/>
      <c r="H242" s="20" t="s">
        <v>365</v>
      </c>
      <c r="I242" s="20" t="s">
        <v>295</v>
      </c>
      <c r="J242" s="20" t="s">
        <v>451</v>
      </c>
      <c r="K242" s="28">
        <v>5911990</v>
      </c>
      <c r="L242" s="18">
        <v>42916</v>
      </c>
      <c r="M242" s="88">
        <f t="shared" si="26"/>
        <v>6</v>
      </c>
      <c r="N242" s="17"/>
      <c r="O242" s="86"/>
      <c r="P242" s="86"/>
      <c r="Q242" s="86"/>
      <c r="R242" s="17">
        <v>42900</v>
      </c>
      <c r="S242" s="24">
        <f t="shared" si="22"/>
        <v>6</v>
      </c>
      <c r="T242" s="5"/>
      <c r="U242" s="3"/>
      <c r="V242" s="3"/>
      <c r="W242" s="3"/>
      <c r="X242" s="3"/>
      <c r="Y242" s="59"/>
    </row>
    <row r="243" spans="1:25" ht="51" hidden="1" customHeight="1" x14ac:dyDescent="0.25">
      <c r="A243" s="53" t="s">
        <v>181</v>
      </c>
      <c r="B243" s="53" t="s">
        <v>369</v>
      </c>
      <c r="C243" s="20" t="s">
        <v>370</v>
      </c>
      <c r="D243" s="53">
        <v>1</v>
      </c>
      <c r="E243" s="53" t="s">
        <v>80</v>
      </c>
      <c r="F243" s="53" t="s">
        <v>277</v>
      </c>
      <c r="G243" s="75">
        <f>MAX($G$3:G242)+1</f>
        <v>41</v>
      </c>
      <c r="H243" s="53" t="s">
        <v>181</v>
      </c>
      <c r="I243" s="20" t="s">
        <v>715</v>
      </c>
      <c r="J243" s="20" t="s">
        <v>716</v>
      </c>
      <c r="K243" s="55">
        <v>1408500</v>
      </c>
      <c r="L243" s="54">
        <v>42968</v>
      </c>
      <c r="M243" s="88">
        <f t="shared" si="26"/>
        <v>8</v>
      </c>
      <c r="N243" s="108"/>
      <c r="O243" s="108"/>
      <c r="P243" s="109"/>
      <c r="Q243" s="5"/>
      <c r="R243" s="106">
        <v>42969</v>
      </c>
      <c r="S243" s="24">
        <f t="shared" si="22"/>
        <v>8</v>
      </c>
      <c r="T243" s="59"/>
      <c r="U243" s="59"/>
      <c r="V243" s="59"/>
      <c r="W243" s="59"/>
      <c r="X243" s="59"/>
      <c r="Y243" s="59"/>
    </row>
    <row r="244" spans="1:25" ht="51" hidden="1" customHeight="1" x14ac:dyDescent="0.25">
      <c r="A244" s="3" t="s">
        <v>181</v>
      </c>
      <c r="B244" s="2" t="s">
        <v>369</v>
      </c>
      <c r="C244" s="2" t="s">
        <v>370</v>
      </c>
      <c r="D244" s="2">
        <v>1</v>
      </c>
      <c r="E244" s="2" t="s">
        <v>80</v>
      </c>
      <c r="F244" s="2" t="s">
        <v>277</v>
      </c>
      <c r="G244" s="2"/>
      <c r="H244" s="3" t="s">
        <v>181</v>
      </c>
      <c r="I244" s="3" t="s">
        <v>184</v>
      </c>
      <c r="J244" s="3" t="s">
        <v>185</v>
      </c>
      <c r="K244" s="28">
        <v>1878000.1199999999</v>
      </c>
      <c r="L244" s="10">
        <v>42886</v>
      </c>
      <c r="M244" s="88">
        <f t="shared" si="26"/>
        <v>5</v>
      </c>
      <c r="N244" s="17"/>
      <c r="O244" s="17"/>
      <c r="P244" s="17"/>
      <c r="Q244" s="17"/>
      <c r="R244" s="17">
        <v>42881</v>
      </c>
      <c r="S244" s="24">
        <f>MONTH(R244)</f>
        <v>5</v>
      </c>
      <c r="T244" s="5"/>
      <c r="U244" s="23"/>
      <c r="V244" s="3"/>
      <c r="W244" s="3"/>
      <c r="X244" s="3"/>
      <c r="Y244" s="59"/>
    </row>
    <row r="245" spans="1:25" ht="51" hidden="1" customHeight="1" x14ac:dyDescent="0.25">
      <c r="A245" s="53" t="s">
        <v>181</v>
      </c>
      <c r="B245" s="53" t="s">
        <v>369</v>
      </c>
      <c r="C245" s="20" t="s">
        <v>370</v>
      </c>
      <c r="D245" s="53">
        <v>1</v>
      </c>
      <c r="E245" s="53" t="s">
        <v>80</v>
      </c>
      <c r="F245" s="53" t="s">
        <v>277</v>
      </c>
      <c r="G245" s="2"/>
      <c r="H245" s="53" t="s">
        <v>181</v>
      </c>
      <c r="I245" s="20" t="s">
        <v>67</v>
      </c>
      <c r="J245" s="20" t="s">
        <v>532</v>
      </c>
      <c r="K245" s="55">
        <v>4695000</v>
      </c>
      <c r="L245" s="54">
        <v>42947</v>
      </c>
      <c r="M245" s="88">
        <f t="shared" si="26"/>
        <v>7</v>
      </c>
      <c r="N245" s="17"/>
      <c r="O245" s="5"/>
      <c r="P245" s="5"/>
      <c r="Q245" s="5">
        <v>42979</v>
      </c>
      <c r="R245" s="106">
        <v>42979</v>
      </c>
      <c r="S245" s="24">
        <f t="shared" ref="S245" si="27">MONTH(R245)</f>
        <v>9</v>
      </c>
      <c r="T245" s="10"/>
      <c r="U245" s="3"/>
      <c r="V245" s="59"/>
      <c r="W245" s="59"/>
      <c r="X245" s="59"/>
      <c r="Y245" s="59"/>
    </row>
    <row r="246" spans="1:25" ht="76.5" hidden="1" customHeight="1" x14ac:dyDescent="0.25">
      <c r="A246" s="20" t="s">
        <v>181</v>
      </c>
      <c r="B246" s="20" t="s">
        <v>369</v>
      </c>
      <c r="C246" s="20" t="s">
        <v>370</v>
      </c>
      <c r="D246" s="20">
        <v>1</v>
      </c>
      <c r="E246" s="20" t="s">
        <v>80</v>
      </c>
      <c r="F246" s="20" t="s">
        <v>277</v>
      </c>
      <c r="G246" s="2"/>
      <c r="H246" s="20" t="s">
        <v>181</v>
      </c>
      <c r="I246" s="20" t="s">
        <v>44</v>
      </c>
      <c r="J246" s="20" t="s">
        <v>373</v>
      </c>
      <c r="K246" s="28">
        <v>2347500</v>
      </c>
      <c r="L246" s="18">
        <v>42916</v>
      </c>
      <c r="M246" s="88">
        <f t="shared" si="26"/>
        <v>6</v>
      </c>
      <c r="N246" s="17"/>
      <c r="O246" s="86"/>
      <c r="P246" s="86"/>
      <c r="Q246" s="86"/>
      <c r="R246" s="17">
        <v>42923</v>
      </c>
      <c r="S246" s="24">
        <f>MONTH(R246)</f>
        <v>7</v>
      </c>
      <c r="T246" s="5"/>
      <c r="U246" s="3"/>
      <c r="V246" s="3"/>
      <c r="W246" s="3"/>
      <c r="X246" s="3"/>
      <c r="Y246" s="59"/>
    </row>
    <row r="247" spans="1:25" s="231" customFormat="1" ht="35.25" customHeight="1" x14ac:dyDescent="0.25">
      <c r="A247" s="20"/>
      <c r="B247" s="20"/>
      <c r="C247" s="20"/>
      <c r="D247" s="20"/>
      <c r="E247" s="20"/>
      <c r="F247" s="193"/>
      <c r="G247" s="224"/>
      <c r="H247" s="233" t="s">
        <v>181</v>
      </c>
      <c r="I247" s="224" t="s">
        <v>370</v>
      </c>
      <c r="J247" s="234">
        <f>K248+K251+K252</f>
        <v>10413509.58</v>
      </c>
      <c r="K247" s="234"/>
      <c r="L247" s="232"/>
      <c r="M247" s="207"/>
      <c r="N247" s="228"/>
      <c r="O247" s="225"/>
      <c r="P247" s="225"/>
      <c r="Q247" s="225"/>
      <c r="R247" s="208" t="s">
        <v>124</v>
      </c>
      <c r="S247" s="202"/>
      <c r="T247" s="232"/>
      <c r="U247" s="211"/>
      <c r="V247" s="3"/>
      <c r="W247" s="3"/>
      <c r="X247" s="195"/>
      <c r="Y247" s="223"/>
    </row>
    <row r="248" spans="1:25" ht="52.5" customHeight="1" outlineLevel="1" x14ac:dyDescent="0.25">
      <c r="A248" s="53" t="s">
        <v>181</v>
      </c>
      <c r="B248" s="53" t="s">
        <v>369</v>
      </c>
      <c r="C248" s="20" t="s">
        <v>370</v>
      </c>
      <c r="D248" s="53">
        <v>1</v>
      </c>
      <c r="E248" s="53" t="s">
        <v>80</v>
      </c>
      <c r="F248" s="199" t="s">
        <v>277</v>
      </c>
      <c r="G248" s="75">
        <v>41</v>
      </c>
      <c r="H248" s="53" t="s">
        <v>181</v>
      </c>
      <c r="I248" s="20" t="s">
        <v>713</v>
      </c>
      <c r="J248" s="20" t="s">
        <v>714</v>
      </c>
      <c r="K248" s="55">
        <v>2957850</v>
      </c>
      <c r="L248" s="54">
        <v>42978</v>
      </c>
      <c r="M248" s="207">
        <f t="shared" si="26"/>
        <v>8</v>
      </c>
      <c r="N248" s="108"/>
      <c r="O248" s="108"/>
      <c r="P248" s="109"/>
      <c r="Q248" s="5"/>
      <c r="R248" s="217" t="s">
        <v>124</v>
      </c>
      <c r="S248" s="192" t="s">
        <v>124</v>
      </c>
      <c r="T248" s="58">
        <v>43014</v>
      </c>
      <c r="U248" s="210"/>
      <c r="V248" s="59"/>
      <c r="W248" s="59"/>
      <c r="X248" s="192"/>
      <c r="Y248" s="133" t="s">
        <v>840</v>
      </c>
    </row>
    <row r="249" spans="1:25" ht="63.75" hidden="1" customHeight="1" outlineLevel="1" x14ac:dyDescent="0.25">
      <c r="A249" s="20" t="s">
        <v>181</v>
      </c>
      <c r="B249" s="20" t="s">
        <v>369</v>
      </c>
      <c r="C249" s="20" t="s">
        <v>370</v>
      </c>
      <c r="D249" s="20">
        <v>1</v>
      </c>
      <c r="E249" s="20" t="s">
        <v>80</v>
      </c>
      <c r="F249" s="20" t="s">
        <v>277</v>
      </c>
      <c r="G249" s="2"/>
      <c r="H249" s="20" t="s">
        <v>181</v>
      </c>
      <c r="I249" s="20" t="s">
        <v>371</v>
      </c>
      <c r="J249" s="20" t="s">
        <v>372</v>
      </c>
      <c r="K249" s="28">
        <v>5634000</v>
      </c>
      <c r="L249" s="18">
        <v>42916</v>
      </c>
      <c r="M249" s="88">
        <f t="shared" si="26"/>
        <v>6</v>
      </c>
      <c r="N249" s="17"/>
      <c r="O249" s="86"/>
      <c r="P249" s="17">
        <v>42930</v>
      </c>
      <c r="Q249" s="17"/>
      <c r="R249" s="17">
        <v>42930</v>
      </c>
      <c r="S249" s="24">
        <f>MONTH(R249)</f>
        <v>7</v>
      </c>
      <c r="T249" s="5"/>
      <c r="U249" s="3"/>
      <c r="V249" s="3"/>
      <c r="W249" s="3" t="s">
        <v>488</v>
      </c>
      <c r="X249" s="3"/>
      <c r="Y249" s="59"/>
    </row>
    <row r="250" spans="1:25" ht="63.75" hidden="1" customHeight="1" outlineLevel="1" x14ac:dyDescent="0.25">
      <c r="A250" s="20" t="s">
        <v>181</v>
      </c>
      <c r="B250" s="20" t="s">
        <v>369</v>
      </c>
      <c r="C250" s="20" t="s">
        <v>370</v>
      </c>
      <c r="D250" s="20">
        <v>2</v>
      </c>
      <c r="E250" s="20" t="s">
        <v>80</v>
      </c>
      <c r="F250" s="20" t="s">
        <v>277</v>
      </c>
      <c r="G250" s="75">
        <f>MAX($G$3:G249)+1</f>
        <v>42</v>
      </c>
      <c r="H250" s="20" t="s">
        <v>181</v>
      </c>
      <c r="I250" s="20" t="s">
        <v>374</v>
      </c>
      <c r="J250" s="20" t="s">
        <v>375</v>
      </c>
      <c r="K250" s="28">
        <v>2381180</v>
      </c>
      <c r="L250" s="18">
        <v>42916</v>
      </c>
      <c r="M250" s="88">
        <f t="shared" si="26"/>
        <v>6</v>
      </c>
      <c r="N250" s="17"/>
      <c r="O250" s="86"/>
      <c r="P250" s="17">
        <v>42946</v>
      </c>
      <c r="Q250" s="5">
        <v>42965</v>
      </c>
      <c r="R250" s="17">
        <v>42972</v>
      </c>
      <c r="S250" s="24">
        <f>MONTH(R250)</f>
        <v>8</v>
      </c>
      <c r="T250" s="5"/>
      <c r="U250" s="3"/>
      <c r="V250" s="3"/>
      <c r="W250" s="3" t="s">
        <v>489</v>
      </c>
      <c r="X250" s="3" t="s">
        <v>620</v>
      </c>
      <c r="Y250" s="59"/>
    </row>
    <row r="251" spans="1:25" ht="91.5" customHeight="1" outlineLevel="1" x14ac:dyDescent="0.25">
      <c r="A251" s="3" t="s">
        <v>181</v>
      </c>
      <c r="B251" s="2" t="s">
        <v>369</v>
      </c>
      <c r="C251" s="2" t="s">
        <v>370</v>
      </c>
      <c r="D251" s="2">
        <v>2</v>
      </c>
      <c r="E251" s="2" t="s">
        <v>80</v>
      </c>
      <c r="F251" s="196" t="s">
        <v>277</v>
      </c>
      <c r="G251" s="75">
        <v>42</v>
      </c>
      <c r="H251" s="3" t="s">
        <v>181</v>
      </c>
      <c r="I251" s="3" t="s">
        <v>186</v>
      </c>
      <c r="J251" s="3" t="s">
        <v>187</v>
      </c>
      <c r="K251" s="28">
        <v>2948459.58</v>
      </c>
      <c r="L251" s="10">
        <v>42886</v>
      </c>
      <c r="M251" s="207">
        <f t="shared" si="26"/>
        <v>5</v>
      </c>
      <c r="N251" s="17"/>
      <c r="O251" s="17">
        <v>42916</v>
      </c>
      <c r="P251" s="17"/>
      <c r="Q251" s="5">
        <v>42993</v>
      </c>
      <c r="R251" s="209" t="s">
        <v>124</v>
      </c>
      <c r="S251" s="203" t="s">
        <v>124</v>
      </c>
      <c r="T251" s="5"/>
      <c r="U251" s="212"/>
      <c r="V251" s="3" t="s">
        <v>268</v>
      </c>
      <c r="W251" s="3"/>
      <c r="X251" s="195" t="s">
        <v>660</v>
      </c>
      <c r="Y251" s="133" t="s">
        <v>892</v>
      </c>
    </row>
    <row r="252" spans="1:25" ht="84.75" customHeight="1" outlineLevel="1" x14ac:dyDescent="0.25">
      <c r="A252" s="53" t="s">
        <v>181</v>
      </c>
      <c r="B252" s="53" t="s">
        <v>369</v>
      </c>
      <c r="C252" s="20" t="s">
        <v>370</v>
      </c>
      <c r="D252" s="53">
        <v>2</v>
      </c>
      <c r="E252" s="53" t="s">
        <v>80</v>
      </c>
      <c r="F252" s="199" t="s">
        <v>277</v>
      </c>
      <c r="G252" s="75">
        <v>43</v>
      </c>
      <c r="H252" s="53" t="s">
        <v>181</v>
      </c>
      <c r="I252" s="20" t="s">
        <v>533</v>
      </c>
      <c r="J252" s="20" t="s">
        <v>534</v>
      </c>
      <c r="K252" s="55">
        <v>4507200</v>
      </c>
      <c r="L252" s="54">
        <v>42946</v>
      </c>
      <c r="M252" s="207">
        <f t="shared" si="26"/>
        <v>7</v>
      </c>
      <c r="N252" s="17"/>
      <c r="O252" s="5"/>
      <c r="P252" s="5"/>
      <c r="Q252" s="5">
        <v>42978</v>
      </c>
      <c r="R252" s="217" t="s">
        <v>124</v>
      </c>
      <c r="S252" s="203" t="s">
        <v>124</v>
      </c>
      <c r="T252" s="10">
        <v>43008</v>
      </c>
      <c r="U252" s="211"/>
      <c r="V252" s="59"/>
      <c r="W252" s="59"/>
      <c r="X252" s="195" t="s">
        <v>674</v>
      </c>
      <c r="Y252" s="133" t="s">
        <v>841</v>
      </c>
    </row>
    <row r="253" spans="1:25" ht="0.75" hidden="1" customHeight="1" x14ac:dyDescent="0.25">
      <c r="A253" s="3" t="s">
        <v>181</v>
      </c>
      <c r="B253" s="2" t="s">
        <v>369</v>
      </c>
      <c r="C253" s="2" t="s">
        <v>370</v>
      </c>
      <c r="D253" s="2">
        <v>2</v>
      </c>
      <c r="E253" s="2" t="s">
        <v>80</v>
      </c>
      <c r="F253" s="2" t="s">
        <v>277</v>
      </c>
      <c r="G253" s="2"/>
      <c r="H253" s="3" t="s">
        <v>181</v>
      </c>
      <c r="I253" s="3" t="s">
        <v>182</v>
      </c>
      <c r="J253" s="3" t="s">
        <v>183</v>
      </c>
      <c r="K253" s="28">
        <v>4225500.0100000007</v>
      </c>
      <c r="L253" s="10">
        <v>42885</v>
      </c>
      <c r="M253" s="88">
        <f t="shared" si="26"/>
        <v>5</v>
      </c>
      <c r="N253" s="17"/>
      <c r="O253" s="17">
        <v>42916</v>
      </c>
      <c r="P253" s="17"/>
      <c r="Q253" s="17"/>
      <c r="R253" s="17">
        <v>42935</v>
      </c>
      <c r="S253" s="24">
        <f>MONTH(R253)</f>
        <v>7</v>
      </c>
      <c r="T253" s="5"/>
      <c r="U253" s="23"/>
      <c r="V253" s="3" t="s">
        <v>267</v>
      </c>
      <c r="W253" s="3"/>
      <c r="X253" s="3"/>
      <c r="Y253" s="59"/>
    </row>
    <row r="254" spans="1:25" s="231" customFormat="1" ht="35.25" customHeight="1" x14ac:dyDescent="0.25">
      <c r="A254" s="3"/>
      <c r="B254" s="2"/>
      <c r="C254" s="2"/>
      <c r="D254" s="2"/>
      <c r="E254" s="2"/>
      <c r="F254" s="196"/>
      <c r="G254" s="224"/>
      <c r="H254" s="233" t="s">
        <v>33</v>
      </c>
      <c r="I254" s="225" t="s">
        <v>35</v>
      </c>
      <c r="J254" s="226">
        <f>K255+K256+K257+K258+K260+K261+K262+K266+K267+K268+K270+K271+K272+K273+K274+K275+K278+K280+K281</f>
        <v>46307447.043765143</v>
      </c>
      <c r="K254" s="234"/>
      <c r="L254" s="228"/>
      <c r="M254" s="207"/>
      <c r="N254" s="228"/>
      <c r="O254" s="228"/>
      <c r="P254" s="228"/>
      <c r="Q254" s="228"/>
      <c r="R254" s="208" t="s">
        <v>124</v>
      </c>
      <c r="S254" s="202"/>
      <c r="T254" s="232"/>
      <c r="U254" s="212"/>
      <c r="V254" s="3"/>
      <c r="W254" s="3"/>
      <c r="X254" s="195"/>
      <c r="Y254" s="223"/>
    </row>
    <row r="255" spans="1:25" ht="100.5" customHeight="1" outlineLevel="1" x14ac:dyDescent="0.25">
      <c r="A255" s="53" t="s">
        <v>33</v>
      </c>
      <c r="B255" s="53" t="s">
        <v>34</v>
      </c>
      <c r="C255" s="20" t="s">
        <v>35</v>
      </c>
      <c r="D255" s="53">
        <v>1</v>
      </c>
      <c r="E255" s="53" t="s">
        <v>9</v>
      </c>
      <c r="F255" s="199" t="s">
        <v>277</v>
      </c>
      <c r="G255" s="75">
        <v>44</v>
      </c>
      <c r="H255" s="53" t="s">
        <v>33</v>
      </c>
      <c r="I255" s="20" t="s">
        <v>67</v>
      </c>
      <c r="J255" s="20" t="s">
        <v>717</v>
      </c>
      <c r="K255" s="55">
        <v>6106506.3179189889</v>
      </c>
      <c r="L255" s="54">
        <v>42978</v>
      </c>
      <c r="M255" s="207">
        <f t="shared" si="26"/>
        <v>8</v>
      </c>
      <c r="N255" s="108"/>
      <c r="O255" s="108"/>
      <c r="P255" s="109"/>
      <c r="Q255" s="5"/>
      <c r="R255" s="217" t="s">
        <v>124</v>
      </c>
      <c r="S255" s="192" t="s">
        <v>124</v>
      </c>
      <c r="T255" s="130">
        <v>43070</v>
      </c>
      <c r="U255" s="210"/>
      <c r="V255" s="59"/>
      <c r="W255" s="59"/>
      <c r="X255" s="192"/>
      <c r="Y255" s="134" t="s">
        <v>824</v>
      </c>
    </row>
    <row r="256" spans="1:25" ht="87.75" customHeight="1" outlineLevel="1" x14ac:dyDescent="0.25">
      <c r="A256" s="53" t="s">
        <v>33</v>
      </c>
      <c r="B256" s="53" t="s">
        <v>34</v>
      </c>
      <c r="C256" s="20" t="s">
        <v>35</v>
      </c>
      <c r="D256" s="53">
        <v>1</v>
      </c>
      <c r="E256" s="53" t="s">
        <v>9</v>
      </c>
      <c r="F256" s="199" t="s">
        <v>277</v>
      </c>
      <c r="G256" s="75">
        <v>45</v>
      </c>
      <c r="H256" s="53" t="s">
        <v>33</v>
      </c>
      <c r="I256" s="20" t="s">
        <v>67</v>
      </c>
      <c r="J256" s="20" t="s">
        <v>718</v>
      </c>
      <c r="K256" s="55">
        <v>2878412</v>
      </c>
      <c r="L256" s="54">
        <v>42978</v>
      </c>
      <c r="M256" s="207">
        <f t="shared" si="26"/>
        <v>8</v>
      </c>
      <c r="N256" s="108"/>
      <c r="O256" s="108"/>
      <c r="P256" s="109"/>
      <c r="Q256" s="5"/>
      <c r="R256" s="217" t="s">
        <v>124</v>
      </c>
      <c r="S256" s="192" t="s">
        <v>124</v>
      </c>
      <c r="T256" s="128" t="s">
        <v>800</v>
      </c>
      <c r="U256" s="210"/>
      <c r="V256" s="59"/>
      <c r="W256" s="59"/>
      <c r="X256" s="192"/>
      <c r="Y256" s="133" t="s">
        <v>825</v>
      </c>
    </row>
    <row r="257" spans="1:25" ht="67.5" customHeight="1" outlineLevel="1" x14ac:dyDescent="0.25">
      <c r="A257" s="53" t="s">
        <v>33</v>
      </c>
      <c r="B257" s="53" t="s">
        <v>34</v>
      </c>
      <c r="C257" s="20" t="s">
        <v>35</v>
      </c>
      <c r="D257" s="53">
        <v>1</v>
      </c>
      <c r="E257" s="53" t="s">
        <v>9</v>
      </c>
      <c r="F257" s="199" t="s">
        <v>277</v>
      </c>
      <c r="G257" s="75">
        <v>46</v>
      </c>
      <c r="H257" s="53" t="s">
        <v>33</v>
      </c>
      <c r="I257" s="20" t="s">
        <v>67</v>
      </c>
      <c r="J257" s="20" t="s">
        <v>719</v>
      </c>
      <c r="K257" s="55">
        <v>3338375</v>
      </c>
      <c r="L257" s="54">
        <v>42978</v>
      </c>
      <c r="M257" s="207">
        <f t="shared" si="26"/>
        <v>8</v>
      </c>
      <c r="N257" s="108"/>
      <c r="O257" s="108"/>
      <c r="P257" s="109"/>
      <c r="Q257" s="5"/>
      <c r="R257" s="217" t="s">
        <v>124</v>
      </c>
      <c r="S257" s="192" t="s">
        <v>124</v>
      </c>
      <c r="T257" s="130">
        <v>43070</v>
      </c>
      <c r="U257" s="210"/>
      <c r="V257" s="59"/>
      <c r="W257" s="59"/>
      <c r="X257" s="192"/>
      <c r="Y257" s="71" t="s">
        <v>826</v>
      </c>
    </row>
    <row r="258" spans="1:25" ht="47.25" customHeight="1" outlineLevel="1" x14ac:dyDescent="0.25">
      <c r="A258" s="53" t="s">
        <v>33</v>
      </c>
      <c r="B258" s="53" t="s">
        <v>34</v>
      </c>
      <c r="C258" s="20" t="s">
        <v>35</v>
      </c>
      <c r="D258" s="53">
        <v>1</v>
      </c>
      <c r="E258" s="53" t="s">
        <v>9</v>
      </c>
      <c r="F258" s="199" t="s">
        <v>277</v>
      </c>
      <c r="G258" s="75">
        <v>47</v>
      </c>
      <c r="H258" s="53" t="s">
        <v>33</v>
      </c>
      <c r="I258" s="20" t="s">
        <v>20</v>
      </c>
      <c r="J258" s="20" t="s">
        <v>535</v>
      </c>
      <c r="K258" s="55">
        <v>427060</v>
      </c>
      <c r="L258" s="54">
        <v>42947</v>
      </c>
      <c r="M258" s="207">
        <f t="shared" si="26"/>
        <v>7</v>
      </c>
      <c r="N258" s="17"/>
      <c r="O258" s="5"/>
      <c r="P258" s="5"/>
      <c r="Q258" s="5">
        <v>43162</v>
      </c>
      <c r="R258" s="217" t="s">
        <v>124</v>
      </c>
      <c r="S258" s="203" t="s">
        <v>124</v>
      </c>
      <c r="T258" s="10">
        <v>43189</v>
      </c>
      <c r="U258" s="211"/>
      <c r="V258" s="59"/>
      <c r="W258" s="59"/>
      <c r="X258" s="195" t="s">
        <v>673</v>
      </c>
      <c r="Y258" s="71" t="s">
        <v>827</v>
      </c>
    </row>
    <row r="259" spans="1:25" ht="63.75" hidden="1" customHeight="1" outlineLevel="1" x14ac:dyDescent="0.25">
      <c r="A259" s="3" t="s">
        <v>33</v>
      </c>
      <c r="B259" s="2" t="s">
        <v>34</v>
      </c>
      <c r="C259" s="2" t="s">
        <v>35</v>
      </c>
      <c r="D259" s="2">
        <v>1</v>
      </c>
      <c r="E259" s="2" t="s">
        <v>9</v>
      </c>
      <c r="F259" s="2" t="s">
        <v>277</v>
      </c>
      <c r="G259" s="2"/>
      <c r="H259" s="3" t="s">
        <v>33</v>
      </c>
      <c r="I259" s="3" t="s">
        <v>14</v>
      </c>
      <c r="J259" s="3" t="s">
        <v>188</v>
      </c>
      <c r="K259" s="28">
        <v>910759</v>
      </c>
      <c r="L259" s="10">
        <v>42855</v>
      </c>
      <c r="M259" s="88">
        <f t="shared" si="26"/>
        <v>4</v>
      </c>
      <c r="N259" s="17"/>
      <c r="O259" s="17"/>
      <c r="P259" s="17"/>
      <c r="Q259" s="17"/>
      <c r="R259" s="17">
        <v>42868</v>
      </c>
      <c r="S259" s="24">
        <f>MONTH(R259)</f>
        <v>5</v>
      </c>
      <c r="T259" s="5"/>
      <c r="U259" s="23"/>
      <c r="V259" s="3"/>
      <c r="W259" s="3"/>
      <c r="X259" s="3"/>
      <c r="Y259" s="59"/>
    </row>
    <row r="260" spans="1:25" ht="70.5" customHeight="1" outlineLevel="1" x14ac:dyDescent="0.25">
      <c r="A260" s="3" t="s">
        <v>33</v>
      </c>
      <c r="B260" s="2" t="s">
        <v>34</v>
      </c>
      <c r="C260" s="2" t="s">
        <v>35</v>
      </c>
      <c r="D260" s="2">
        <v>1</v>
      </c>
      <c r="E260" s="2" t="s">
        <v>9</v>
      </c>
      <c r="F260" s="196" t="s">
        <v>277</v>
      </c>
      <c r="G260" s="88">
        <v>48</v>
      </c>
      <c r="H260" s="86" t="s">
        <v>33</v>
      </c>
      <c r="I260" s="86" t="s">
        <v>14</v>
      </c>
      <c r="J260" s="86" t="s">
        <v>189</v>
      </c>
      <c r="K260" s="160">
        <v>2500000</v>
      </c>
      <c r="L260" s="17">
        <v>42885</v>
      </c>
      <c r="M260" s="207">
        <f t="shared" si="26"/>
        <v>5</v>
      </c>
      <c r="N260" s="17"/>
      <c r="O260" s="17">
        <v>43008</v>
      </c>
      <c r="P260" s="17"/>
      <c r="Q260" s="5">
        <v>43008</v>
      </c>
      <c r="R260" s="209" t="s">
        <v>124</v>
      </c>
      <c r="S260" s="203" t="s">
        <v>124</v>
      </c>
      <c r="T260" s="5">
        <v>43008</v>
      </c>
      <c r="U260" s="221"/>
      <c r="V260" s="3" t="s">
        <v>269</v>
      </c>
      <c r="W260" s="3"/>
      <c r="X260" s="195" t="s">
        <v>669</v>
      </c>
      <c r="Y260" s="86" t="s">
        <v>881</v>
      </c>
    </row>
    <row r="261" spans="1:25" ht="38.25" outlineLevel="1" x14ac:dyDescent="0.25">
      <c r="A261" s="53" t="s">
        <v>33</v>
      </c>
      <c r="B261" s="53" t="s">
        <v>34</v>
      </c>
      <c r="C261" s="20" t="s">
        <v>35</v>
      </c>
      <c r="D261" s="53">
        <v>2</v>
      </c>
      <c r="E261" s="53" t="s">
        <v>9</v>
      </c>
      <c r="F261" s="199" t="s">
        <v>277</v>
      </c>
      <c r="G261" s="75">
        <v>49</v>
      </c>
      <c r="H261" s="53" t="s">
        <v>33</v>
      </c>
      <c r="I261" s="20" t="s">
        <v>346</v>
      </c>
      <c r="J261" s="20" t="s">
        <v>720</v>
      </c>
      <c r="K261" s="55">
        <v>4924480.3319999995</v>
      </c>
      <c r="L261" s="54">
        <v>42978</v>
      </c>
      <c r="M261" s="207">
        <f t="shared" si="26"/>
        <v>8</v>
      </c>
      <c r="N261" s="108"/>
      <c r="O261" s="108"/>
      <c r="P261" s="109"/>
      <c r="Q261" s="5"/>
      <c r="R261" s="217" t="s">
        <v>124</v>
      </c>
      <c r="S261" s="192" t="s">
        <v>124</v>
      </c>
      <c r="T261" s="58">
        <v>43003</v>
      </c>
      <c r="U261" s="210"/>
      <c r="V261" s="59"/>
      <c r="W261" s="59"/>
      <c r="X261" s="192"/>
      <c r="Y261" s="133" t="s">
        <v>828</v>
      </c>
    </row>
    <row r="262" spans="1:25" ht="35.25" hidden="1" customHeight="1" outlineLevel="1" x14ac:dyDescent="0.25">
      <c r="A262" s="3" t="s">
        <v>33</v>
      </c>
      <c r="B262" s="2" t="s">
        <v>34</v>
      </c>
      <c r="C262" s="2" t="s">
        <v>35</v>
      </c>
      <c r="D262" s="2">
        <v>2</v>
      </c>
      <c r="E262" s="2" t="s">
        <v>9</v>
      </c>
      <c r="F262" s="2" t="s">
        <v>277</v>
      </c>
      <c r="G262" s="75">
        <v>41</v>
      </c>
      <c r="H262" s="3" t="s">
        <v>33</v>
      </c>
      <c r="I262" s="3" t="s">
        <v>16</v>
      </c>
      <c r="J262" s="3" t="s">
        <v>191</v>
      </c>
      <c r="K262" s="28">
        <v>301743</v>
      </c>
      <c r="L262" s="10">
        <v>42856</v>
      </c>
      <c r="M262" s="88">
        <f t="shared" si="26"/>
        <v>5</v>
      </c>
      <c r="N262" s="17"/>
      <c r="O262" s="17">
        <v>42947</v>
      </c>
      <c r="P262" s="17"/>
      <c r="Q262" s="5">
        <v>43003</v>
      </c>
      <c r="R262" s="106">
        <v>42992</v>
      </c>
      <c r="S262" s="24">
        <f>MONTH(R262)</f>
        <v>9</v>
      </c>
      <c r="T262" s="58">
        <v>43003</v>
      </c>
      <c r="U262" s="23"/>
      <c r="V262" s="3" t="s">
        <v>117</v>
      </c>
      <c r="W262" s="3"/>
      <c r="X262" s="3" t="s">
        <v>617</v>
      </c>
      <c r="Y262" s="133" t="s">
        <v>830</v>
      </c>
    </row>
    <row r="263" spans="1:25" ht="35.25" hidden="1" customHeight="1" outlineLevel="1" x14ac:dyDescent="0.25">
      <c r="A263" s="3"/>
      <c r="B263" s="2"/>
      <c r="C263" s="2"/>
      <c r="D263" s="2"/>
      <c r="E263" s="2"/>
      <c r="F263" s="2"/>
      <c r="G263" s="75"/>
      <c r="H263" s="3" t="s">
        <v>33</v>
      </c>
      <c r="I263" s="3" t="s">
        <v>16</v>
      </c>
      <c r="J263" s="3" t="s">
        <v>883</v>
      </c>
      <c r="K263" s="28">
        <v>246743</v>
      </c>
      <c r="L263" s="10">
        <v>42979</v>
      </c>
      <c r="M263" s="88">
        <v>9</v>
      </c>
      <c r="N263" s="17"/>
      <c r="O263" s="17"/>
      <c r="P263" s="17"/>
      <c r="Q263" s="5"/>
      <c r="R263" s="106">
        <v>42991</v>
      </c>
      <c r="S263" s="24"/>
      <c r="T263" s="58"/>
      <c r="U263" s="23"/>
      <c r="V263" s="3"/>
      <c r="W263" s="3"/>
      <c r="X263" s="3"/>
      <c r="Y263" s="222"/>
    </row>
    <row r="264" spans="1:25" ht="35.25" hidden="1" customHeight="1" outlineLevel="1" x14ac:dyDescent="0.25">
      <c r="A264" s="3"/>
      <c r="B264" s="2"/>
      <c r="C264" s="2"/>
      <c r="D264" s="2"/>
      <c r="E264" s="2"/>
      <c r="F264" s="2"/>
      <c r="G264" s="75"/>
      <c r="H264" s="3" t="s">
        <v>33</v>
      </c>
      <c r="I264" s="3" t="s">
        <v>16</v>
      </c>
      <c r="J264" s="3" t="s">
        <v>884</v>
      </c>
      <c r="K264" s="28">
        <v>350000</v>
      </c>
      <c r="L264" s="10">
        <v>43008</v>
      </c>
      <c r="M264" s="88">
        <v>9</v>
      </c>
      <c r="N264" s="17"/>
      <c r="O264" s="17"/>
      <c r="P264" s="17"/>
      <c r="Q264" s="5"/>
      <c r="R264" s="106">
        <v>42991</v>
      </c>
      <c r="S264" s="24"/>
      <c r="T264" s="58"/>
      <c r="U264" s="23"/>
      <c r="V264" s="3"/>
      <c r="W264" s="3"/>
      <c r="X264" s="3"/>
      <c r="Y264" s="222"/>
    </row>
    <row r="265" spans="1:25" ht="56.25" hidden="1" customHeight="1" outlineLevel="1" x14ac:dyDescent="0.25">
      <c r="A265" s="3" t="s">
        <v>33</v>
      </c>
      <c r="B265" s="2" t="s">
        <v>34</v>
      </c>
      <c r="C265" s="2" t="s">
        <v>35</v>
      </c>
      <c r="D265" s="2">
        <v>2</v>
      </c>
      <c r="E265" s="2" t="s">
        <v>9</v>
      </c>
      <c r="F265" s="2" t="s">
        <v>277</v>
      </c>
      <c r="G265" s="2"/>
      <c r="H265" s="3" t="s">
        <v>33</v>
      </c>
      <c r="I265" s="3" t="s">
        <v>53</v>
      </c>
      <c r="J265" s="3" t="s">
        <v>190</v>
      </c>
      <c r="K265" s="28">
        <v>762470.7</v>
      </c>
      <c r="L265" s="10">
        <v>42886</v>
      </c>
      <c r="M265" s="88">
        <f t="shared" si="26"/>
        <v>5</v>
      </c>
      <c r="N265" s="17"/>
      <c r="O265" s="17"/>
      <c r="P265" s="17"/>
      <c r="Q265" s="17"/>
      <c r="R265" s="17">
        <v>42867</v>
      </c>
      <c r="S265" s="24">
        <f>MONTH(R265)</f>
        <v>5</v>
      </c>
      <c r="T265" s="5"/>
      <c r="U265" s="24"/>
      <c r="V265" s="3"/>
      <c r="W265" s="3"/>
      <c r="X265" s="3"/>
      <c r="Y265" s="59"/>
    </row>
    <row r="266" spans="1:25" ht="38.25" outlineLevel="1" x14ac:dyDescent="0.25">
      <c r="A266" s="53" t="s">
        <v>33</v>
      </c>
      <c r="B266" s="53" t="s">
        <v>34</v>
      </c>
      <c r="C266" s="20" t="s">
        <v>35</v>
      </c>
      <c r="D266" s="53">
        <v>2</v>
      </c>
      <c r="E266" s="53" t="s">
        <v>9</v>
      </c>
      <c r="F266" s="199" t="s">
        <v>277</v>
      </c>
      <c r="G266" s="75">
        <v>50</v>
      </c>
      <c r="H266" s="53" t="s">
        <v>33</v>
      </c>
      <c r="I266" s="20" t="s">
        <v>149</v>
      </c>
      <c r="J266" s="20" t="s">
        <v>721</v>
      </c>
      <c r="K266" s="55">
        <v>565340.14</v>
      </c>
      <c r="L266" s="54">
        <v>42978</v>
      </c>
      <c r="M266" s="207">
        <f t="shared" si="26"/>
        <v>8</v>
      </c>
      <c r="N266" s="108"/>
      <c r="O266" s="108"/>
      <c r="P266" s="109"/>
      <c r="Q266" s="5"/>
      <c r="R266" s="217" t="s">
        <v>124</v>
      </c>
      <c r="S266" s="192" t="s">
        <v>124</v>
      </c>
      <c r="T266" s="58">
        <v>43003</v>
      </c>
      <c r="U266" s="210"/>
      <c r="V266" s="59"/>
      <c r="W266" s="59"/>
      <c r="X266" s="192"/>
      <c r="Y266" s="133" t="s">
        <v>831</v>
      </c>
    </row>
    <row r="267" spans="1:25" ht="45" customHeight="1" outlineLevel="1" x14ac:dyDescent="0.25">
      <c r="A267" s="53" t="s">
        <v>33</v>
      </c>
      <c r="B267" s="53" t="s">
        <v>34</v>
      </c>
      <c r="C267" s="20" t="s">
        <v>35</v>
      </c>
      <c r="D267" s="53">
        <v>2</v>
      </c>
      <c r="E267" s="53" t="s">
        <v>9</v>
      </c>
      <c r="F267" s="199" t="s">
        <v>277</v>
      </c>
      <c r="G267" s="75">
        <v>51</v>
      </c>
      <c r="H267" s="53" t="s">
        <v>33</v>
      </c>
      <c r="I267" s="20" t="s">
        <v>149</v>
      </c>
      <c r="J267" s="20" t="s">
        <v>722</v>
      </c>
      <c r="K267" s="55">
        <v>85000</v>
      </c>
      <c r="L267" s="54">
        <v>42978</v>
      </c>
      <c r="M267" s="207">
        <f t="shared" si="26"/>
        <v>8</v>
      </c>
      <c r="N267" s="108"/>
      <c r="O267" s="108"/>
      <c r="P267" s="109"/>
      <c r="Q267" s="5"/>
      <c r="R267" s="217" t="s">
        <v>124</v>
      </c>
      <c r="S267" s="192" t="s">
        <v>124</v>
      </c>
      <c r="T267" s="58">
        <v>43003</v>
      </c>
      <c r="U267" s="210"/>
      <c r="V267" s="59"/>
      <c r="W267" s="59"/>
      <c r="X267" s="192"/>
      <c r="Y267" s="258" t="s">
        <v>832</v>
      </c>
    </row>
    <row r="268" spans="1:25" ht="42.75" customHeight="1" outlineLevel="1" x14ac:dyDescent="0.25">
      <c r="A268" s="53" t="s">
        <v>33</v>
      </c>
      <c r="B268" s="53" t="s">
        <v>34</v>
      </c>
      <c r="C268" s="20" t="s">
        <v>35</v>
      </c>
      <c r="D268" s="53">
        <v>2</v>
      </c>
      <c r="E268" s="53" t="s">
        <v>9</v>
      </c>
      <c r="F268" s="199" t="s">
        <v>277</v>
      </c>
      <c r="G268" s="75">
        <v>52</v>
      </c>
      <c r="H268" s="53" t="s">
        <v>33</v>
      </c>
      <c r="I268" s="20" t="s">
        <v>149</v>
      </c>
      <c r="J268" s="20" t="s">
        <v>723</v>
      </c>
      <c r="K268" s="55">
        <v>85000</v>
      </c>
      <c r="L268" s="54">
        <v>42978</v>
      </c>
      <c r="M268" s="207">
        <f t="shared" si="26"/>
        <v>8</v>
      </c>
      <c r="N268" s="108"/>
      <c r="O268" s="108"/>
      <c r="P268" s="109"/>
      <c r="Q268" s="5"/>
      <c r="R268" s="217" t="s">
        <v>124</v>
      </c>
      <c r="S268" s="192" t="s">
        <v>124</v>
      </c>
      <c r="T268" s="58">
        <v>43003</v>
      </c>
      <c r="U268" s="210"/>
      <c r="V268" s="59"/>
      <c r="W268" s="59"/>
      <c r="X268" s="192"/>
      <c r="Y268" s="258"/>
    </row>
    <row r="269" spans="1:25" ht="43.5" hidden="1" customHeight="1" outlineLevel="1" x14ac:dyDescent="0.25">
      <c r="A269" s="53" t="s">
        <v>33</v>
      </c>
      <c r="B269" s="53" t="s">
        <v>34</v>
      </c>
      <c r="C269" s="20" t="s">
        <v>35</v>
      </c>
      <c r="D269" s="53">
        <v>2</v>
      </c>
      <c r="E269" s="53" t="s">
        <v>9</v>
      </c>
      <c r="F269" s="53" t="s">
        <v>277</v>
      </c>
      <c r="G269" s="75">
        <f>MAX($G$3:G268)+1</f>
        <v>53</v>
      </c>
      <c r="H269" s="53" t="s">
        <v>33</v>
      </c>
      <c r="I269" s="20" t="s">
        <v>768</v>
      </c>
      <c r="J269" s="20" t="s">
        <v>769</v>
      </c>
      <c r="K269" s="55">
        <v>365432</v>
      </c>
      <c r="L269" s="54" t="s">
        <v>245</v>
      </c>
      <c r="M269" s="10" t="s">
        <v>245</v>
      </c>
      <c r="N269" s="108"/>
      <c r="O269" s="108"/>
      <c r="P269" s="109"/>
      <c r="Q269" s="5"/>
      <c r="R269" s="106">
        <v>42956</v>
      </c>
      <c r="S269" s="24">
        <f t="shared" ref="S269" si="28">MONTH(R269)</f>
        <v>8</v>
      </c>
      <c r="T269" s="59"/>
      <c r="U269" s="59"/>
      <c r="V269" s="59"/>
      <c r="W269" s="59"/>
      <c r="X269" s="59"/>
      <c r="Y269" s="59"/>
    </row>
    <row r="270" spans="1:25" ht="63.75" hidden="1" outlineLevel="1" x14ac:dyDescent="0.25">
      <c r="A270" s="53" t="s">
        <v>33</v>
      </c>
      <c r="B270" s="53" t="s">
        <v>34</v>
      </c>
      <c r="C270" s="20" t="s">
        <v>35</v>
      </c>
      <c r="D270" s="53">
        <v>2</v>
      </c>
      <c r="E270" s="53" t="s">
        <v>9</v>
      </c>
      <c r="F270" s="199" t="s">
        <v>277</v>
      </c>
      <c r="G270" s="75">
        <v>55</v>
      </c>
      <c r="H270" s="53" t="s">
        <v>33</v>
      </c>
      <c r="I270" s="20" t="s">
        <v>25</v>
      </c>
      <c r="J270" s="20" t="s">
        <v>536</v>
      </c>
      <c r="K270" s="55">
        <v>4476823.5</v>
      </c>
      <c r="L270" s="54">
        <v>42947</v>
      </c>
      <c r="M270" s="207">
        <f t="shared" si="26"/>
        <v>7</v>
      </c>
      <c r="N270" s="17"/>
      <c r="O270" s="5"/>
      <c r="P270" s="5"/>
      <c r="Q270" s="5">
        <v>42978</v>
      </c>
      <c r="R270" s="217">
        <v>43000</v>
      </c>
      <c r="S270" s="202">
        <f>MONTH(R270)</f>
        <v>9</v>
      </c>
      <c r="T270" s="58">
        <v>43003</v>
      </c>
      <c r="U270" s="211"/>
      <c r="V270" s="59"/>
      <c r="W270" s="59"/>
      <c r="X270" s="195" t="s">
        <v>664</v>
      </c>
      <c r="Y270" s="155" t="s">
        <v>871</v>
      </c>
    </row>
    <row r="271" spans="1:25" ht="38.25" outlineLevel="1" x14ac:dyDescent="0.25">
      <c r="A271" s="53" t="s">
        <v>33</v>
      </c>
      <c r="B271" s="53" t="s">
        <v>34</v>
      </c>
      <c r="C271" s="20" t="s">
        <v>35</v>
      </c>
      <c r="D271" s="53">
        <v>2</v>
      </c>
      <c r="E271" s="53" t="s">
        <v>9</v>
      </c>
      <c r="F271" s="199" t="s">
        <v>277</v>
      </c>
      <c r="G271" s="75">
        <v>53</v>
      </c>
      <c r="H271" s="53" t="s">
        <v>33</v>
      </c>
      <c r="I271" s="20" t="s">
        <v>724</v>
      </c>
      <c r="J271" s="20" t="s">
        <v>725</v>
      </c>
      <c r="K271" s="55">
        <v>486150</v>
      </c>
      <c r="L271" s="54">
        <v>42978</v>
      </c>
      <c r="M271" s="207">
        <f t="shared" si="26"/>
        <v>8</v>
      </c>
      <c r="N271" s="108"/>
      <c r="O271" s="108"/>
      <c r="P271" s="109"/>
      <c r="Q271" s="5"/>
      <c r="R271" s="217" t="s">
        <v>124</v>
      </c>
      <c r="S271" s="192" t="s">
        <v>124</v>
      </c>
      <c r="T271" s="130">
        <v>42978</v>
      </c>
      <c r="U271" s="210"/>
      <c r="V271" s="59"/>
      <c r="W271" s="59"/>
      <c r="X271" s="192"/>
      <c r="Y271" s="155" t="s">
        <v>833</v>
      </c>
    </row>
    <row r="272" spans="1:25" ht="42" hidden="1" customHeight="1" outlineLevel="1" x14ac:dyDescent="0.25">
      <c r="A272" s="53" t="s">
        <v>33</v>
      </c>
      <c r="B272" s="53" t="s">
        <v>34</v>
      </c>
      <c r="C272" s="20" t="s">
        <v>35</v>
      </c>
      <c r="D272" s="53">
        <v>2</v>
      </c>
      <c r="E272" s="53" t="s">
        <v>9</v>
      </c>
      <c r="F272" s="199" t="s">
        <v>277</v>
      </c>
      <c r="G272" s="75">
        <v>57</v>
      </c>
      <c r="H272" s="53" t="s">
        <v>33</v>
      </c>
      <c r="I272" s="20" t="s">
        <v>724</v>
      </c>
      <c r="J272" s="20" t="s">
        <v>726</v>
      </c>
      <c r="K272" s="55">
        <v>1769000</v>
      </c>
      <c r="L272" s="54">
        <v>42978</v>
      </c>
      <c r="M272" s="207">
        <f t="shared" si="26"/>
        <v>8</v>
      </c>
      <c r="N272" s="108"/>
      <c r="O272" s="108"/>
      <c r="P272" s="109"/>
      <c r="Q272" s="5"/>
      <c r="R272" s="217">
        <v>43000</v>
      </c>
      <c r="S272" s="192">
        <f>MONTH(R272)</f>
        <v>9</v>
      </c>
      <c r="T272" s="130">
        <v>43003</v>
      </c>
      <c r="U272" s="210"/>
      <c r="V272" s="59"/>
      <c r="W272" s="59"/>
      <c r="X272" s="192"/>
      <c r="Y272" s="71" t="s">
        <v>834</v>
      </c>
    </row>
    <row r="273" spans="1:25" ht="39.75" customHeight="1" outlineLevel="1" x14ac:dyDescent="0.25">
      <c r="A273" s="53" t="s">
        <v>33</v>
      </c>
      <c r="B273" s="53" t="s">
        <v>34</v>
      </c>
      <c r="C273" s="20" t="s">
        <v>35</v>
      </c>
      <c r="D273" s="53">
        <v>2</v>
      </c>
      <c r="E273" s="53" t="s">
        <v>9</v>
      </c>
      <c r="F273" s="199" t="s">
        <v>277</v>
      </c>
      <c r="G273" s="75">
        <v>54</v>
      </c>
      <c r="H273" s="53" t="s">
        <v>33</v>
      </c>
      <c r="I273" s="20" t="s">
        <v>724</v>
      </c>
      <c r="J273" s="20" t="s">
        <v>727</v>
      </c>
      <c r="K273" s="55">
        <v>592340.13634615799</v>
      </c>
      <c r="L273" s="54">
        <v>42978</v>
      </c>
      <c r="M273" s="207">
        <f t="shared" si="26"/>
        <v>8</v>
      </c>
      <c r="N273" s="108"/>
      <c r="O273" s="108"/>
      <c r="P273" s="109"/>
      <c r="Q273" s="5"/>
      <c r="R273" s="217" t="s">
        <v>124</v>
      </c>
      <c r="S273" s="192" t="s">
        <v>124</v>
      </c>
      <c r="T273" s="59" t="s">
        <v>781</v>
      </c>
      <c r="U273" s="210"/>
      <c r="V273" s="59"/>
      <c r="W273" s="59"/>
      <c r="X273" s="192"/>
      <c r="Y273" s="133" t="s">
        <v>835</v>
      </c>
    </row>
    <row r="274" spans="1:25" ht="38.25" hidden="1" outlineLevel="1" x14ac:dyDescent="0.25">
      <c r="A274" s="53" t="s">
        <v>33</v>
      </c>
      <c r="B274" s="53" t="s">
        <v>34</v>
      </c>
      <c r="C274" s="20" t="s">
        <v>35</v>
      </c>
      <c r="D274" s="53">
        <v>2</v>
      </c>
      <c r="E274" s="53" t="s">
        <v>9</v>
      </c>
      <c r="F274" s="199" t="s">
        <v>277</v>
      </c>
      <c r="G274" s="75">
        <v>59</v>
      </c>
      <c r="H274" s="53" t="s">
        <v>33</v>
      </c>
      <c r="I274" s="20" t="s">
        <v>728</v>
      </c>
      <c r="J274" s="20" t="s">
        <v>729</v>
      </c>
      <c r="K274" s="55">
        <v>261460</v>
      </c>
      <c r="L274" s="54">
        <v>42977</v>
      </c>
      <c r="M274" s="207">
        <f t="shared" si="26"/>
        <v>8</v>
      </c>
      <c r="N274" s="108"/>
      <c r="O274" s="108"/>
      <c r="P274" s="109"/>
      <c r="Q274" s="5"/>
      <c r="R274" s="217">
        <v>42997</v>
      </c>
      <c r="S274" s="192">
        <f>MONTH(R274)</f>
        <v>9</v>
      </c>
      <c r="T274" s="58"/>
      <c r="U274" s="210"/>
      <c r="V274" s="59"/>
      <c r="W274" s="59"/>
      <c r="X274" s="192"/>
      <c r="Y274" s="86" t="s">
        <v>872</v>
      </c>
    </row>
    <row r="275" spans="1:25" ht="18.75" customHeight="1" outlineLevel="1" x14ac:dyDescent="0.25">
      <c r="A275" s="20" t="s">
        <v>33</v>
      </c>
      <c r="B275" s="20" t="s">
        <v>34</v>
      </c>
      <c r="C275" s="20" t="s">
        <v>35</v>
      </c>
      <c r="D275" s="20">
        <v>2</v>
      </c>
      <c r="E275" s="20" t="s">
        <v>9</v>
      </c>
      <c r="F275" s="193" t="s">
        <v>277</v>
      </c>
      <c r="G275" s="75">
        <v>55</v>
      </c>
      <c r="H275" s="20" t="s">
        <v>33</v>
      </c>
      <c r="I275" s="20" t="s">
        <v>376</v>
      </c>
      <c r="J275" s="20" t="s">
        <v>377</v>
      </c>
      <c r="K275" s="28">
        <v>1615000</v>
      </c>
      <c r="L275" s="18">
        <v>42916</v>
      </c>
      <c r="M275" s="207">
        <f t="shared" si="26"/>
        <v>6</v>
      </c>
      <c r="N275" s="17"/>
      <c r="O275" s="86"/>
      <c r="P275" s="17">
        <v>43003</v>
      </c>
      <c r="Q275" s="5"/>
      <c r="R275" s="209" t="s">
        <v>124</v>
      </c>
      <c r="S275" s="203" t="s">
        <v>124</v>
      </c>
      <c r="T275" s="129">
        <v>43003</v>
      </c>
      <c r="U275" s="211"/>
      <c r="V275" s="3"/>
      <c r="W275" s="3" t="s">
        <v>475</v>
      </c>
      <c r="X275" s="195" t="s">
        <v>265</v>
      </c>
      <c r="Y275" s="240" t="s">
        <v>888</v>
      </c>
    </row>
    <row r="276" spans="1:25" ht="63.75" hidden="1" customHeight="1" outlineLevel="1" x14ac:dyDescent="0.25">
      <c r="A276" s="3" t="s">
        <v>33</v>
      </c>
      <c r="B276" s="2" t="s">
        <v>34</v>
      </c>
      <c r="C276" s="2" t="s">
        <v>35</v>
      </c>
      <c r="D276" s="2">
        <v>2</v>
      </c>
      <c r="E276" s="2" t="s">
        <v>9</v>
      </c>
      <c r="F276" s="2" t="s">
        <v>277</v>
      </c>
      <c r="G276" s="2"/>
      <c r="H276" s="3" t="s">
        <v>33</v>
      </c>
      <c r="I276" s="3" t="s">
        <v>150</v>
      </c>
      <c r="J276" s="3" t="s">
        <v>192</v>
      </c>
      <c r="K276" s="28">
        <v>3241558</v>
      </c>
      <c r="L276" s="10">
        <v>42886</v>
      </c>
      <c r="M276" s="88">
        <f t="shared" si="26"/>
        <v>5</v>
      </c>
      <c r="N276" s="17"/>
      <c r="O276" s="17"/>
      <c r="P276" s="17"/>
      <c r="Q276" s="17"/>
      <c r="R276" s="17">
        <v>42885</v>
      </c>
      <c r="S276" s="24">
        <f>MONTH(R276)</f>
        <v>5</v>
      </c>
      <c r="T276" s="5"/>
      <c r="U276" s="23"/>
      <c r="V276" s="3"/>
      <c r="W276" s="3"/>
      <c r="X276" s="3"/>
      <c r="Y276" s="59"/>
    </row>
    <row r="277" spans="1:25" ht="63.75" hidden="1" customHeight="1" outlineLevel="1" x14ac:dyDescent="0.25">
      <c r="A277" s="53" t="s">
        <v>33</v>
      </c>
      <c r="B277" s="53" t="s">
        <v>34</v>
      </c>
      <c r="C277" s="20" t="s">
        <v>35</v>
      </c>
      <c r="D277" s="53">
        <v>2</v>
      </c>
      <c r="E277" s="53" t="s">
        <v>9</v>
      </c>
      <c r="F277" s="53" t="s">
        <v>277</v>
      </c>
      <c r="G277" s="2"/>
      <c r="H277" s="53" t="s">
        <v>33</v>
      </c>
      <c r="I277" s="20" t="s">
        <v>150</v>
      </c>
      <c r="J277" s="20" t="s">
        <v>537</v>
      </c>
      <c r="K277" s="55">
        <v>600000</v>
      </c>
      <c r="L277" s="54">
        <v>42947</v>
      </c>
      <c r="M277" s="88">
        <f t="shared" si="26"/>
        <v>7</v>
      </c>
      <c r="N277" s="17"/>
      <c r="O277" s="5"/>
      <c r="P277" s="5"/>
      <c r="Q277" s="5"/>
      <c r="R277" s="106">
        <v>42947</v>
      </c>
      <c r="S277" s="24">
        <f>MONTH(R277)</f>
        <v>7</v>
      </c>
      <c r="T277" s="10"/>
      <c r="U277" s="3"/>
      <c r="V277" s="59"/>
      <c r="W277" s="59"/>
      <c r="X277" s="59"/>
      <c r="Y277" s="59"/>
    </row>
    <row r="278" spans="1:25" ht="24.75" customHeight="1" outlineLevel="1" x14ac:dyDescent="0.25">
      <c r="A278" s="53" t="s">
        <v>33</v>
      </c>
      <c r="B278" s="53" t="s">
        <v>34</v>
      </c>
      <c r="C278" s="20" t="s">
        <v>35</v>
      </c>
      <c r="D278" s="53">
        <v>3</v>
      </c>
      <c r="E278" s="53" t="s">
        <v>9</v>
      </c>
      <c r="F278" s="199" t="s">
        <v>277</v>
      </c>
      <c r="G278" s="75">
        <v>56</v>
      </c>
      <c r="H278" s="53" t="s">
        <v>33</v>
      </c>
      <c r="I278" s="20" t="s">
        <v>346</v>
      </c>
      <c r="J278" s="20" t="s">
        <v>538</v>
      </c>
      <c r="K278" s="55">
        <v>4293663.9818999991</v>
      </c>
      <c r="L278" s="54">
        <v>42947</v>
      </c>
      <c r="M278" s="207">
        <f t="shared" si="26"/>
        <v>7</v>
      </c>
      <c r="N278" s="17"/>
      <c r="O278" s="5"/>
      <c r="P278" s="5"/>
      <c r="Q278" s="5">
        <v>43003</v>
      </c>
      <c r="R278" s="217" t="s">
        <v>124</v>
      </c>
      <c r="S278" s="203" t="s">
        <v>124</v>
      </c>
      <c r="T278" s="10">
        <v>43003</v>
      </c>
      <c r="U278" s="211"/>
      <c r="V278" s="59"/>
      <c r="W278" s="59"/>
      <c r="X278" s="195" t="s">
        <v>668</v>
      </c>
      <c r="Y278" s="133" t="s">
        <v>829</v>
      </c>
    </row>
    <row r="279" spans="1:25" ht="76.5" hidden="1" customHeight="1" outlineLevel="1" x14ac:dyDescent="0.25">
      <c r="A279" s="3" t="s">
        <v>33</v>
      </c>
      <c r="B279" s="2" t="s">
        <v>34</v>
      </c>
      <c r="C279" s="2" t="s">
        <v>35</v>
      </c>
      <c r="D279" s="2">
        <v>3</v>
      </c>
      <c r="E279" s="2" t="s">
        <v>9</v>
      </c>
      <c r="F279" s="2" t="s">
        <v>277</v>
      </c>
      <c r="G279" s="2"/>
      <c r="H279" s="3" t="s">
        <v>33</v>
      </c>
      <c r="I279" s="3" t="s">
        <v>67</v>
      </c>
      <c r="J279" s="3" t="s">
        <v>193</v>
      </c>
      <c r="K279" s="28">
        <v>3661825.25</v>
      </c>
      <c r="L279" s="10" t="s">
        <v>245</v>
      </c>
      <c r="M279" s="5" t="s">
        <v>245</v>
      </c>
      <c r="N279" s="17"/>
      <c r="O279" s="17"/>
      <c r="P279" s="17"/>
      <c r="Q279" s="17"/>
      <c r="R279" s="17">
        <v>42837</v>
      </c>
      <c r="S279" s="24">
        <f>MONTH(R279)</f>
        <v>4</v>
      </c>
      <c r="T279" s="5"/>
      <c r="U279" s="23"/>
      <c r="V279" s="3"/>
      <c r="W279" s="3"/>
      <c r="X279" s="3"/>
      <c r="Y279" s="59"/>
    </row>
    <row r="280" spans="1:25" ht="41.25" customHeight="1" outlineLevel="1" x14ac:dyDescent="0.25">
      <c r="A280" s="20" t="s">
        <v>33</v>
      </c>
      <c r="B280" s="20" t="s">
        <v>34</v>
      </c>
      <c r="C280" s="20" t="s">
        <v>35</v>
      </c>
      <c r="D280" s="20">
        <v>3</v>
      </c>
      <c r="E280" s="20" t="s">
        <v>9</v>
      </c>
      <c r="F280" s="193" t="s">
        <v>277</v>
      </c>
      <c r="G280" s="75">
        <v>57</v>
      </c>
      <c r="H280" s="20" t="s">
        <v>33</v>
      </c>
      <c r="I280" s="20" t="s">
        <v>67</v>
      </c>
      <c r="J280" s="20" t="s">
        <v>378</v>
      </c>
      <c r="K280" s="28">
        <v>9112716.5600000005</v>
      </c>
      <c r="L280" s="18">
        <v>42916</v>
      </c>
      <c r="M280" s="207">
        <f t="shared" ref="M280:M291" si="29">MONTH(L280)</f>
        <v>6</v>
      </c>
      <c r="N280" s="17"/>
      <c r="O280" s="86"/>
      <c r="P280" s="17">
        <v>43100</v>
      </c>
      <c r="Q280" s="5"/>
      <c r="R280" s="209" t="s">
        <v>124</v>
      </c>
      <c r="S280" s="203" t="s">
        <v>124</v>
      </c>
      <c r="T280" s="17">
        <v>43100</v>
      </c>
      <c r="U280" s="211"/>
      <c r="V280" s="3"/>
      <c r="W280" s="3" t="s">
        <v>490</v>
      </c>
      <c r="X280" s="195" t="s">
        <v>681</v>
      </c>
      <c r="Y280" s="71" t="s">
        <v>837</v>
      </c>
    </row>
    <row r="281" spans="1:25" ht="56.25" customHeight="1" outlineLevel="1" x14ac:dyDescent="0.25">
      <c r="A281" s="98" t="s">
        <v>33</v>
      </c>
      <c r="B281" s="98" t="s">
        <v>34</v>
      </c>
      <c r="C281" s="117" t="s">
        <v>35</v>
      </c>
      <c r="D281" s="98">
        <v>3</v>
      </c>
      <c r="E281" s="98" t="s">
        <v>9</v>
      </c>
      <c r="F281" s="200" t="s">
        <v>277</v>
      </c>
      <c r="G281" s="75">
        <v>58</v>
      </c>
      <c r="H281" s="98" t="s">
        <v>33</v>
      </c>
      <c r="I281" s="117" t="s">
        <v>67</v>
      </c>
      <c r="J281" s="117" t="s">
        <v>730</v>
      </c>
      <c r="K281" s="118">
        <v>2488376.0756000001</v>
      </c>
      <c r="L281" s="97">
        <v>42978</v>
      </c>
      <c r="M281" s="207">
        <f t="shared" si="29"/>
        <v>8</v>
      </c>
      <c r="N281" s="108"/>
      <c r="O281" s="108"/>
      <c r="P281" s="109"/>
      <c r="Q281" s="5"/>
      <c r="R281" s="217" t="s">
        <v>124</v>
      </c>
      <c r="S281" s="192" t="s">
        <v>124</v>
      </c>
      <c r="T281" s="129">
        <v>43098</v>
      </c>
      <c r="U281" s="210"/>
      <c r="V281" s="59"/>
      <c r="W281" s="59"/>
      <c r="X281" s="192"/>
      <c r="Y281" s="71" t="s">
        <v>838</v>
      </c>
    </row>
    <row r="282" spans="1:25" ht="63.75" hidden="1" customHeight="1" x14ac:dyDescent="0.25">
      <c r="A282" s="3" t="s">
        <v>194</v>
      </c>
      <c r="B282" s="2" t="s">
        <v>379</v>
      </c>
      <c r="C282" s="2" t="s">
        <v>380</v>
      </c>
      <c r="D282" s="2" t="s">
        <v>3</v>
      </c>
      <c r="E282" s="2" t="s">
        <v>9</v>
      </c>
      <c r="F282" s="2" t="s">
        <v>277</v>
      </c>
      <c r="G282" s="2"/>
      <c r="H282" s="3" t="s">
        <v>194</v>
      </c>
      <c r="I282" s="3" t="s">
        <v>195</v>
      </c>
      <c r="J282" s="3" t="s">
        <v>196</v>
      </c>
      <c r="K282" s="28">
        <v>24869088.388999999</v>
      </c>
      <c r="L282" s="10">
        <v>42886</v>
      </c>
      <c r="M282" s="88">
        <f t="shared" si="29"/>
        <v>5</v>
      </c>
      <c r="N282" s="17"/>
      <c r="O282" s="17"/>
      <c r="P282" s="17"/>
      <c r="Q282" s="17"/>
      <c r="R282" s="17">
        <v>42886</v>
      </c>
      <c r="S282" s="24">
        <f>MONTH(R282)</f>
        <v>5</v>
      </c>
      <c r="T282" s="5"/>
      <c r="U282" s="23"/>
      <c r="V282" s="3"/>
      <c r="W282" s="3"/>
      <c r="X282" s="3"/>
      <c r="Y282" s="59"/>
    </row>
    <row r="283" spans="1:25" ht="24.75" hidden="1" customHeight="1" x14ac:dyDescent="0.25">
      <c r="A283" s="3" t="s">
        <v>36</v>
      </c>
      <c r="B283" s="2" t="s">
        <v>37</v>
      </c>
      <c r="C283" s="2" t="s">
        <v>38</v>
      </c>
      <c r="D283" s="2" t="s">
        <v>3</v>
      </c>
      <c r="E283" s="2" t="s">
        <v>39</v>
      </c>
      <c r="F283" s="2" t="s">
        <v>352</v>
      </c>
      <c r="G283" s="2"/>
      <c r="H283" s="3" t="s">
        <v>36</v>
      </c>
      <c r="I283" s="3" t="s">
        <v>198</v>
      </c>
      <c r="J283" s="3" t="s">
        <v>199</v>
      </c>
      <c r="K283" s="28">
        <v>5165999.9999999991</v>
      </c>
      <c r="L283" s="10">
        <v>42867</v>
      </c>
      <c r="M283" s="88">
        <f t="shared" si="29"/>
        <v>5</v>
      </c>
      <c r="N283" s="17"/>
      <c r="O283" s="17"/>
      <c r="P283" s="17"/>
      <c r="Q283" s="17"/>
      <c r="R283" s="17">
        <v>42872</v>
      </c>
      <c r="S283" s="24">
        <f>MONTH(R283)</f>
        <v>5</v>
      </c>
      <c r="T283" s="5"/>
      <c r="U283" s="23"/>
      <c r="V283" s="3"/>
      <c r="W283" s="3"/>
      <c r="X283" s="3"/>
      <c r="Y283" s="59"/>
    </row>
    <row r="284" spans="1:25" ht="24.75" hidden="1" customHeight="1" x14ac:dyDescent="0.25">
      <c r="A284" s="3" t="s">
        <v>36</v>
      </c>
      <c r="B284" s="2" t="s">
        <v>37</v>
      </c>
      <c r="C284" s="2" t="s">
        <v>38</v>
      </c>
      <c r="D284" s="2" t="s">
        <v>3</v>
      </c>
      <c r="E284" s="2" t="s">
        <v>39</v>
      </c>
      <c r="F284" s="2" t="s">
        <v>352</v>
      </c>
      <c r="G284" s="2"/>
      <c r="H284" s="3" t="s">
        <v>36</v>
      </c>
      <c r="I284" s="3" t="s">
        <v>198</v>
      </c>
      <c r="J284" s="3" t="s">
        <v>870</v>
      </c>
      <c r="K284" s="28">
        <v>2535693</v>
      </c>
      <c r="L284" s="10" t="s">
        <v>245</v>
      </c>
      <c r="M284" s="88" t="s">
        <v>245</v>
      </c>
      <c r="N284" s="17"/>
      <c r="O284" s="17"/>
      <c r="P284" s="17"/>
      <c r="Q284" s="17"/>
      <c r="R284" s="17">
        <v>42991</v>
      </c>
      <c r="S284" s="24">
        <f>MONTH(R284)</f>
        <v>9</v>
      </c>
      <c r="T284" s="5"/>
      <c r="U284" s="23"/>
      <c r="V284" s="3"/>
      <c r="W284" s="3"/>
      <c r="X284" s="3"/>
      <c r="Y284" s="59"/>
    </row>
    <row r="285" spans="1:25" s="231" customFormat="1" ht="18.75" customHeight="1" x14ac:dyDescent="0.25">
      <c r="A285" s="3"/>
      <c r="B285" s="2"/>
      <c r="C285" s="2"/>
      <c r="D285" s="2"/>
      <c r="E285" s="2"/>
      <c r="F285" s="196"/>
      <c r="G285" s="224"/>
      <c r="H285" s="225" t="str">
        <f>H286</f>
        <v>6.1.1.</v>
      </c>
      <c r="I285" s="225" t="s">
        <v>38</v>
      </c>
      <c r="J285" s="226">
        <f>K286</f>
        <v>12978208</v>
      </c>
      <c r="K285" s="234"/>
      <c r="L285" s="228"/>
      <c r="M285" s="207"/>
      <c r="N285" s="228"/>
      <c r="O285" s="228"/>
      <c r="P285" s="228"/>
      <c r="Q285" s="228"/>
      <c r="R285" s="208" t="s">
        <v>124</v>
      </c>
      <c r="S285" s="202"/>
      <c r="T285" s="232"/>
      <c r="U285" s="212"/>
      <c r="V285" s="3"/>
      <c r="W285" s="3"/>
      <c r="X285" s="195"/>
      <c r="Y285" s="223"/>
    </row>
    <row r="286" spans="1:25" ht="38.25" outlineLevel="1" x14ac:dyDescent="0.25">
      <c r="A286" s="53" t="s">
        <v>36</v>
      </c>
      <c r="B286" s="53" t="s">
        <v>37</v>
      </c>
      <c r="C286" s="20" t="s">
        <v>38</v>
      </c>
      <c r="D286" s="53" t="s">
        <v>3</v>
      </c>
      <c r="E286" s="53" t="s">
        <v>39</v>
      </c>
      <c r="F286" s="199" t="s">
        <v>352</v>
      </c>
      <c r="G286" s="75">
        <v>59</v>
      </c>
      <c r="H286" s="53" t="s">
        <v>36</v>
      </c>
      <c r="I286" s="20" t="s">
        <v>198</v>
      </c>
      <c r="J286" s="20" t="s">
        <v>677</v>
      </c>
      <c r="K286" s="55">
        <v>12978208</v>
      </c>
      <c r="L286" s="54">
        <v>42947</v>
      </c>
      <c r="M286" s="207">
        <f t="shared" si="29"/>
        <v>7</v>
      </c>
      <c r="N286" s="17"/>
      <c r="O286" s="5"/>
      <c r="P286" s="5"/>
      <c r="Q286" s="5">
        <v>42978</v>
      </c>
      <c r="R286" s="217" t="s">
        <v>124</v>
      </c>
      <c r="S286" s="203" t="s">
        <v>124</v>
      </c>
      <c r="T286" s="10">
        <v>43054</v>
      </c>
      <c r="U286" s="211"/>
      <c r="V286" s="59"/>
      <c r="W286" s="59"/>
      <c r="X286" s="192"/>
      <c r="Y286" s="133" t="s">
        <v>804</v>
      </c>
    </row>
    <row r="287" spans="1:25" ht="63.75" hidden="1" customHeight="1" x14ac:dyDescent="0.25">
      <c r="A287" s="3" t="s">
        <v>36</v>
      </c>
      <c r="B287" s="2" t="s">
        <v>37</v>
      </c>
      <c r="C287" s="2" t="s">
        <v>38</v>
      </c>
      <c r="D287" s="2" t="s">
        <v>3</v>
      </c>
      <c r="E287" s="2" t="s">
        <v>39</v>
      </c>
      <c r="F287" s="2" t="s">
        <v>352</v>
      </c>
      <c r="G287" s="2"/>
      <c r="H287" s="3" t="s">
        <v>36</v>
      </c>
      <c r="I287" s="3" t="s">
        <v>197</v>
      </c>
      <c r="J287" s="3" t="s">
        <v>40</v>
      </c>
      <c r="K287" s="28">
        <v>15421178.119999999</v>
      </c>
      <c r="L287" s="10">
        <v>42855</v>
      </c>
      <c r="M287" s="88">
        <f t="shared" si="29"/>
        <v>4</v>
      </c>
      <c r="N287" s="17">
        <v>42916</v>
      </c>
      <c r="O287" s="17"/>
      <c r="P287" s="17"/>
      <c r="Q287" s="17"/>
      <c r="R287" s="17">
        <v>42922</v>
      </c>
      <c r="S287" s="24">
        <f>MONTH(R287)</f>
        <v>7</v>
      </c>
      <c r="T287" s="5"/>
      <c r="U287" s="23" t="s">
        <v>120</v>
      </c>
      <c r="V287" s="3"/>
      <c r="W287" s="3"/>
      <c r="X287" s="3"/>
      <c r="Y287" s="59"/>
    </row>
    <row r="288" spans="1:25" s="231" customFormat="1" ht="32.25" customHeight="1" x14ac:dyDescent="0.25">
      <c r="A288" s="3"/>
      <c r="B288" s="2"/>
      <c r="C288" s="2"/>
      <c r="D288" s="2"/>
      <c r="E288" s="2"/>
      <c r="F288" s="196"/>
      <c r="G288" s="224"/>
      <c r="H288" s="233" t="s">
        <v>539</v>
      </c>
      <c r="I288" s="225" t="s">
        <v>541</v>
      </c>
      <c r="J288" s="226">
        <f>K289</f>
        <v>11194970.120000001</v>
      </c>
      <c r="K288" s="234"/>
      <c r="L288" s="228"/>
      <c r="M288" s="207"/>
      <c r="N288" s="228"/>
      <c r="O288" s="228"/>
      <c r="P288" s="228"/>
      <c r="Q288" s="228"/>
      <c r="R288" s="208" t="s">
        <v>124</v>
      </c>
      <c r="S288" s="202"/>
      <c r="T288" s="232"/>
      <c r="U288" s="212"/>
      <c r="V288" s="3"/>
      <c r="W288" s="3"/>
      <c r="X288" s="195"/>
      <c r="Y288" s="223"/>
    </row>
    <row r="289" spans="1:25" ht="74.25" customHeight="1" outlineLevel="1" x14ac:dyDescent="0.25">
      <c r="A289" s="53" t="s">
        <v>539</v>
      </c>
      <c r="B289" s="53" t="s">
        <v>540</v>
      </c>
      <c r="C289" s="20" t="s">
        <v>541</v>
      </c>
      <c r="D289" s="53" t="s">
        <v>3</v>
      </c>
      <c r="E289" s="53" t="s">
        <v>39</v>
      </c>
      <c r="F289" s="199" t="s">
        <v>352</v>
      </c>
      <c r="G289" s="75">
        <v>60</v>
      </c>
      <c r="H289" s="53" t="s">
        <v>539</v>
      </c>
      <c r="I289" s="20" t="s">
        <v>312</v>
      </c>
      <c r="J289" s="20" t="s">
        <v>542</v>
      </c>
      <c r="K289" s="55">
        <v>11194970.120000001</v>
      </c>
      <c r="L289" s="54">
        <v>42947</v>
      </c>
      <c r="M289" s="207">
        <f t="shared" si="29"/>
        <v>7</v>
      </c>
      <c r="N289" s="17"/>
      <c r="O289" s="5"/>
      <c r="P289" s="5"/>
      <c r="Q289" s="5">
        <v>43008</v>
      </c>
      <c r="R289" s="217" t="s">
        <v>124</v>
      </c>
      <c r="S289" s="203" t="s">
        <v>124</v>
      </c>
      <c r="T289" s="10">
        <v>43008</v>
      </c>
      <c r="U289" s="211"/>
      <c r="V289" s="59"/>
      <c r="W289" s="59"/>
      <c r="X289" s="195" t="s">
        <v>678</v>
      </c>
      <c r="Y289" s="133" t="s">
        <v>805</v>
      </c>
    </row>
    <row r="290" spans="1:25" ht="63.75" hidden="1" customHeight="1" x14ac:dyDescent="0.25">
      <c r="A290" s="3" t="s">
        <v>41</v>
      </c>
      <c r="B290" s="2" t="s">
        <v>42</v>
      </c>
      <c r="C290" s="2" t="s">
        <v>43</v>
      </c>
      <c r="D290" s="2" t="s">
        <v>3</v>
      </c>
      <c r="E290" s="2" t="s">
        <v>39</v>
      </c>
      <c r="F290" s="2" t="s">
        <v>352</v>
      </c>
      <c r="G290" s="2"/>
      <c r="H290" s="3" t="s">
        <v>41</v>
      </c>
      <c r="I290" s="3" t="s">
        <v>44</v>
      </c>
      <c r="J290" s="99" t="s">
        <v>608</v>
      </c>
      <c r="K290" s="28">
        <v>12004303</v>
      </c>
      <c r="L290" s="10">
        <v>42855</v>
      </c>
      <c r="M290" s="88">
        <f t="shared" si="29"/>
        <v>4</v>
      </c>
      <c r="N290" s="17"/>
      <c r="O290" s="17">
        <v>42965</v>
      </c>
      <c r="P290" s="17"/>
      <c r="Q290" s="17"/>
      <c r="R290" s="17">
        <v>42943</v>
      </c>
      <c r="S290" s="24">
        <f t="shared" ref="S290:S313" si="30">MONTH(R290)</f>
        <v>7</v>
      </c>
      <c r="T290" s="5"/>
      <c r="U290" s="24"/>
      <c r="V290" s="23" t="s">
        <v>270</v>
      </c>
      <c r="W290" s="23"/>
      <c r="X290" s="3"/>
      <c r="Y290" s="59"/>
    </row>
    <row r="291" spans="1:25" ht="63.75" hidden="1" customHeight="1" x14ac:dyDescent="0.25">
      <c r="A291" s="3" t="s">
        <v>41</v>
      </c>
      <c r="B291" s="2" t="s">
        <v>42</v>
      </c>
      <c r="C291" s="2" t="s">
        <v>43</v>
      </c>
      <c r="D291" s="2" t="s">
        <v>3</v>
      </c>
      <c r="E291" s="2" t="s">
        <v>39</v>
      </c>
      <c r="F291" s="2" t="s">
        <v>352</v>
      </c>
      <c r="G291" s="2"/>
      <c r="H291" s="3" t="s">
        <v>41</v>
      </c>
      <c r="I291" s="3" t="s">
        <v>200</v>
      </c>
      <c r="J291" s="3" t="s">
        <v>201</v>
      </c>
      <c r="K291" s="28">
        <v>2711205</v>
      </c>
      <c r="L291" s="10">
        <v>42886</v>
      </c>
      <c r="M291" s="88">
        <f t="shared" si="29"/>
        <v>5</v>
      </c>
      <c r="N291" s="17"/>
      <c r="O291" s="17"/>
      <c r="P291" s="17"/>
      <c r="Q291" s="17"/>
      <c r="R291" s="17">
        <v>42886</v>
      </c>
      <c r="S291" s="24">
        <f t="shared" si="30"/>
        <v>5</v>
      </c>
      <c r="T291" s="5"/>
      <c r="U291" s="23"/>
      <c r="V291" s="3"/>
      <c r="W291" s="3"/>
      <c r="X291" s="3"/>
      <c r="Y291" s="59"/>
    </row>
    <row r="292" spans="1:25" ht="102" hidden="1" customHeight="1" x14ac:dyDescent="0.25">
      <c r="A292" s="3" t="s">
        <v>41</v>
      </c>
      <c r="B292" s="2" t="s">
        <v>42</v>
      </c>
      <c r="C292" s="2" t="s">
        <v>43</v>
      </c>
      <c r="D292" s="2" t="s">
        <v>3</v>
      </c>
      <c r="E292" s="2" t="s">
        <v>39</v>
      </c>
      <c r="F292" s="2" t="s">
        <v>352</v>
      </c>
      <c r="G292" s="2"/>
      <c r="H292" s="3" t="s">
        <v>41</v>
      </c>
      <c r="I292" s="3" t="s">
        <v>91</v>
      </c>
      <c r="J292" s="3" t="s">
        <v>90</v>
      </c>
      <c r="K292" s="28">
        <v>5047626</v>
      </c>
      <c r="L292" s="10" t="s">
        <v>245</v>
      </c>
      <c r="M292" s="5" t="s">
        <v>245</v>
      </c>
      <c r="N292" s="17"/>
      <c r="O292" s="17"/>
      <c r="P292" s="17"/>
      <c r="Q292" s="17"/>
      <c r="R292" s="17">
        <v>42844</v>
      </c>
      <c r="S292" s="24">
        <f t="shared" si="30"/>
        <v>4</v>
      </c>
      <c r="T292" s="5"/>
      <c r="U292" s="23"/>
      <c r="V292" s="3"/>
      <c r="W292" s="3"/>
      <c r="X292" s="3"/>
      <c r="Y292" s="59"/>
    </row>
    <row r="293" spans="1:25" ht="63.75" hidden="1" customHeight="1" x14ac:dyDescent="0.25">
      <c r="A293" s="3" t="s">
        <v>202</v>
      </c>
      <c r="B293" s="2" t="s">
        <v>381</v>
      </c>
      <c r="C293" s="2" t="s">
        <v>109</v>
      </c>
      <c r="D293" s="2" t="s">
        <v>3</v>
      </c>
      <c r="E293" s="2" t="s">
        <v>39</v>
      </c>
      <c r="F293" s="2" t="s">
        <v>352</v>
      </c>
      <c r="G293" s="2"/>
      <c r="H293" s="3" t="s">
        <v>202</v>
      </c>
      <c r="I293" s="3" t="s">
        <v>66</v>
      </c>
      <c r="J293" s="3" t="s">
        <v>85</v>
      </c>
      <c r="K293" s="28">
        <v>4930000</v>
      </c>
      <c r="L293" s="10" t="s">
        <v>245</v>
      </c>
      <c r="M293" s="5" t="s">
        <v>245</v>
      </c>
      <c r="N293" s="17"/>
      <c r="O293" s="17"/>
      <c r="P293" s="17"/>
      <c r="Q293" s="17"/>
      <c r="R293" s="17">
        <v>42831</v>
      </c>
      <c r="S293" s="24">
        <f t="shared" si="30"/>
        <v>4</v>
      </c>
      <c r="T293" s="5"/>
      <c r="U293" s="23"/>
      <c r="V293" s="3"/>
      <c r="W293" s="3"/>
      <c r="X293" s="3"/>
      <c r="Y293" s="59"/>
    </row>
    <row r="294" spans="1:25" ht="114.75" hidden="1" customHeight="1" x14ac:dyDescent="0.25">
      <c r="A294" s="20" t="s">
        <v>202</v>
      </c>
      <c r="B294" s="20" t="s">
        <v>381</v>
      </c>
      <c r="C294" s="20" t="s">
        <v>109</v>
      </c>
      <c r="D294" s="20" t="s">
        <v>3</v>
      </c>
      <c r="E294" s="20" t="s">
        <v>39</v>
      </c>
      <c r="F294" s="20" t="s">
        <v>352</v>
      </c>
      <c r="G294" s="2"/>
      <c r="H294" s="20" t="s">
        <v>202</v>
      </c>
      <c r="I294" s="20" t="s">
        <v>382</v>
      </c>
      <c r="J294" s="20" t="s">
        <v>463</v>
      </c>
      <c r="K294" s="28">
        <v>4930000</v>
      </c>
      <c r="L294" s="10" t="s">
        <v>245</v>
      </c>
      <c r="M294" s="5" t="s">
        <v>245</v>
      </c>
      <c r="N294" s="17"/>
      <c r="O294" s="86"/>
      <c r="P294" s="86"/>
      <c r="Q294" s="86"/>
      <c r="R294" s="17">
        <v>42831</v>
      </c>
      <c r="S294" s="24">
        <f t="shared" si="30"/>
        <v>4</v>
      </c>
      <c r="T294" s="5"/>
      <c r="U294" s="3"/>
      <c r="V294" s="3"/>
      <c r="W294" s="3"/>
      <c r="X294" s="3"/>
      <c r="Y294" s="59"/>
    </row>
    <row r="295" spans="1:25" ht="63.75" hidden="1" customHeight="1" x14ac:dyDescent="0.25">
      <c r="A295" s="3" t="s">
        <v>106</v>
      </c>
      <c r="B295" s="2" t="s">
        <v>411</v>
      </c>
      <c r="C295" s="2" t="s">
        <v>111</v>
      </c>
      <c r="D295" s="2" t="s">
        <v>3</v>
      </c>
      <c r="E295" s="2" t="s">
        <v>39</v>
      </c>
      <c r="F295" s="2" t="s">
        <v>352</v>
      </c>
      <c r="G295" s="2"/>
      <c r="H295" s="3" t="s">
        <v>106</v>
      </c>
      <c r="I295" s="3" t="s">
        <v>78</v>
      </c>
      <c r="J295" s="3" t="s">
        <v>99</v>
      </c>
      <c r="K295" s="28">
        <v>318556362</v>
      </c>
      <c r="L295" s="10" t="s">
        <v>245</v>
      </c>
      <c r="M295" s="5" t="s">
        <v>245</v>
      </c>
      <c r="N295" s="17"/>
      <c r="O295" s="17"/>
      <c r="P295" s="17"/>
      <c r="Q295" s="17"/>
      <c r="R295" s="17">
        <v>42853</v>
      </c>
      <c r="S295" s="24">
        <f t="shared" si="30"/>
        <v>4</v>
      </c>
      <c r="T295" s="5"/>
      <c r="U295" s="23"/>
      <c r="V295" s="3"/>
      <c r="W295" s="3"/>
      <c r="X295" s="3"/>
      <c r="Y295" s="59"/>
    </row>
    <row r="296" spans="1:25" ht="63.75" hidden="1" customHeight="1" x14ac:dyDescent="0.25">
      <c r="A296" s="3" t="s">
        <v>203</v>
      </c>
      <c r="B296" s="2" t="s">
        <v>383</v>
      </c>
      <c r="C296" s="2" t="s">
        <v>110</v>
      </c>
      <c r="D296" s="2" t="s">
        <v>3</v>
      </c>
      <c r="E296" s="2" t="s">
        <v>39</v>
      </c>
      <c r="F296" s="2" t="s">
        <v>277</v>
      </c>
      <c r="G296" s="2"/>
      <c r="H296" s="3" t="s">
        <v>203</v>
      </c>
      <c r="I296" s="3" t="s">
        <v>66</v>
      </c>
      <c r="J296" s="3" t="s">
        <v>96</v>
      </c>
      <c r="K296" s="28">
        <v>8544348</v>
      </c>
      <c r="L296" s="10" t="s">
        <v>245</v>
      </c>
      <c r="M296" s="5" t="s">
        <v>245</v>
      </c>
      <c r="N296" s="17"/>
      <c r="O296" s="17"/>
      <c r="P296" s="17"/>
      <c r="Q296" s="17"/>
      <c r="R296" s="17">
        <v>42851</v>
      </c>
      <c r="S296" s="24">
        <f t="shared" si="30"/>
        <v>4</v>
      </c>
      <c r="T296" s="5"/>
      <c r="U296" s="23"/>
      <c r="V296" s="3"/>
      <c r="W296" s="3"/>
      <c r="X296" s="3"/>
      <c r="Y296" s="59"/>
    </row>
    <row r="297" spans="1:25" ht="51" hidden="1" customHeight="1" x14ac:dyDescent="0.25">
      <c r="A297" s="3" t="s">
        <v>203</v>
      </c>
      <c r="B297" s="2" t="s">
        <v>383</v>
      </c>
      <c r="C297" s="2" t="s">
        <v>110</v>
      </c>
      <c r="D297" s="2" t="s">
        <v>3</v>
      </c>
      <c r="E297" s="2" t="s">
        <v>39</v>
      </c>
      <c r="F297" s="2" t="s">
        <v>277</v>
      </c>
      <c r="G297" s="2"/>
      <c r="H297" s="3" t="s">
        <v>203</v>
      </c>
      <c r="I297" s="3" t="s">
        <v>66</v>
      </c>
      <c r="J297" s="3" t="s">
        <v>97</v>
      </c>
      <c r="K297" s="28">
        <v>9656505</v>
      </c>
      <c r="L297" s="10" t="s">
        <v>245</v>
      </c>
      <c r="M297" s="5" t="s">
        <v>245</v>
      </c>
      <c r="N297" s="17"/>
      <c r="O297" s="17"/>
      <c r="P297" s="17"/>
      <c r="Q297" s="17"/>
      <c r="R297" s="17">
        <v>42851</v>
      </c>
      <c r="S297" s="24">
        <f t="shared" si="30"/>
        <v>4</v>
      </c>
      <c r="T297" s="5"/>
      <c r="U297" s="23"/>
      <c r="V297" s="3"/>
      <c r="W297" s="3"/>
      <c r="X297" s="3"/>
      <c r="Y297" s="59"/>
    </row>
    <row r="298" spans="1:25" ht="25.5" hidden="1" customHeight="1" x14ac:dyDescent="0.25">
      <c r="A298" s="3" t="s">
        <v>203</v>
      </c>
      <c r="B298" s="2" t="s">
        <v>383</v>
      </c>
      <c r="C298" s="2" t="s">
        <v>110</v>
      </c>
      <c r="D298" s="2" t="s">
        <v>3</v>
      </c>
      <c r="E298" s="2" t="s">
        <v>39</v>
      </c>
      <c r="F298" s="2" t="s">
        <v>277</v>
      </c>
      <c r="G298" s="2"/>
      <c r="H298" s="3" t="s">
        <v>203</v>
      </c>
      <c r="I298" s="3" t="s">
        <v>66</v>
      </c>
      <c r="J298" s="3" t="s">
        <v>100</v>
      </c>
      <c r="K298" s="28">
        <v>8046854.2000000002</v>
      </c>
      <c r="L298" s="10" t="s">
        <v>245</v>
      </c>
      <c r="M298" s="5" t="s">
        <v>245</v>
      </c>
      <c r="N298" s="17"/>
      <c r="O298" s="17"/>
      <c r="P298" s="17"/>
      <c r="Q298" s="17"/>
      <c r="R298" s="17">
        <v>42864</v>
      </c>
      <c r="S298" s="24">
        <f t="shared" si="30"/>
        <v>5</v>
      </c>
      <c r="T298" s="5"/>
      <c r="U298" s="23"/>
      <c r="V298" s="3"/>
      <c r="W298" s="3"/>
      <c r="X298" s="3"/>
      <c r="Y298" s="59"/>
    </row>
    <row r="299" spans="1:25" ht="51" hidden="1" customHeight="1" x14ac:dyDescent="0.25">
      <c r="A299" s="20" t="s">
        <v>203</v>
      </c>
      <c r="B299" s="20" t="s">
        <v>383</v>
      </c>
      <c r="C299" s="20" t="s">
        <v>110</v>
      </c>
      <c r="D299" s="20" t="s">
        <v>3</v>
      </c>
      <c r="E299" s="20" t="s">
        <v>39</v>
      </c>
      <c r="F299" s="20" t="s">
        <v>277</v>
      </c>
      <c r="G299" s="2"/>
      <c r="H299" s="20" t="s">
        <v>203</v>
      </c>
      <c r="I299" s="20" t="s">
        <v>382</v>
      </c>
      <c r="J299" s="20" t="s">
        <v>384</v>
      </c>
      <c r="K299" s="28">
        <v>9656505</v>
      </c>
      <c r="L299" s="10" t="s">
        <v>245</v>
      </c>
      <c r="M299" s="5" t="s">
        <v>245</v>
      </c>
      <c r="N299" s="17"/>
      <c r="O299" s="86"/>
      <c r="P299" s="86"/>
      <c r="Q299" s="86"/>
      <c r="R299" s="17">
        <v>42852</v>
      </c>
      <c r="S299" s="24">
        <f t="shared" si="30"/>
        <v>4</v>
      </c>
      <c r="T299" s="5"/>
      <c r="U299" s="3"/>
      <c r="V299" s="3"/>
      <c r="W299" s="3"/>
      <c r="X299" s="3"/>
      <c r="Y299" s="59"/>
    </row>
    <row r="300" spans="1:25" ht="51" hidden="1" customHeight="1" x14ac:dyDescent="0.25">
      <c r="A300" s="3" t="s">
        <v>45</v>
      </c>
      <c r="B300" s="2" t="s">
        <v>46</v>
      </c>
      <c r="C300" s="2" t="s">
        <v>47</v>
      </c>
      <c r="D300" s="2" t="s">
        <v>3</v>
      </c>
      <c r="E300" s="2" t="s">
        <v>4</v>
      </c>
      <c r="F300" s="2" t="s">
        <v>277</v>
      </c>
      <c r="G300" s="2"/>
      <c r="H300" s="3" t="s">
        <v>45</v>
      </c>
      <c r="I300" s="3" t="s">
        <v>204</v>
      </c>
      <c r="J300" s="3" t="s">
        <v>205</v>
      </c>
      <c r="K300" s="28">
        <v>2877818.05</v>
      </c>
      <c r="L300" s="10">
        <v>42856</v>
      </c>
      <c r="M300" s="88">
        <f t="shared" ref="M300:M322" si="31">MONTH(L300)</f>
        <v>5</v>
      </c>
      <c r="N300" s="17"/>
      <c r="O300" s="17"/>
      <c r="P300" s="17"/>
      <c r="Q300" s="17"/>
      <c r="R300" s="17">
        <v>42892</v>
      </c>
      <c r="S300" s="24">
        <f t="shared" si="30"/>
        <v>6</v>
      </c>
      <c r="T300" s="5"/>
      <c r="U300" s="23"/>
      <c r="V300" s="3"/>
      <c r="W300" s="3"/>
      <c r="X300" s="3"/>
      <c r="Y300" s="59"/>
    </row>
    <row r="301" spans="1:25" ht="51" hidden="1" customHeight="1" x14ac:dyDescent="0.25">
      <c r="A301" s="20" t="s">
        <v>45</v>
      </c>
      <c r="B301" s="20" t="s">
        <v>46</v>
      </c>
      <c r="C301" s="20" t="s">
        <v>47</v>
      </c>
      <c r="D301" s="20" t="s">
        <v>3</v>
      </c>
      <c r="E301" s="20" t="s">
        <v>4</v>
      </c>
      <c r="F301" s="20" t="s">
        <v>277</v>
      </c>
      <c r="G301" s="2"/>
      <c r="H301" s="20" t="s">
        <v>45</v>
      </c>
      <c r="I301" s="20" t="s">
        <v>79</v>
      </c>
      <c r="J301" s="20" t="s">
        <v>425</v>
      </c>
      <c r="K301" s="28">
        <v>1137479.3499999999</v>
      </c>
      <c r="L301" s="18">
        <v>42901</v>
      </c>
      <c r="M301" s="88">
        <f t="shared" si="31"/>
        <v>6</v>
      </c>
      <c r="N301" s="17"/>
      <c r="O301" s="86"/>
      <c r="P301" s="86"/>
      <c r="Q301" s="86"/>
      <c r="R301" s="17">
        <v>42900</v>
      </c>
      <c r="S301" s="24">
        <f t="shared" si="30"/>
        <v>6</v>
      </c>
      <c r="T301" s="5"/>
      <c r="U301" s="3"/>
      <c r="V301" s="3"/>
      <c r="W301" s="3"/>
      <c r="X301" s="3"/>
      <c r="Y301" s="59"/>
    </row>
    <row r="302" spans="1:25" ht="51" hidden="1" customHeight="1" x14ac:dyDescent="0.25">
      <c r="A302" s="20" t="s">
        <v>45</v>
      </c>
      <c r="B302" s="20" t="s">
        <v>46</v>
      </c>
      <c r="C302" s="20" t="s">
        <v>47</v>
      </c>
      <c r="D302" s="20" t="s">
        <v>3</v>
      </c>
      <c r="E302" s="20" t="s">
        <v>4</v>
      </c>
      <c r="F302" s="20" t="s">
        <v>277</v>
      </c>
      <c r="G302" s="2"/>
      <c r="H302" s="20" t="s">
        <v>45</v>
      </c>
      <c r="I302" s="20" t="s">
        <v>385</v>
      </c>
      <c r="J302" s="20" t="s">
        <v>424</v>
      </c>
      <c r="K302" s="28">
        <v>421152</v>
      </c>
      <c r="L302" s="18">
        <v>42901</v>
      </c>
      <c r="M302" s="88">
        <f t="shared" si="31"/>
        <v>6</v>
      </c>
      <c r="N302" s="17"/>
      <c r="O302" s="86"/>
      <c r="P302" s="86"/>
      <c r="Q302" s="86"/>
      <c r="R302" s="17">
        <v>42898</v>
      </c>
      <c r="S302" s="24">
        <f t="shared" si="30"/>
        <v>6</v>
      </c>
      <c r="T302" s="5"/>
      <c r="U302" s="3"/>
      <c r="V302" s="3"/>
      <c r="W302" s="3"/>
      <c r="X302" s="3"/>
      <c r="Y302" s="59"/>
    </row>
    <row r="303" spans="1:25" ht="51" hidden="1" customHeight="1" x14ac:dyDescent="0.25">
      <c r="A303" s="3" t="s">
        <v>45</v>
      </c>
      <c r="B303" s="2" t="s">
        <v>46</v>
      </c>
      <c r="C303" s="2" t="s">
        <v>47</v>
      </c>
      <c r="D303" s="2" t="s">
        <v>3</v>
      </c>
      <c r="E303" s="2" t="s">
        <v>4</v>
      </c>
      <c r="F303" s="2" t="s">
        <v>277</v>
      </c>
      <c r="G303" s="2"/>
      <c r="H303" s="3" t="s">
        <v>45</v>
      </c>
      <c r="I303" s="3" t="s">
        <v>48</v>
      </c>
      <c r="J303" s="20" t="s">
        <v>430</v>
      </c>
      <c r="K303" s="28">
        <v>570186.79999999993</v>
      </c>
      <c r="L303" s="10">
        <v>42838</v>
      </c>
      <c r="M303" s="88">
        <f t="shared" si="31"/>
        <v>4</v>
      </c>
      <c r="N303" s="17">
        <v>42886</v>
      </c>
      <c r="O303" s="17"/>
      <c r="P303" s="17"/>
      <c r="Q303" s="17"/>
      <c r="R303" s="17">
        <v>42901</v>
      </c>
      <c r="S303" s="24">
        <f t="shared" si="30"/>
        <v>6</v>
      </c>
      <c r="T303" s="5"/>
      <c r="U303" s="23" t="s">
        <v>121</v>
      </c>
      <c r="V303" s="3"/>
      <c r="W303" s="3"/>
      <c r="X303" s="3"/>
      <c r="Y303" s="59"/>
    </row>
    <row r="304" spans="1:25" ht="59.25" hidden="1" customHeight="1" x14ac:dyDescent="0.25">
      <c r="A304" s="20" t="s">
        <v>45</v>
      </c>
      <c r="B304" s="20" t="s">
        <v>46</v>
      </c>
      <c r="C304" s="20" t="s">
        <v>47</v>
      </c>
      <c r="D304" s="20" t="s">
        <v>3</v>
      </c>
      <c r="E304" s="20" t="s">
        <v>4</v>
      </c>
      <c r="F304" s="20" t="s">
        <v>277</v>
      </c>
      <c r="G304" s="2"/>
      <c r="H304" s="20" t="s">
        <v>45</v>
      </c>
      <c r="I304" s="20" t="s">
        <v>386</v>
      </c>
      <c r="J304" s="20" t="s">
        <v>428</v>
      </c>
      <c r="K304" s="28">
        <v>546148.80000000005</v>
      </c>
      <c r="L304" s="21">
        <v>42901</v>
      </c>
      <c r="M304" s="88">
        <f t="shared" si="31"/>
        <v>6</v>
      </c>
      <c r="N304" s="17"/>
      <c r="O304" s="86"/>
      <c r="P304" s="86"/>
      <c r="Q304" s="86"/>
      <c r="R304" s="17">
        <v>42901</v>
      </c>
      <c r="S304" s="24">
        <f t="shared" si="30"/>
        <v>6</v>
      </c>
      <c r="T304" s="5"/>
      <c r="U304" s="3"/>
      <c r="V304" s="3"/>
      <c r="W304" s="3"/>
      <c r="X304" s="3"/>
      <c r="Y304" s="59"/>
    </row>
    <row r="305" spans="1:25" ht="51" hidden="1" customHeight="1" x14ac:dyDescent="0.25">
      <c r="A305" s="20" t="s">
        <v>45</v>
      </c>
      <c r="B305" s="20" t="s">
        <v>46</v>
      </c>
      <c r="C305" s="20" t="s">
        <v>47</v>
      </c>
      <c r="D305" s="20" t="s">
        <v>3</v>
      </c>
      <c r="E305" s="20" t="s">
        <v>4</v>
      </c>
      <c r="F305" s="20" t="s">
        <v>277</v>
      </c>
      <c r="G305" s="2"/>
      <c r="H305" s="20" t="s">
        <v>45</v>
      </c>
      <c r="I305" s="20" t="s">
        <v>387</v>
      </c>
      <c r="J305" s="20" t="s">
        <v>429</v>
      </c>
      <c r="K305" s="28">
        <v>709606.35</v>
      </c>
      <c r="L305" s="21">
        <v>42902</v>
      </c>
      <c r="M305" s="88">
        <f t="shared" si="31"/>
        <v>6</v>
      </c>
      <c r="N305" s="17"/>
      <c r="O305" s="86"/>
      <c r="P305" s="86"/>
      <c r="Q305" s="86"/>
      <c r="R305" s="17">
        <v>42901</v>
      </c>
      <c r="S305" s="24">
        <f t="shared" si="30"/>
        <v>6</v>
      </c>
      <c r="T305" s="5"/>
      <c r="U305" s="3"/>
      <c r="V305" s="3"/>
      <c r="W305" s="3"/>
      <c r="X305" s="3"/>
      <c r="Y305" s="59"/>
    </row>
    <row r="306" spans="1:25" ht="51" hidden="1" customHeight="1" x14ac:dyDescent="0.25">
      <c r="A306" s="3" t="s">
        <v>45</v>
      </c>
      <c r="B306" s="2" t="s">
        <v>46</v>
      </c>
      <c r="C306" s="2" t="s">
        <v>47</v>
      </c>
      <c r="D306" s="2" t="s">
        <v>3</v>
      </c>
      <c r="E306" s="2" t="s">
        <v>4</v>
      </c>
      <c r="F306" s="2" t="s">
        <v>277</v>
      </c>
      <c r="G306" s="2"/>
      <c r="H306" s="3" t="s">
        <v>45</v>
      </c>
      <c r="I306" s="3" t="s">
        <v>206</v>
      </c>
      <c r="J306" s="20" t="s">
        <v>250</v>
      </c>
      <c r="K306" s="28">
        <v>10396847</v>
      </c>
      <c r="L306" s="10">
        <v>42886</v>
      </c>
      <c r="M306" s="88">
        <f t="shared" si="31"/>
        <v>5</v>
      </c>
      <c r="N306" s="17"/>
      <c r="O306" s="17"/>
      <c r="P306" s="17"/>
      <c r="Q306" s="17"/>
      <c r="R306" s="17">
        <v>42901</v>
      </c>
      <c r="S306" s="24">
        <f t="shared" si="30"/>
        <v>6</v>
      </c>
      <c r="T306" s="5"/>
      <c r="U306" s="23"/>
      <c r="V306" s="3"/>
      <c r="W306" s="3"/>
      <c r="X306" s="3"/>
      <c r="Y306" s="59"/>
    </row>
    <row r="307" spans="1:25" ht="51" hidden="1" customHeight="1" x14ac:dyDescent="0.25">
      <c r="A307" s="3" t="s">
        <v>45</v>
      </c>
      <c r="B307" s="2" t="s">
        <v>46</v>
      </c>
      <c r="C307" s="2" t="s">
        <v>47</v>
      </c>
      <c r="D307" s="2" t="s">
        <v>3</v>
      </c>
      <c r="E307" s="2" t="s">
        <v>4</v>
      </c>
      <c r="F307" s="2" t="s">
        <v>277</v>
      </c>
      <c r="G307" s="2"/>
      <c r="H307" s="3" t="s">
        <v>45</v>
      </c>
      <c r="I307" s="3" t="s">
        <v>207</v>
      </c>
      <c r="J307" s="20" t="s">
        <v>251</v>
      </c>
      <c r="K307" s="28">
        <v>824987.89999999991</v>
      </c>
      <c r="L307" s="10">
        <v>42885</v>
      </c>
      <c r="M307" s="88">
        <f t="shared" si="31"/>
        <v>5</v>
      </c>
      <c r="N307" s="17"/>
      <c r="O307" s="17"/>
      <c r="P307" s="17"/>
      <c r="Q307" s="17"/>
      <c r="R307" s="17">
        <v>42901</v>
      </c>
      <c r="S307" s="24">
        <f t="shared" si="30"/>
        <v>6</v>
      </c>
      <c r="T307" s="5"/>
      <c r="U307" s="23"/>
      <c r="V307" s="3"/>
      <c r="W307" s="3"/>
      <c r="X307" s="3"/>
      <c r="Y307" s="59"/>
    </row>
    <row r="308" spans="1:25" ht="51" hidden="1" customHeight="1" x14ac:dyDescent="0.25">
      <c r="A308" s="20" t="s">
        <v>45</v>
      </c>
      <c r="B308" s="20" t="s">
        <v>46</v>
      </c>
      <c r="C308" s="20" t="s">
        <v>47</v>
      </c>
      <c r="D308" s="20" t="s">
        <v>3</v>
      </c>
      <c r="E308" s="20" t="s">
        <v>4</v>
      </c>
      <c r="F308" s="20" t="s">
        <v>277</v>
      </c>
      <c r="G308" s="2"/>
      <c r="H308" s="20" t="s">
        <v>45</v>
      </c>
      <c r="I308" s="20" t="s">
        <v>388</v>
      </c>
      <c r="J308" s="20" t="s">
        <v>427</v>
      </c>
      <c r="K308" s="28">
        <v>820179.45</v>
      </c>
      <c r="L308" s="21">
        <v>42901</v>
      </c>
      <c r="M308" s="88">
        <f t="shared" si="31"/>
        <v>6</v>
      </c>
      <c r="N308" s="17"/>
      <c r="O308" s="86"/>
      <c r="P308" s="86"/>
      <c r="Q308" s="86"/>
      <c r="R308" s="17">
        <v>42901</v>
      </c>
      <c r="S308" s="24">
        <f t="shared" si="30"/>
        <v>6</v>
      </c>
      <c r="T308" s="5"/>
      <c r="U308" s="3"/>
      <c r="V308" s="3"/>
      <c r="W308" s="3"/>
      <c r="X308" s="3"/>
      <c r="Y308" s="59"/>
    </row>
    <row r="309" spans="1:25" ht="51" hidden="1" customHeight="1" x14ac:dyDescent="0.25">
      <c r="A309" s="20" t="s">
        <v>45</v>
      </c>
      <c r="B309" s="20" t="s">
        <v>45</v>
      </c>
      <c r="C309" s="20" t="s">
        <v>47</v>
      </c>
      <c r="D309" s="20" t="s">
        <v>3</v>
      </c>
      <c r="E309" s="20" t="s">
        <v>4</v>
      </c>
      <c r="F309" s="20" t="s">
        <v>277</v>
      </c>
      <c r="G309" s="2"/>
      <c r="H309" s="20" t="s">
        <v>45</v>
      </c>
      <c r="I309" s="20" t="s">
        <v>283</v>
      </c>
      <c r="J309" s="20" t="s">
        <v>426</v>
      </c>
      <c r="K309" s="28">
        <v>4983531.3</v>
      </c>
      <c r="L309" s="21">
        <v>42887</v>
      </c>
      <c r="M309" s="88">
        <f t="shared" si="31"/>
        <v>6</v>
      </c>
      <c r="N309" s="17"/>
      <c r="O309" s="86"/>
      <c r="P309" s="86"/>
      <c r="Q309" s="86"/>
      <c r="R309" s="17">
        <v>42901</v>
      </c>
      <c r="S309" s="24">
        <f t="shared" si="30"/>
        <v>6</v>
      </c>
      <c r="T309" s="5"/>
      <c r="U309" s="3"/>
      <c r="V309" s="3"/>
      <c r="W309" s="3"/>
      <c r="X309" s="3"/>
      <c r="Y309" s="59"/>
    </row>
    <row r="310" spans="1:25" ht="51" hidden="1" customHeight="1" x14ac:dyDescent="0.25">
      <c r="A310" s="20" t="s">
        <v>45</v>
      </c>
      <c r="B310" s="20" t="s">
        <v>46</v>
      </c>
      <c r="C310" s="20" t="s">
        <v>47</v>
      </c>
      <c r="D310" s="20" t="s">
        <v>3</v>
      </c>
      <c r="E310" s="20" t="s">
        <v>4</v>
      </c>
      <c r="F310" s="20" t="s">
        <v>277</v>
      </c>
      <c r="G310" s="2"/>
      <c r="H310" s="20" t="s">
        <v>45</v>
      </c>
      <c r="I310" s="20" t="s">
        <v>285</v>
      </c>
      <c r="J310" s="20" t="s">
        <v>422</v>
      </c>
      <c r="K310" s="28">
        <v>9358414.1500000004</v>
      </c>
      <c r="L310" s="21">
        <v>42901</v>
      </c>
      <c r="M310" s="88">
        <f t="shared" si="31"/>
        <v>6</v>
      </c>
      <c r="N310" s="17"/>
      <c r="O310" s="86"/>
      <c r="P310" s="86"/>
      <c r="Q310" s="86"/>
      <c r="R310" s="17">
        <v>42894</v>
      </c>
      <c r="S310" s="24">
        <f t="shared" si="30"/>
        <v>6</v>
      </c>
      <c r="T310" s="5"/>
      <c r="U310" s="3"/>
      <c r="V310" s="3"/>
      <c r="W310" s="3"/>
      <c r="X310" s="3"/>
      <c r="Y310" s="59"/>
    </row>
    <row r="311" spans="1:25" ht="111.75" hidden="1" customHeight="1" x14ac:dyDescent="0.25">
      <c r="A311" s="20" t="s">
        <v>45</v>
      </c>
      <c r="B311" s="20" t="s">
        <v>46</v>
      </c>
      <c r="C311" s="20" t="s">
        <v>47</v>
      </c>
      <c r="D311" s="20" t="s">
        <v>3</v>
      </c>
      <c r="E311" s="20" t="s">
        <v>4</v>
      </c>
      <c r="F311" s="20" t="s">
        <v>277</v>
      </c>
      <c r="G311" s="2"/>
      <c r="H311" s="20" t="s">
        <v>45</v>
      </c>
      <c r="I311" s="20" t="s">
        <v>389</v>
      </c>
      <c r="J311" s="20" t="s">
        <v>390</v>
      </c>
      <c r="K311" s="28">
        <v>998060.64999999991</v>
      </c>
      <c r="L311" s="21">
        <v>42901</v>
      </c>
      <c r="M311" s="88">
        <f t="shared" si="31"/>
        <v>6</v>
      </c>
      <c r="N311" s="17"/>
      <c r="O311" s="86"/>
      <c r="P311" s="86"/>
      <c r="Q311" s="86"/>
      <c r="R311" s="17">
        <v>42901</v>
      </c>
      <c r="S311" s="24">
        <f t="shared" si="30"/>
        <v>6</v>
      </c>
      <c r="T311" s="5"/>
      <c r="U311" s="3"/>
      <c r="V311" s="3"/>
      <c r="W311" s="3"/>
      <c r="X311" s="3"/>
      <c r="Y311" s="59"/>
    </row>
    <row r="312" spans="1:25" ht="25.5" hidden="1" customHeight="1" x14ac:dyDescent="0.25">
      <c r="A312" s="3" t="s">
        <v>45</v>
      </c>
      <c r="B312" s="2" t="s">
        <v>46</v>
      </c>
      <c r="C312" s="2" t="s">
        <v>47</v>
      </c>
      <c r="D312" s="2" t="s">
        <v>3</v>
      </c>
      <c r="E312" s="2" t="s">
        <v>4</v>
      </c>
      <c r="F312" s="2" t="s">
        <v>277</v>
      </c>
      <c r="G312" s="2"/>
      <c r="H312" s="3" t="s">
        <v>45</v>
      </c>
      <c r="I312" s="3" t="s">
        <v>128</v>
      </c>
      <c r="J312" s="20" t="s">
        <v>249</v>
      </c>
      <c r="K312" s="28">
        <v>1507662</v>
      </c>
      <c r="L312" s="10">
        <v>42886</v>
      </c>
      <c r="M312" s="88">
        <f t="shared" si="31"/>
        <v>5</v>
      </c>
      <c r="N312" s="17"/>
      <c r="O312" s="17"/>
      <c r="P312" s="17"/>
      <c r="Q312" s="17"/>
      <c r="R312" s="17">
        <v>42901</v>
      </c>
      <c r="S312" s="24">
        <f t="shared" si="30"/>
        <v>6</v>
      </c>
      <c r="T312" s="5"/>
      <c r="U312" s="23"/>
      <c r="V312" s="3"/>
      <c r="W312" s="3"/>
      <c r="X312" s="3"/>
      <c r="Y312" s="59"/>
    </row>
    <row r="313" spans="1:25" ht="63.75" hidden="1" customHeight="1" x14ac:dyDescent="0.25">
      <c r="A313" s="3" t="s">
        <v>45</v>
      </c>
      <c r="B313" s="2" t="s">
        <v>46</v>
      </c>
      <c r="C313" s="2" t="s">
        <v>47</v>
      </c>
      <c r="D313" s="2" t="s">
        <v>3</v>
      </c>
      <c r="E313" s="2" t="s">
        <v>4</v>
      </c>
      <c r="F313" s="2" t="s">
        <v>277</v>
      </c>
      <c r="G313" s="2"/>
      <c r="H313" s="3" t="s">
        <v>45</v>
      </c>
      <c r="I313" s="3" t="s">
        <v>5</v>
      </c>
      <c r="J313" s="20" t="s">
        <v>423</v>
      </c>
      <c r="K313" s="28">
        <v>478843.39999999991</v>
      </c>
      <c r="L313" s="10">
        <v>42846</v>
      </c>
      <c r="M313" s="88">
        <f t="shared" si="31"/>
        <v>4</v>
      </c>
      <c r="N313" s="17"/>
      <c r="O313" s="17"/>
      <c r="P313" s="17"/>
      <c r="Q313" s="17"/>
      <c r="R313" s="17">
        <v>42895</v>
      </c>
      <c r="S313" s="24">
        <f t="shared" si="30"/>
        <v>6</v>
      </c>
      <c r="T313" s="5"/>
      <c r="U313" s="23" t="s">
        <v>112</v>
      </c>
      <c r="V313" s="3"/>
      <c r="W313" s="3"/>
      <c r="X313" s="3"/>
      <c r="Y313" s="59"/>
    </row>
    <row r="314" spans="1:25" s="231" customFormat="1" ht="40.5" customHeight="1" x14ac:dyDescent="0.25">
      <c r="A314" s="3"/>
      <c r="B314" s="2"/>
      <c r="C314" s="2"/>
      <c r="D314" s="2"/>
      <c r="E314" s="2"/>
      <c r="F314" s="196"/>
      <c r="G314" s="224"/>
      <c r="H314" s="224" t="s">
        <v>104</v>
      </c>
      <c r="I314" s="225" t="s">
        <v>391</v>
      </c>
      <c r="J314" s="234">
        <f>K315+K316+K317+K318+K319+K320+K321+K322+K328</f>
        <v>30603267.773739852</v>
      </c>
      <c r="K314" s="234"/>
      <c r="L314" s="228"/>
      <c r="M314" s="207"/>
      <c r="N314" s="228"/>
      <c r="O314" s="228"/>
      <c r="P314" s="228"/>
      <c r="Q314" s="228"/>
      <c r="R314" s="208" t="s">
        <v>124</v>
      </c>
      <c r="S314" s="202"/>
      <c r="T314" s="232"/>
      <c r="U314" s="212"/>
      <c r="V314" s="3"/>
      <c r="W314" s="3"/>
      <c r="X314" s="195"/>
      <c r="Y314" s="223"/>
    </row>
    <row r="315" spans="1:25" ht="90.75" customHeight="1" outlineLevel="1" x14ac:dyDescent="0.25">
      <c r="A315" s="20" t="s">
        <v>104</v>
      </c>
      <c r="B315" s="20" t="s">
        <v>103</v>
      </c>
      <c r="C315" s="20" t="s">
        <v>391</v>
      </c>
      <c r="D315" s="20">
        <v>1</v>
      </c>
      <c r="E315" s="20" t="s">
        <v>4</v>
      </c>
      <c r="F315" s="193" t="s">
        <v>277</v>
      </c>
      <c r="G315" s="75">
        <v>61</v>
      </c>
      <c r="H315" s="20" t="s">
        <v>104</v>
      </c>
      <c r="I315" s="20" t="s">
        <v>67</v>
      </c>
      <c r="J315" s="20" t="s">
        <v>392</v>
      </c>
      <c r="K315" s="28">
        <v>1471656</v>
      </c>
      <c r="L315" s="18">
        <v>42916</v>
      </c>
      <c r="M315" s="207">
        <f t="shared" si="31"/>
        <v>6</v>
      </c>
      <c r="N315" s="17"/>
      <c r="O315" s="86"/>
      <c r="P315" s="17"/>
      <c r="Q315" s="5">
        <v>43008</v>
      </c>
      <c r="R315" s="209" t="s">
        <v>124</v>
      </c>
      <c r="S315" s="203" t="s">
        <v>124</v>
      </c>
      <c r="T315" s="5">
        <v>43008</v>
      </c>
      <c r="U315" s="211"/>
      <c r="V315" s="3"/>
      <c r="W315" s="3" t="s">
        <v>491</v>
      </c>
      <c r="X315" s="195" t="s">
        <v>621</v>
      </c>
      <c r="Y315" s="133" t="s">
        <v>878</v>
      </c>
    </row>
    <row r="316" spans="1:25" ht="96" customHeight="1" outlineLevel="1" x14ac:dyDescent="0.25">
      <c r="A316" s="20" t="s">
        <v>104</v>
      </c>
      <c r="B316" s="20" t="s">
        <v>103</v>
      </c>
      <c r="C316" s="20" t="s">
        <v>391</v>
      </c>
      <c r="D316" s="20">
        <v>1</v>
      </c>
      <c r="E316" s="20" t="s">
        <v>4</v>
      </c>
      <c r="F316" s="193" t="s">
        <v>277</v>
      </c>
      <c r="G316" s="75">
        <v>62</v>
      </c>
      <c r="H316" s="20" t="s">
        <v>104</v>
      </c>
      <c r="I316" s="20" t="s">
        <v>67</v>
      </c>
      <c r="J316" s="20" t="s">
        <v>393</v>
      </c>
      <c r="K316" s="28">
        <v>2795505.2163551538</v>
      </c>
      <c r="L316" s="18">
        <v>42916</v>
      </c>
      <c r="M316" s="207">
        <f t="shared" si="31"/>
        <v>6</v>
      </c>
      <c r="N316" s="17"/>
      <c r="O316" s="86"/>
      <c r="P316" s="17"/>
      <c r="Q316" s="5">
        <v>43008</v>
      </c>
      <c r="R316" s="209" t="s">
        <v>124</v>
      </c>
      <c r="S316" s="203" t="s">
        <v>124</v>
      </c>
      <c r="T316" s="5" t="s">
        <v>782</v>
      </c>
      <c r="U316" s="211"/>
      <c r="V316" s="3"/>
      <c r="W316" s="3" t="s">
        <v>492</v>
      </c>
      <c r="X316" s="195" t="s">
        <v>622</v>
      </c>
      <c r="Y316" s="133" t="s">
        <v>879</v>
      </c>
    </row>
    <row r="317" spans="1:25" ht="58.5" customHeight="1" outlineLevel="1" x14ac:dyDescent="0.25">
      <c r="A317" s="20" t="s">
        <v>104</v>
      </c>
      <c r="B317" s="20" t="s">
        <v>103</v>
      </c>
      <c r="C317" s="20" t="s">
        <v>391</v>
      </c>
      <c r="D317" s="20">
        <v>1</v>
      </c>
      <c r="E317" s="20" t="s">
        <v>4</v>
      </c>
      <c r="F317" s="193" t="s">
        <v>277</v>
      </c>
      <c r="G317" s="75">
        <v>63</v>
      </c>
      <c r="H317" s="20" t="s">
        <v>104</v>
      </c>
      <c r="I317" s="20" t="s">
        <v>394</v>
      </c>
      <c r="J317" s="20" t="s">
        <v>395</v>
      </c>
      <c r="K317" s="28">
        <v>6315161.4773846949</v>
      </c>
      <c r="L317" s="18">
        <v>42916</v>
      </c>
      <c r="M317" s="207">
        <f t="shared" si="31"/>
        <v>6</v>
      </c>
      <c r="N317" s="17"/>
      <c r="O317" s="86"/>
      <c r="P317" s="17"/>
      <c r="Q317" s="5">
        <v>43069</v>
      </c>
      <c r="R317" s="209" t="s">
        <v>124</v>
      </c>
      <c r="S317" s="203" t="s">
        <v>124</v>
      </c>
      <c r="T317" s="5">
        <v>43069</v>
      </c>
      <c r="U317" s="211"/>
      <c r="V317" s="3"/>
      <c r="W317" s="3" t="s">
        <v>492</v>
      </c>
      <c r="X317" s="195" t="s">
        <v>672</v>
      </c>
      <c r="Y317" s="133" t="s">
        <v>874</v>
      </c>
    </row>
    <row r="318" spans="1:25" ht="63.75" outlineLevel="1" x14ac:dyDescent="0.25">
      <c r="A318" s="3" t="s">
        <v>104</v>
      </c>
      <c r="B318" s="2" t="s">
        <v>103</v>
      </c>
      <c r="C318" s="2" t="s">
        <v>391</v>
      </c>
      <c r="D318" s="2">
        <v>1</v>
      </c>
      <c r="E318" s="2" t="s">
        <v>4</v>
      </c>
      <c r="F318" s="196" t="s">
        <v>277</v>
      </c>
      <c r="G318" s="75">
        <v>64</v>
      </c>
      <c r="H318" s="3" t="s">
        <v>104</v>
      </c>
      <c r="I318" s="3" t="s">
        <v>12</v>
      </c>
      <c r="J318" s="3" t="s">
        <v>208</v>
      </c>
      <c r="K318" s="28">
        <v>1471654</v>
      </c>
      <c r="L318" s="10">
        <v>42885</v>
      </c>
      <c r="M318" s="207">
        <f t="shared" si="31"/>
        <v>5</v>
      </c>
      <c r="N318" s="17"/>
      <c r="O318" s="17">
        <v>42919</v>
      </c>
      <c r="P318" s="17"/>
      <c r="Q318" s="5">
        <v>42978</v>
      </c>
      <c r="R318" s="209" t="s">
        <v>124</v>
      </c>
      <c r="S318" s="203" t="s">
        <v>124</v>
      </c>
      <c r="T318" s="5">
        <v>43008</v>
      </c>
      <c r="U318" s="212"/>
      <c r="V318" s="3" t="s">
        <v>271</v>
      </c>
      <c r="W318" s="3"/>
      <c r="X318" s="195" t="s">
        <v>676</v>
      </c>
      <c r="Y318" s="133" t="s">
        <v>806</v>
      </c>
    </row>
    <row r="319" spans="1:25" ht="28.5" customHeight="1" outlineLevel="1" x14ac:dyDescent="0.25">
      <c r="A319" s="53" t="s">
        <v>104</v>
      </c>
      <c r="B319" s="53" t="s">
        <v>103</v>
      </c>
      <c r="C319" s="20" t="s">
        <v>391</v>
      </c>
      <c r="D319" s="53">
        <v>1</v>
      </c>
      <c r="E319" s="53" t="s">
        <v>4</v>
      </c>
      <c r="F319" s="199" t="s">
        <v>277</v>
      </c>
      <c r="G319" s="75">
        <v>65</v>
      </c>
      <c r="H319" s="53" t="s">
        <v>104</v>
      </c>
      <c r="I319" s="20" t="s">
        <v>12</v>
      </c>
      <c r="J319" s="20" t="s">
        <v>543</v>
      </c>
      <c r="K319" s="55">
        <v>5382000</v>
      </c>
      <c r="L319" s="54">
        <v>42947</v>
      </c>
      <c r="M319" s="207">
        <f t="shared" si="31"/>
        <v>7</v>
      </c>
      <c r="N319" s="17"/>
      <c r="O319" s="5"/>
      <c r="P319" s="5"/>
      <c r="Q319" s="5">
        <v>43100</v>
      </c>
      <c r="R319" s="217" t="s">
        <v>124</v>
      </c>
      <c r="S319" s="203" t="s">
        <v>124</v>
      </c>
      <c r="T319" s="10">
        <v>43098</v>
      </c>
      <c r="U319" s="211"/>
      <c r="V319" s="59"/>
      <c r="W319" s="59"/>
      <c r="X319" s="195" t="s">
        <v>675</v>
      </c>
      <c r="Y319" s="71" t="s">
        <v>807</v>
      </c>
    </row>
    <row r="320" spans="1:25" ht="91.5" customHeight="1" outlineLevel="1" x14ac:dyDescent="0.25">
      <c r="A320" s="53" t="s">
        <v>104</v>
      </c>
      <c r="B320" s="53" t="s">
        <v>103</v>
      </c>
      <c r="C320" s="20" t="s">
        <v>391</v>
      </c>
      <c r="D320" s="53">
        <v>1</v>
      </c>
      <c r="E320" s="53" t="s">
        <v>4</v>
      </c>
      <c r="F320" s="199" t="s">
        <v>277</v>
      </c>
      <c r="G320" s="75">
        <v>66</v>
      </c>
      <c r="H320" s="53" t="s">
        <v>104</v>
      </c>
      <c r="I320" s="20" t="s">
        <v>544</v>
      </c>
      <c r="J320" s="20" t="s">
        <v>545</v>
      </c>
      <c r="K320" s="55">
        <v>4946055.7300000004</v>
      </c>
      <c r="L320" s="54">
        <v>42946</v>
      </c>
      <c r="M320" s="207">
        <f t="shared" si="31"/>
        <v>7</v>
      </c>
      <c r="N320" s="17"/>
      <c r="O320" s="5"/>
      <c r="P320" s="5"/>
      <c r="Q320" s="5">
        <v>42978</v>
      </c>
      <c r="R320" s="217" t="s">
        <v>124</v>
      </c>
      <c r="S320" s="203" t="s">
        <v>124</v>
      </c>
      <c r="T320" s="10">
        <v>43007</v>
      </c>
      <c r="U320" s="211"/>
      <c r="V320" s="59"/>
      <c r="W320" s="59"/>
      <c r="X320" s="195" t="s">
        <v>679</v>
      </c>
      <c r="Y320" s="133" t="s">
        <v>808</v>
      </c>
    </row>
    <row r="321" spans="1:25" ht="42.75" customHeight="1" outlineLevel="1" x14ac:dyDescent="0.25">
      <c r="A321" s="3" t="s">
        <v>104</v>
      </c>
      <c r="B321" s="2" t="s">
        <v>103</v>
      </c>
      <c r="C321" s="2" t="s">
        <v>391</v>
      </c>
      <c r="D321" s="2">
        <v>1</v>
      </c>
      <c r="E321" s="2" t="s">
        <v>4</v>
      </c>
      <c r="F321" s="196" t="s">
        <v>277</v>
      </c>
      <c r="G321" s="75">
        <v>67</v>
      </c>
      <c r="H321" s="3" t="s">
        <v>104</v>
      </c>
      <c r="I321" s="3" t="s">
        <v>209</v>
      </c>
      <c r="J321" s="3" t="s">
        <v>210</v>
      </c>
      <c r="K321" s="28">
        <v>3636684</v>
      </c>
      <c r="L321" s="10">
        <v>42886</v>
      </c>
      <c r="M321" s="207">
        <f t="shared" si="31"/>
        <v>5</v>
      </c>
      <c r="N321" s="17"/>
      <c r="O321" s="17">
        <v>43008</v>
      </c>
      <c r="P321" s="17"/>
      <c r="Q321" s="5"/>
      <c r="R321" s="209" t="s">
        <v>124</v>
      </c>
      <c r="S321" s="203" t="s">
        <v>124</v>
      </c>
      <c r="T321" s="129">
        <v>43008</v>
      </c>
      <c r="U321" s="212"/>
      <c r="V321" s="71" t="s">
        <v>272</v>
      </c>
      <c r="W321" s="71"/>
      <c r="X321" s="206" t="s">
        <v>662</v>
      </c>
      <c r="Y321" s="71" t="s">
        <v>809</v>
      </c>
    </row>
    <row r="322" spans="1:25" ht="135.75" customHeight="1" outlineLevel="1" x14ac:dyDescent="0.25">
      <c r="A322" s="53" t="s">
        <v>104</v>
      </c>
      <c r="B322" s="53" t="s">
        <v>103</v>
      </c>
      <c r="C322" s="20" t="s">
        <v>391</v>
      </c>
      <c r="D322" s="53">
        <v>2</v>
      </c>
      <c r="E322" s="53" t="s">
        <v>4</v>
      </c>
      <c r="F322" s="199" t="s">
        <v>277</v>
      </c>
      <c r="G322" s="75">
        <v>68</v>
      </c>
      <c r="H322" s="53" t="s">
        <v>104</v>
      </c>
      <c r="I322" s="20" t="s">
        <v>72</v>
      </c>
      <c r="J322" s="20" t="s">
        <v>731</v>
      </c>
      <c r="K322" s="55">
        <v>2325582</v>
      </c>
      <c r="L322" s="54">
        <v>42978</v>
      </c>
      <c r="M322" s="207">
        <f t="shared" si="31"/>
        <v>8</v>
      </c>
      <c r="N322" s="108"/>
      <c r="O322" s="108"/>
      <c r="P322" s="109"/>
      <c r="Q322" s="5"/>
      <c r="R322" s="217" t="s">
        <v>124</v>
      </c>
      <c r="S322" s="192" t="s">
        <v>124</v>
      </c>
      <c r="T322" s="128" t="s">
        <v>795</v>
      </c>
      <c r="U322" s="210"/>
      <c r="V322" s="59"/>
      <c r="W322" s="59"/>
      <c r="X322" s="192"/>
      <c r="Y322" s="71" t="s">
        <v>815</v>
      </c>
    </row>
    <row r="323" spans="1:25" ht="63.75" hidden="1" customHeight="1" outlineLevel="1" x14ac:dyDescent="0.25">
      <c r="A323" s="59" t="s">
        <v>104</v>
      </c>
      <c r="B323" s="3" t="s">
        <v>103</v>
      </c>
      <c r="C323" s="59" t="s">
        <v>391</v>
      </c>
      <c r="D323" s="59">
        <v>2</v>
      </c>
      <c r="E323" s="59" t="s">
        <v>4</v>
      </c>
      <c r="F323" s="59" t="s">
        <v>277</v>
      </c>
      <c r="G323" s="2"/>
      <c r="H323" s="53" t="s">
        <v>104</v>
      </c>
      <c r="I323" s="3" t="s">
        <v>569</v>
      </c>
      <c r="J323" s="3" t="s">
        <v>570</v>
      </c>
      <c r="K323" s="57">
        <v>2234490</v>
      </c>
      <c r="L323" s="125" t="s">
        <v>245</v>
      </c>
      <c r="M323" s="5" t="s">
        <v>245</v>
      </c>
      <c r="N323" s="17"/>
      <c r="O323" s="108"/>
      <c r="P323" s="108"/>
      <c r="Q323" s="108"/>
      <c r="R323" s="108">
        <v>42944</v>
      </c>
      <c r="S323" s="24">
        <f>MONTH(R323)</f>
        <v>7</v>
      </c>
      <c r="T323" s="58"/>
      <c r="U323" s="69"/>
      <c r="V323" s="59"/>
      <c r="W323" s="59"/>
      <c r="X323" s="59"/>
      <c r="Y323" s="59"/>
    </row>
    <row r="324" spans="1:25" ht="63.75" hidden="1" customHeight="1" outlineLevel="1" x14ac:dyDescent="0.25">
      <c r="A324" s="3" t="s">
        <v>104</v>
      </c>
      <c r="B324" s="2" t="s">
        <v>103</v>
      </c>
      <c r="C324" s="2" t="s">
        <v>391</v>
      </c>
      <c r="D324" s="2">
        <v>2</v>
      </c>
      <c r="E324" s="2" t="s">
        <v>4</v>
      </c>
      <c r="F324" s="2" t="s">
        <v>277</v>
      </c>
      <c r="G324" s="2"/>
      <c r="H324" s="3" t="s">
        <v>104</v>
      </c>
      <c r="I324" s="3" t="s">
        <v>211</v>
      </c>
      <c r="J324" s="20" t="s">
        <v>571</v>
      </c>
      <c r="K324" s="28">
        <v>3387334</v>
      </c>
      <c r="L324" s="10">
        <v>42886</v>
      </c>
      <c r="M324" s="88">
        <f t="shared" ref="M324:M330" si="32">MONTH(L324)</f>
        <v>5</v>
      </c>
      <c r="N324" s="17"/>
      <c r="O324" s="17">
        <v>42965</v>
      </c>
      <c r="P324" s="17"/>
      <c r="Q324" s="17"/>
      <c r="R324" s="17">
        <v>42928</v>
      </c>
      <c r="S324" s="24">
        <f>MONTH(R324)</f>
        <v>7</v>
      </c>
      <c r="T324" s="5"/>
      <c r="U324" s="23"/>
      <c r="V324" s="3" t="s">
        <v>253</v>
      </c>
      <c r="W324" s="3"/>
      <c r="X324" s="3"/>
      <c r="Y324" s="59"/>
    </row>
    <row r="325" spans="1:25" ht="63.75" hidden="1" customHeight="1" outlineLevel="1" x14ac:dyDescent="0.25">
      <c r="A325" s="20" t="s">
        <v>104</v>
      </c>
      <c r="B325" s="20" t="s">
        <v>103</v>
      </c>
      <c r="C325" s="20" t="s">
        <v>391</v>
      </c>
      <c r="D325" s="20">
        <v>2</v>
      </c>
      <c r="E325" s="20" t="s">
        <v>4</v>
      </c>
      <c r="F325" s="20" t="s">
        <v>277</v>
      </c>
      <c r="G325" s="2"/>
      <c r="H325" s="20" t="s">
        <v>104</v>
      </c>
      <c r="I325" s="20" t="s">
        <v>53</v>
      </c>
      <c r="J325" s="20" t="s">
        <v>458</v>
      </c>
      <c r="K325" s="28">
        <v>4761429.43</v>
      </c>
      <c r="L325" s="18">
        <v>42902</v>
      </c>
      <c r="M325" s="88">
        <f t="shared" si="32"/>
        <v>6</v>
      </c>
      <c r="N325" s="17"/>
      <c r="O325" s="86"/>
      <c r="P325" s="86"/>
      <c r="Q325" s="86"/>
      <c r="R325" s="17">
        <v>42902</v>
      </c>
      <c r="S325" s="24">
        <f>MONTH(R325)</f>
        <v>6</v>
      </c>
      <c r="T325" s="5"/>
      <c r="U325" s="3"/>
      <c r="V325" s="3"/>
      <c r="W325" s="3"/>
      <c r="X325" s="3"/>
      <c r="Y325" s="59"/>
    </row>
    <row r="326" spans="1:25" ht="63.75" hidden="1" customHeight="1" outlineLevel="1" x14ac:dyDescent="0.25">
      <c r="A326" s="20" t="s">
        <v>104</v>
      </c>
      <c r="B326" s="20" t="s">
        <v>103</v>
      </c>
      <c r="C326" s="20" t="s">
        <v>391</v>
      </c>
      <c r="D326" s="20">
        <v>3</v>
      </c>
      <c r="E326" s="20" t="s">
        <v>4</v>
      </c>
      <c r="F326" s="20" t="s">
        <v>277</v>
      </c>
      <c r="G326" s="2"/>
      <c r="H326" s="20" t="s">
        <v>104</v>
      </c>
      <c r="I326" s="20" t="s">
        <v>770</v>
      </c>
      <c r="J326" s="20" t="s">
        <v>771</v>
      </c>
      <c r="K326" s="28">
        <v>3503934.56</v>
      </c>
      <c r="L326" s="18" t="s">
        <v>245</v>
      </c>
      <c r="M326" s="10" t="s">
        <v>245</v>
      </c>
      <c r="N326" s="17"/>
      <c r="O326" s="86"/>
      <c r="P326" s="86"/>
      <c r="Q326" s="86"/>
      <c r="R326" s="17">
        <v>42965</v>
      </c>
      <c r="S326" s="24">
        <f t="shared" ref="S326:S327" si="33">MONTH(R326)</f>
        <v>8</v>
      </c>
      <c r="T326" s="5"/>
      <c r="U326" s="3"/>
      <c r="V326" s="3"/>
      <c r="W326" s="3"/>
      <c r="X326" s="3"/>
      <c r="Y326" s="59"/>
    </row>
    <row r="327" spans="1:25" ht="48.75" hidden="1" customHeight="1" outlineLevel="1" x14ac:dyDescent="0.25">
      <c r="A327" s="20" t="s">
        <v>104</v>
      </c>
      <c r="B327" s="20" t="s">
        <v>103</v>
      </c>
      <c r="C327" s="20" t="s">
        <v>391</v>
      </c>
      <c r="D327" s="20">
        <v>2</v>
      </c>
      <c r="E327" s="20" t="s">
        <v>4</v>
      </c>
      <c r="F327" s="20" t="s">
        <v>277</v>
      </c>
      <c r="G327" s="2"/>
      <c r="H327" s="20" t="s">
        <v>104</v>
      </c>
      <c r="I327" s="20" t="s">
        <v>396</v>
      </c>
      <c r="J327" s="20" t="s">
        <v>567</v>
      </c>
      <c r="K327" s="28">
        <v>3029878</v>
      </c>
      <c r="L327" s="18">
        <v>42902</v>
      </c>
      <c r="M327" s="88">
        <f t="shared" si="32"/>
        <v>6</v>
      </c>
      <c r="N327" s="17"/>
      <c r="O327" s="86"/>
      <c r="P327" s="86"/>
      <c r="Q327" s="86"/>
      <c r="R327" s="17">
        <v>42930</v>
      </c>
      <c r="S327" s="24">
        <f t="shared" si="33"/>
        <v>7</v>
      </c>
      <c r="T327" s="5"/>
      <c r="U327" s="3"/>
      <c r="V327" s="3"/>
      <c r="W327" s="3"/>
      <c r="X327" s="3"/>
      <c r="Y327" s="59"/>
    </row>
    <row r="328" spans="1:25" ht="99" customHeight="1" outlineLevel="1" x14ac:dyDescent="0.25">
      <c r="A328" s="53" t="s">
        <v>104</v>
      </c>
      <c r="B328" s="53" t="s">
        <v>103</v>
      </c>
      <c r="C328" s="20" t="s">
        <v>391</v>
      </c>
      <c r="D328" s="53">
        <v>2</v>
      </c>
      <c r="E328" s="53" t="s">
        <v>4</v>
      </c>
      <c r="F328" s="199" t="s">
        <v>277</v>
      </c>
      <c r="G328" s="75">
        <v>69</v>
      </c>
      <c r="H328" s="53" t="s">
        <v>104</v>
      </c>
      <c r="I328" s="20" t="s">
        <v>546</v>
      </c>
      <c r="J328" s="20" t="s">
        <v>547</v>
      </c>
      <c r="K328" s="55">
        <v>2258969.35</v>
      </c>
      <c r="L328" s="54">
        <v>42947</v>
      </c>
      <c r="M328" s="207">
        <f t="shared" si="32"/>
        <v>7</v>
      </c>
      <c r="N328" s="17"/>
      <c r="O328" s="5"/>
      <c r="P328" s="5"/>
      <c r="Q328" s="5">
        <v>43069</v>
      </c>
      <c r="R328" s="217" t="s">
        <v>124</v>
      </c>
      <c r="S328" s="203" t="s">
        <v>124</v>
      </c>
      <c r="T328" s="10">
        <v>43069</v>
      </c>
      <c r="U328" s="211"/>
      <c r="V328" s="59"/>
      <c r="W328" s="59"/>
      <c r="X328" s="195" t="s">
        <v>687</v>
      </c>
      <c r="Y328" s="71" t="s">
        <v>880</v>
      </c>
    </row>
    <row r="329" spans="1:25" ht="63.75" hidden="1" customHeight="1" x14ac:dyDescent="0.25">
      <c r="A329" s="20" t="s">
        <v>104</v>
      </c>
      <c r="B329" s="20" t="s">
        <v>103</v>
      </c>
      <c r="C329" s="20" t="s">
        <v>391</v>
      </c>
      <c r="D329" s="20">
        <v>2</v>
      </c>
      <c r="E329" s="20" t="s">
        <v>4</v>
      </c>
      <c r="F329" s="20" t="s">
        <v>277</v>
      </c>
      <c r="G329" s="2"/>
      <c r="H329" s="20" t="s">
        <v>104</v>
      </c>
      <c r="I329" s="20" t="s">
        <v>397</v>
      </c>
      <c r="J329" s="20" t="s">
        <v>566</v>
      </c>
      <c r="K329" s="28">
        <v>3493257</v>
      </c>
      <c r="L329" s="18">
        <v>42916</v>
      </c>
      <c r="M329" s="88">
        <f t="shared" si="32"/>
        <v>6</v>
      </c>
      <c r="N329" s="17"/>
      <c r="O329" s="86"/>
      <c r="P329" s="86"/>
      <c r="Q329" s="86"/>
      <c r="R329" s="17">
        <v>42930</v>
      </c>
      <c r="S329" s="24">
        <f t="shared" ref="S329:S344" si="34">MONTH(R329)</f>
        <v>7</v>
      </c>
      <c r="T329" s="5"/>
      <c r="U329" s="3"/>
      <c r="V329" s="3"/>
      <c r="W329" s="3"/>
      <c r="X329" s="3"/>
      <c r="Y329" s="59"/>
    </row>
    <row r="330" spans="1:25" ht="63.75" hidden="1" customHeight="1" x14ac:dyDescent="0.25">
      <c r="A330" s="53" t="s">
        <v>104</v>
      </c>
      <c r="B330" s="53" t="s">
        <v>103</v>
      </c>
      <c r="C330" s="20" t="s">
        <v>391</v>
      </c>
      <c r="D330" s="53">
        <v>2</v>
      </c>
      <c r="E330" s="53" t="s">
        <v>4</v>
      </c>
      <c r="F330" s="53" t="s">
        <v>277</v>
      </c>
      <c r="G330" s="2"/>
      <c r="H330" s="53" t="s">
        <v>104</v>
      </c>
      <c r="I330" s="20" t="s">
        <v>732</v>
      </c>
      <c r="J330" s="20" t="s">
        <v>749</v>
      </c>
      <c r="K330" s="55">
        <v>1501742</v>
      </c>
      <c r="L330" s="54">
        <v>42978</v>
      </c>
      <c r="M330" s="88">
        <f t="shared" si="32"/>
        <v>8</v>
      </c>
      <c r="N330" s="108"/>
      <c r="O330" s="108"/>
      <c r="P330" s="109"/>
      <c r="Q330" s="5"/>
      <c r="R330" s="106">
        <v>42978</v>
      </c>
      <c r="S330" s="24">
        <f t="shared" si="34"/>
        <v>8</v>
      </c>
      <c r="T330" s="59"/>
      <c r="U330" s="59"/>
      <c r="V330" s="59"/>
      <c r="W330" s="59"/>
      <c r="X330" s="59"/>
      <c r="Y330" s="59"/>
    </row>
    <row r="331" spans="1:25" ht="63.75" hidden="1" customHeight="1" x14ac:dyDescent="0.25">
      <c r="A331" s="3" t="s">
        <v>104</v>
      </c>
      <c r="B331" s="2" t="s">
        <v>103</v>
      </c>
      <c r="C331" s="2" t="s">
        <v>391</v>
      </c>
      <c r="D331" s="2">
        <v>2</v>
      </c>
      <c r="E331" s="2" t="s">
        <v>4</v>
      </c>
      <c r="F331" s="2" t="s">
        <v>277</v>
      </c>
      <c r="G331" s="2"/>
      <c r="H331" s="3" t="s">
        <v>104</v>
      </c>
      <c r="I331" s="3" t="s">
        <v>71</v>
      </c>
      <c r="J331" s="3" t="s">
        <v>98</v>
      </c>
      <c r="K331" s="28">
        <v>1437228</v>
      </c>
      <c r="L331" s="17" t="s">
        <v>245</v>
      </c>
      <c r="M331" s="5" t="s">
        <v>245</v>
      </c>
      <c r="N331" s="17"/>
      <c r="O331" s="17"/>
      <c r="P331" s="17"/>
      <c r="Q331" s="17"/>
      <c r="R331" s="17">
        <v>42852</v>
      </c>
      <c r="S331" s="24">
        <f t="shared" si="34"/>
        <v>4</v>
      </c>
      <c r="T331" s="5"/>
      <c r="U331" s="23"/>
      <c r="V331" s="3"/>
      <c r="W331" s="3"/>
      <c r="X331" s="3"/>
      <c r="Y331" s="59"/>
    </row>
    <row r="332" spans="1:25" ht="63.75" hidden="1" customHeight="1" x14ac:dyDescent="0.25">
      <c r="A332" s="3" t="s">
        <v>104</v>
      </c>
      <c r="B332" s="2" t="s">
        <v>103</v>
      </c>
      <c r="C332" s="2" t="s">
        <v>391</v>
      </c>
      <c r="D332" s="2">
        <v>2</v>
      </c>
      <c r="E332" s="2" t="s">
        <v>4</v>
      </c>
      <c r="F332" s="2" t="s">
        <v>277</v>
      </c>
      <c r="G332" s="2"/>
      <c r="H332" s="3" t="s">
        <v>104</v>
      </c>
      <c r="I332" s="3" t="s">
        <v>212</v>
      </c>
      <c r="J332" s="3" t="s">
        <v>453</v>
      </c>
      <c r="K332" s="28">
        <v>2003858</v>
      </c>
      <c r="L332" s="10">
        <v>42886</v>
      </c>
      <c r="M332" s="88">
        <f t="shared" ref="M332:M338" si="35">MONTH(L332)</f>
        <v>5</v>
      </c>
      <c r="N332" s="17"/>
      <c r="O332" s="17"/>
      <c r="P332" s="17"/>
      <c r="Q332" s="17"/>
      <c r="R332" s="17">
        <v>42901</v>
      </c>
      <c r="S332" s="24">
        <f t="shared" si="34"/>
        <v>6</v>
      </c>
      <c r="T332" s="5"/>
      <c r="U332" s="23"/>
      <c r="V332" s="3"/>
      <c r="W332" s="3"/>
      <c r="X332" s="3"/>
      <c r="Y332" s="59"/>
    </row>
    <row r="333" spans="1:25" ht="63.75" hidden="1" customHeight="1" x14ac:dyDescent="0.25">
      <c r="A333" s="3" t="s">
        <v>104</v>
      </c>
      <c r="B333" s="2" t="s">
        <v>103</v>
      </c>
      <c r="C333" s="2" t="s">
        <v>391</v>
      </c>
      <c r="D333" s="2">
        <v>3</v>
      </c>
      <c r="E333" s="2" t="s">
        <v>4</v>
      </c>
      <c r="F333" s="2" t="s">
        <v>277</v>
      </c>
      <c r="G333" s="2"/>
      <c r="H333" s="3" t="s">
        <v>104</v>
      </c>
      <c r="I333" s="3" t="s">
        <v>768</v>
      </c>
      <c r="J333" s="3" t="s">
        <v>772</v>
      </c>
      <c r="K333" s="28">
        <v>3629093.7</v>
      </c>
      <c r="L333" s="10" t="s">
        <v>245</v>
      </c>
      <c r="M333" s="10" t="s">
        <v>245</v>
      </c>
      <c r="N333" s="17"/>
      <c r="O333" s="17"/>
      <c r="P333" s="17"/>
      <c r="Q333" s="17"/>
      <c r="R333" s="17">
        <v>42965</v>
      </c>
      <c r="S333" s="24">
        <f t="shared" si="34"/>
        <v>8</v>
      </c>
      <c r="T333" s="5"/>
      <c r="U333" s="23"/>
      <c r="V333" s="3"/>
      <c r="W333" s="3"/>
      <c r="X333" s="3"/>
      <c r="Y333" s="59"/>
    </row>
    <row r="334" spans="1:25" ht="102" hidden="1" customHeight="1" x14ac:dyDescent="0.25">
      <c r="A334" s="20" t="s">
        <v>104</v>
      </c>
      <c r="B334" s="20" t="s">
        <v>103</v>
      </c>
      <c r="C334" s="20" t="s">
        <v>391</v>
      </c>
      <c r="D334" s="20">
        <v>2</v>
      </c>
      <c r="E334" s="20" t="s">
        <v>4</v>
      </c>
      <c r="F334" s="20" t="s">
        <v>277</v>
      </c>
      <c r="G334" s="2"/>
      <c r="H334" s="20" t="s">
        <v>104</v>
      </c>
      <c r="I334" s="20" t="s">
        <v>398</v>
      </c>
      <c r="J334" s="20" t="s">
        <v>399</v>
      </c>
      <c r="K334" s="28">
        <v>5029458</v>
      </c>
      <c r="L334" s="18">
        <v>42902</v>
      </c>
      <c r="M334" s="88">
        <f t="shared" si="35"/>
        <v>6</v>
      </c>
      <c r="N334" s="17"/>
      <c r="O334" s="86"/>
      <c r="P334" s="86"/>
      <c r="Q334" s="86"/>
      <c r="R334" s="17">
        <v>42902</v>
      </c>
      <c r="S334" s="24">
        <f t="shared" si="34"/>
        <v>6</v>
      </c>
      <c r="T334" s="5"/>
      <c r="U334" s="3"/>
      <c r="V334" s="3"/>
      <c r="W334" s="3"/>
      <c r="X334" s="3"/>
      <c r="Y334" s="59"/>
    </row>
    <row r="335" spans="1:25" ht="63.75" hidden="1" customHeight="1" x14ac:dyDescent="0.25">
      <c r="A335" s="53" t="s">
        <v>104</v>
      </c>
      <c r="B335" s="53" t="s">
        <v>103</v>
      </c>
      <c r="C335" s="20" t="s">
        <v>391</v>
      </c>
      <c r="D335" s="53">
        <v>2</v>
      </c>
      <c r="E335" s="53" t="s">
        <v>4</v>
      </c>
      <c r="F335" s="53" t="s">
        <v>277</v>
      </c>
      <c r="G335" s="2"/>
      <c r="H335" s="53" t="s">
        <v>104</v>
      </c>
      <c r="I335" s="20" t="s">
        <v>733</v>
      </c>
      <c r="J335" s="20" t="s">
        <v>734</v>
      </c>
      <c r="K335" s="55">
        <v>1799767</v>
      </c>
      <c r="L335" s="54">
        <v>42978</v>
      </c>
      <c r="M335" s="88">
        <f t="shared" si="35"/>
        <v>8</v>
      </c>
      <c r="N335" s="108"/>
      <c r="O335" s="108"/>
      <c r="P335" s="109"/>
      <c r="Q335" s="5"/>
      <c r="R335" s="106">
        <v>42979</v>
      </c>
      <c r="S335" s="24">
        <f t="shared" si="34"/>
        <v>9</v>
      </c>
      <c r="T335" s="59"/>
      <c r="U335" s="59"/>
      <c r="V335" s="59"/>
      <c r="W335" s="59"/>
      <c r="X335" s="59"/>
      <c r="Y335" s="59"/>
    </row>
    <row r="336" spans="1:25" ht="178.5" hidden="1" customHeight="1" x14ac:dyDescent="0.25">
      <c r="A336" s="3" t="s">
        <v>104</v>
      </c>
      <c r="B336" s="2" t="s">
        <v>103</v>
      </c>
      <c r="C336" s="2" t="s">
        <v>391</v>
      </c>
      <c r="D336" s="2">
        <v>2</v>
      </c>
      <c r="E336" s="2" t="s">
        <v>4</v>
      </c>
      <c r="F336" s="2" t="s">
        <v>277</v>
      </c>
      <c r="G336" s="2"/>
      <c r="H336" s="3" t="s">
        <v>104</v>
      </c>
      <c r="I336" s="3" t="s">
        <v>213</v>
      </c>
      <c r="J336" s="20" t="s">
        <v>455</v>
      </c>
      <c r="K336" s="28">
        <v>2988570</v>
      </c>
      <c r="L336" s="10">
        <v>42886</v>
      </c>
      <c r="M336" s="88">
        <f t="shared" si="35"/>
        <v>5</v>
      </c>
      <c r="N336" s="17"/>
      <c r="O336" s="17"/>
      <c r="P336" s="17"/>
      <c r="Q336" s="17"/>
      <c r="R336" s="17">
        <v>42901</v>
      </c>
      <c r="S336" s="24">
        <f t="shared" si="34"/>
        <v>6</v>
      </c>
      <c r="T336" s="5"/>
      <c r="U336" s="23"/>
      <c r="V336" s="3"/>
      <c r="W336" s="3"/>
      <c r="X336" s="3"/>
      <c r="Y336" s="59"/>
    </row>
    <row r="337" spans="1:25" ht="63.75" hidden="1" customHeight="1" x14ac:dyDescent="0.25">
      <c r="A337" s="3" t="s">
        <v>104</v>
      </c>
      <c r="B337" s="2" t="s">
        <v>103</v>
      </c>
      <c r="C337" s="2" t="s">
        <v>391</v>
      </c>
      <c r="D337" s="2">
        <v>2</v>
      </c>
      <c r="E337" s="2" t="s">
        <v>4</v>
      </c>
      <c r="F337" s="2" t="s">
        <v>277</v>
      </c>
      <c r="G337" s="2"/>
      <c r="H337" s="3" t="s">
        <v>104</v>
      </c>
      <c r="I337" s="3" t="s">
        <v>214</v>
      </c>
      <c r="J337" s="20" t="s">
        <v>454</v>
      </c>
      <c r="K337" s="28">
        <v>3673940</v>
      </c>
      <c r="L337" s="10">
        <v>42886</v>
      </c>
      <c r="M337" s="88">
        <f t="shared" si="35"/>
        <v>5</v>
      </c>
      <c r="N337" s="17"/>
      <c r="O337" s="17"/>
      <c r="P337" s="17"/>
      <c r="Q337" s="17"/>
      <c r="R337" s="17">
        <v>42901</v>
      </c>
      <c r="S337" s="24">
        <f t="shared" si="34"/>
        <v>6</v>
      </c>
      <c r="T337" s="5"/>
      <c r="U337" s="23"/>
      <c r="V337" s="3"/>
      <c r="W337" s="3"/>
      <c r="X337" s="3"/>
      <c r="Y337" s="59"/>
    </row>
    <row r="338" spans="1:25" ht="63.75" hidden="1" customHeight="1" x14ac:dyDescent="0.25">
      <c r="A338" s="53" t="s">
        <v>104</v>
      </c>
      <c r="B338" s="53" t="s">
        <v>103</v>
      </c>
      <c r="C338" s="20" t="s">
        <v>391</v>
      </c>
      <c r="D338" s="53">
        <v>2</v>
      </c>
      <c r="E338" s="53" t="s">
        <v>4</v>
      </c>
      <c r="F338" s="53" t="s">
        <v>277</v>
      </c>
      <c r="G338" s="2"/>
      <c r="H338" s="53" t="s">
        <v>104</v>
      </c>
      <c r="I338" s="20" t="s">
        <v>548</v>
      </c>
      <c r="J338" s="20" t="s">
        <v>568</v>
      </c>
      <c r="K338" s="55">
        <v>4511314</v>
      </c>
      <c r="L338" s="54">
        <v>42947</v>
      </c>
      <c r="M338" s="88">
        <f t="shared" si="35"/>
        <v>7</v>
      </c>
      <c r="N338" s="17"/>
      <c r="O338" s="5"/>
      <c r="P338" s="5"/>
      <c r="Q338" s="5"/>
      <c r="R338" s="106">
        <v>42947</v>
      </c>
      <c r="S338" s="24">
        <f t="shared" si="34"/>
        <v>7</v>
      </c>
      <c r="T338" s="10"/>
      <c r="U338" s="3"/>
      <c r="V338" s="59"/>
      <c r="W338" s="59"/>
      <c r="X338" s="59"/>
      <c r="Y338" s="59"/>
    </row>
    <row r="339" spans="1:25" ht="63.75" hidden="1" customHeight="1" x14ac:dyDescent="0.25">
      <c r="A339" s="3" t="s">
        <v>104</v>
      </c>
      <c r="B339" s="2" t="s">
        <v>103</v>
      </c>
      <c r="C339" s="2" t="s">
        <v>391</v>
      </c>
      <c r="D339" s="2">
        <v>3</v>
      </c>
      <c r="E339" s="2" t="s">
        <v>4</v>
      </c>
      <c r="F339" s="2" t="s">
        <v>277</v>
      </c>
      <c r="G339" s="2"/>
      <c r="H339" s="3" t="s">
        <v>104</v>
      </c>
      <c r="I339" s="3" t="s">
        <v>73</v>
      </c>
      <c r="J339" s="3" t="s">
        <v>432</v>
      </c>
      <c r="K339" s="28">
        <v>2387389</v>
      </c>
      <c r="L339" s="10" t="s">
        <v>245</v>
      </c>
      <c r="M339" s="5" t="s">
        <v>245</v>
      </c>
      <c r="N339" s="17"/>
      <c r="O339" s="17"/>
      <c r="P339" s="17"/>
      <c r="Q339" s="17"/>
      <c r="R339" s="17">
        <v>42838</v>
      </c>
      <c r="S339" s="24">
        <f t="shared" si="34"/>
        <v>4</v>
      </c>
      <c r="T339" s="5"/>
      <c r="U339" s="23"/>
      <c r="V339" s="3"/>
      <c r="W339" s="3"/>
      <c r="X339" s="3"/>
      <c r="Y339" s="59"/>
    </row>
    <row r="340" spans="1:25" ht="51" hidden="1" customHeight="1" x14ac:dyDescent="0.25">
      <c r="A340" s="20" t="s">
        <v>104</v>
      </c>
      <c r="B340" s="20" t="s">
        <v>103</v>
      </c>
      <c r="C340" s="20" t="s">
        <v>391</v>
      </c>
      <c r="D340" s="20" t="s">
        <v>58</v>
      </c>
      <c r="E340" s="20" t="s">
        <v>4</v>
      </c>
      <c r="F340" s="20" t="s">
        <v>277</v>
      </c>
      <c r="G340" s="2"/>
      <c r="H340" s="20" t="s">
        <v>104</v>
      </c>
      <c r="I340" s="20" t="s">
        <v>433</v>
      </c>
      <c r="J340" s="20" t="s">
        <v>459</v>
      </c>
      <c r="K340" s="28">
        <v>1055850</v>
      </c>
      <c r="L340" s="18">
        <v>42902</v>
      </c>
      <c r="M340" s="88">
        <f t="shared" ref="M340:M364" si="36">MONTH(L340)</f>
        <v>6</v>
      </c>
      <c r="N340" s="17"/>
      <c r="O340" s="86"/>
      <c r="P340" s="86"/>
      <c r="Q340" s="86"/>
      <c r="R340" s="17">
        <v>42908</v>
      </c>
      <c r="S340" s="24">
        <f t="shared" si="34"/>
        <v>6</v>
      </c>
      <c r="T340" s="5"/>
      <c r="U340" s="3"/>
      <c r="V340" s="3"/>
      <c r="W340" s="3"/>
      <c r="X340" s="3"/>
      <c r="Y340" s="59"/>
    </row>
    <row r="341" spans="1:25" ht="25.5" hidden="1" customHeight="1" x14ac:dyDescent="0.25">
      <c r="A341" s="20" t="s">
        <v>104</v>
      </c>
      <c r="B341" s="20" t="s">
        <v>103</v>
      </c>
      <c r="C341" s="20" t="s">
        <v>391</v>
      </c>
      <c r="D341" s="20" t="s">
        <v>58</v>
      </c>
      <c r="E341" s="20" t="s">
        <v>4</v>
      </c>
      <c r="F341" s="20" t="s">
        <v>277</v>
      </c>
      <c r="G341" s="2"/>
      <c r="H341" s="20" t="s">
        <v>104</v>
      </c>
      <c r="I341" s="20" t="s">
        <v>434</v>
      </c>
      <c r="J341" s="20" t="s">
        <v>457</v>
      </c>
      <c r="K341" s="28">
        <v>1968659</v>
      </c>
      <c r="L341" s="18">
        <v>42902</v>
      </c>
      <c r="M341" s="88">
        <f t="shared" si="36"/>
        <v>6</v>
      </c>
      <c r="N341" s="17"/>
      <c r="O341" s="86"/>
      <c r="P341" s="86"/>
      <c r="Q341" s="86"/>
      <c r="R341" s="17">
        <v>42902</v>
      </c>
      <c r="S341" s="24">
        <f t="shared" si="34"/>
        <v>6</v>
      </c>
      <c r="T341" s="5"/>
      <c r="U341" s="3"/>
      <c r="V341" s="3"/>
      <c r="W341" s="3"/>
      <c r="X341" s="3"/>
      <c r="Y341" s="59"/>
    </row>
    <row r="342" spans="1:25" ht="51" hidden="1" customHeight="1" x14ac:dyDescent="0.25">
      <c r="A342" s="20" t="s">
        <v>104</v>
      </c>
      <c r="B342" s="20" t="s">
        <v>103</v>
      </c>
      <c r="C342" s="20" t="s">
        <v>391</v>
      </c>
      <c r="D342" s="20" t="s">
        <v>58</v>
      </c>
      <c r="E342" s="20" t="s">
        <v>4</v>
      </c>
      <c r="F342" s="20" t="s">
        <v>277</v>
      </c>
      <c r="G342" s="2"/>
      <c r="H342" s="20" t="s">
        <v>104</v>
      </c>
      <c r="I342" s="20" t="s">
        <v>435</v>
      </c>
      <c r="J342" s="20" t="s">
        <v>456</v>
      </c>
      <c r="K342" s="28">
        <v>2778494</v>
      </c>
      <c r="L342" s="18">
        <v>42902</v>
      </c>
      <c r="M342" s="88">
        <f t="shared" si="36"/>
        <v>6</v>
      </c>
      <c r="N342" s="17"/>
      <c r="O342" s="86"/>
      <c r="P342" s="86"/>
      <c r="Q342" s="86"/>
      <c r="R342" s="17">
        <v>42902</v>
      </c>
      <c r="S342" s="24">
        <f t="shared" si="34"/>
        <v>6</v>
      </c>
      <c r="T342" s="5"/>
      <c r="U342" s="3"/>
      <c r="V342" s="3"/>
      <c r="W342" s="3"/>
      <c r="X342" s="3"/>
      <c r="Y342" s="59"/>
    </row>
    <row r="343" spans="1:25" ht="51" hidden="1" customHeight="1" x14ac:dyDescent="0.25">
      <c r="A343" s="3" t="s">
        <v>49</v>
      </c>
      <c r="B343" s="2" t="s">
        <v>50</v>
      </c>
      <c r="C343" s="2" t="s">
        <v>51</v>
      </c>
      <c r="D343" s="2">
        <v>1</v>
      </c>
      <c r="E343" s="2" t="s">
        <v>4</v>
      </c>
      <c r="F343" s="2" t="s">
        <v>277</v>
      </c>
      <c r="G343" s="2"/>
      <c r="H343" s="3" t="s">
        <v>49</v>
      </c>
      <c r="I343" s="3" t="s">
        <v>53</v>
      </c>
      <c r="J343" s="3" t="s">
        <v>460</v>
      </c>
      <c r="K343" s="28">
        <v>1321620</v>
      </c>
      <c r="L343" s="10">
        <v>42855</v>
      </c>
      <c r="M343" s="88">
        <f t="shared" si="36"/>
        <v>4</v>
      </c>
      <c r="N343" s="17">
        <v>42916</v>
      </c>
      <c r="O343" s="17"/>
      <c r="P343" s="17"/>
      <c r="Q343" s="17"/>
      <c r="R343" s="17">
        <v>42901</v>
      </c>
      <c r="S343" s="24">
        <f t="shared" si="34"/>
        <v>6</v>
      </c>
      <c r="T343" s="5"/>
      <c r="U343" s="23" t="s">
        <v>123</v>
      </c>
      <c r="V343" s="3"/>
      <c r="W343" s="3"/>
      <c r="X343" s="3"/>
      <c r="Y343" s="59"/>
    </row>
    <row r="344" spans="1:25" ht="51" hidden="1" customHeight="1" x14ac:dyDescent="0.25">
      <c r="A344" s="20" t="s">
        <v>49</v>
      </c>
      <c r="B344" s="20" t="s">
        <v>50</v>
      </c>
      <c r="C344" s="20" t="s">
        <v>51</v>
      </c>
      <c r="D344" s="20">
        <v>1</v>
      </c>
      <c r="E344" s="20" t="s">
        <v>4</v>
      </c>
      <c r="F344" s="20" t="s">
        <v>277</v>
      </c>
      <c r="G344" s="2"/>
      <c r="H344" s="20" t="s">
        <v>49</v>
      </c>
      <c r="I344" s="20" t="s">
        <v>400</v>
      </c>
      <c r="J344" s="20" t="s">
        <v>401</v>
      </c>
      <c r="K344" s="28">
        <v>3110951</v>
      </c>
      <c r="L344" s="22">
        <v>42916</v>
      </c>
      <c r="M344" s="88">
        <f t="shared" si="36"/>
        <v>6</v>
      </c>
      <c r="N344" s="17"/>
      <c r="O344" s="86"/>
      <c r="P344" s="17">
        <v>42977</v>
      </c>
      <c r="Q344" s="5"/>
      <c r="R344" s="17">
        <v>42977</v>
      </c>
      <c r="S344" s="24">
        <f t="shared" si="34"/>
        <v>8</v>
      </c>
      <c r="T344" s="5"/>
      <c r="U344" s="3"/>
      <c r="V344" s="3"/>
      <c r="W344" s="3" t="s">
        <v>493</v>
      </c>
      <c r="X344" s="3" t="s">
        <v>661</v>
      </c>
      <c r="Y344" s="59"/>
    </row>
    <row r="345" spans="1:25" s="231" customFormat="1" ht="42" customHeight="1" x14ac:dyDescent="0.25">
      <c r="A345" s="20"/>
      <c r="B345" s="20"/>
      <c r="C345" s="20"/>
      <c r="D345" s="20"/>
      <c r="E345" s="20"/>
      <c r="F345" s="193"/>
      <c r="G345" s="224"/>
      <c r="H345" s="224" t="s">
        <v>49</v>
      </c>
      <c r="I345" s="224" t="s">
        <v>51</v>
      </c>
      <c r="J345" s="234">
        <f>K346+K349+K347</f>
        <v>7133135.4000000004</v>
      </c>
      <c r="K345" s="234"/>
      <c r="L345" s="232"/>
      <c r="M345" s="207"/>
      <c r="N345" s="228"/>
      <c r="O345" s="225"/>
      <c r="P345" s="228"/>
      <c r="Q345" s="232"/>
      <c r="R345" s="208" t="s">
        <v>124</v>
      </c>
      <c r="S345" s="202"/>
      <c r="T345" s="232"/>
      <c r="U345" s="211"/>
      <c r="V345" s="3"/>
      <c r="W345" s="3"/>
      <c r="X345" s="195"/>
      <c r="Y345" s="223"/>
    </row>
    <row r="346" spans="1:25" ht="51.75" customHeight="1" outlineLevel="1" x14ac:dyDescent="0.25">
      <c r="A346" s="3" t="s">
        <v>49</v>
      </c>
      <c r="B346" s="2" t="s">
        <v>50</v>
      </c>
      <c r="C346" s="2" t="s">
        <v>51</v>
      </c>
      <c r="D346" s="2">
        <v>1</v>
      </c>
      <c r="E346" s="2" t="s">
        <v>4</v>
      </c>
      <c r="F346" s="196" t="s">
        <v>277</v>
      </c>
      <c r="G346" s="75">
        <v>70</v>
      </c>
      <c r="H346" s="3" t="s">
        <v>49</v>
      </c>
      <c r="I346" s="3" t="s">
        <v>52</v>
      </c>
      <c r="J346" s="3" t="s">
        <v>52</v>
      </c>
      <c r="K346" s="28">
        <v>2081865.9</v>
      </c>
      <c r="L346" s="10">
        <v>42855</v>
      </c>
      <c r="M346" s="207">
        <f t="shared" si="36"/>
        <v>4</v>
      </c>
      <c r="N346" s="17"/>
      <c r="O346" s="17"/>
      <c r="P346" s="17">
        <v>42946</v>
      </c>
      <c r="Q346" s="5">
        <v>42977</v>
      </c>
      <c r="R346" s="209" t="s">
        <v>124</v>
      </c>
      <c r="S346" s="203" t="s">
        <v>124</v>
      </c>
      <c r="T346" s="129"/>
      <c r="U346" s="212" t="s">
        <v>122</v>
      </c>
      <c r="V346" s="3" t="s">
        <v>273</v>
      </c>
      <c r="W346" s="3" t="s">
        <v>494</v>
      </c>
      <c r="X346" s="195" t="s">
        <v>659</v>
      </c>
      <c r="Y346" s="71" t="s">
        <v>893</v>
      </c>
    </row>
    <row r="347" spans="1:25" ht="54.75" customHeight="1" outlineLevel="1" x14ac:dyDescent="0.25">
      <c r="A347" s="20" t="s">
        <v>49</v>
      </c>
      <c r="B347" s="20" t="s">
        <v>50</v>
      </c>
      <c r="C347" s="20" t="s">
        <v>51</v>
      </c>
      <c r="D347" s="20">
        <v>2</v>
      </c>
      <c r="E347" s="20" t="s">
        <v>4</v>
      </c>
      <c r="F347" s="193" t="s">
        <v>277</v>
      </c>
      <c r="G347" s="75">
        <v>71</v>
      </c>
      <c r="H347" s="20" t="s">
        <v>49</v>
      </c>
      <c r="I347" s="20" t="s">
        <v>67</v>
      </c>
      <c r="J347" s="20" t="s">
        <v>402</v>
      </c>
      <c r="K347" s="28">
        <v>1804317.1</v>
      </c>
      <c r="L347" s="18">
        <v>42916</v>
      </c>
      <c r="M347" s="207">
        <f t="shared" si="36"/>
        <v>6</v>
      </c>
      <c r="N347" s="17"/>
      <c r="O347" s="86"/>
      <c r="P347" s="17">
        <v>43089</v>
      </c>
      <c r="Q347" s="5">
        <v>43089</v>
      </c>
      <c r="R347" s="209" t="s">
        <v>124</v>
      </c>
      <c r="S347" s="203" t="s">
        <v>124</v>
      </c>
      <c r="T347" s="5">
        <v>43008</v>
      </c>
      <c r="U347" s="211"/>
      <c r="V347" s="3"/>
      <c r="W347" s="3" t="s">
        <v>495</v>
      </c>
      <c r="X347" s="195" t="s">
        <v>680</v>
      </c>
      <c r="Y347" s="71" t="s">
        <v>784</v>
      </c>
    </row>
    <row r="348" spans="1:25" ht="51" hidden="1" customHeight="1" outlineLevel="1" x14ac:dyDescent="0.25">
      <c r="A348" s="3" t="s">
        <v>49</v>
      </c>
      <c r="B348" s="2" t="s">
        <v>50</v>
      </c>
      <c r="C348" s="2" t="s">
        <v>51</v>
      </c>
      <c r="D348" s="2">
        <v>2</v>
      </c>
      <c r="E348" s="2" t="s">
        <v>4</v>
      </c>
      <c r="F348" s="2" t="s">
        <v>277</v>
      </c>
      <c r="G348" s="2"/>
      <c r="H348" s="3" t="s">
        <v>49</v>
      </c>
      <c r="I348" s="3" t="s">
        <v>54</v>
      </c>
      <c r="J348" s="3" t="s">
        <v>215</v>
      </c>
      <c r="K348" s="28">
        <v>1592826.0500000003</v>
      </c>
      <c r="L348" s="10">
        <v>42855</v>
      </c>
      <c r="M348" s="88">
        <f t="shared" si="36"/>
        <v>4</v>
      </c>
      <c r="N348" s="17"/>
      <c r="O348" s="17"/>
      <c r="P348" s="17"/>
      <c r="Q348" s="17"/>
      <c r="R348" s="17">
        <v>42838</v>
      </c>
      <c r="S348" s="24">
        <f>MONTH(R348)</f>
        <v>4</v>
      </c>
      <c r="T348" s="5"/>
      <c r="U348" s="23"/>
      <c r="V348" s="3"/>
      <c r="W348" s="3"/>
      <c r="X348" s="3"/>
      <c r="Y348" s="59"/>
    </row>
    <row r="349" spans="1:25" ht="41.25" hidden="1" customHeight="1" outlineLevel="1" x14ac:dyDescent="0.25">
      <c r="A349" s="53" t="s">
        <v>49</v>
      </c>
      <c r="B349" s="53" t="s">
        <v>50</v>
      </c>
      <c r="C349" s="20" t="s">
        <v>51</v>
      </c>
      <c r="D349" s="53">
        <v>2</v>
      </c>
      <c r="E349" s="53" t="s">
        <v>4</v>
      </c>
      <c r="F349" s="53" t="s">
        <v>277</v>
      </c>
      <c r="G349" s="75">
        <v>67</v>
      </c>
      <c r="H349" s="53" t="s">
        <v>49</v>
      </c>
      <c r="I349" s="20" t="s">
        <v>735</v>
      </c>
      <c r="J349" s="20" t="s">
        <v>862</v>
      </c>
      <c r="K349" s="55">
        <v>3246952.4</v>
      </c>
      <c r="L349" s="54">
        <v>42978</v>
      </c>
      <c r="M349" s="88">
        <f t="shared" si="36"/>
        <v>8</v>
      </c>
      <c r="N349" s="108"/>
      <c r="O349" s="108"/>
      <c r="P349" s="109"/>
      <c r="Q349" s="5"/>
      <c r="R349" s="106">
        <v>42993</v>
      </c>
      <c r="S349" s="59" t="s">
        <v>124</v>
      </c>
      <c r="T349" s="130">
        <v>42998</v>
      </c>
      <c r="U349" s="59"/>
      <c r="V349" s="59"/>
      <c r="W349" s="59"/>
      <c r="X349" s="59"/>
      <c r="Y349" s="134" t="s">
        <v>810</v>
      </c>
    </row>
    <row r="350" spans="1:25" ht="51" hidden="1" customHeight="1" collapsed="1" x14ac:dyDescent="0.25">
      <c r="A350" s="53" t="s">
        <v>549</v>
      </c>
      <c r="B350" s="53" t="s">
        <v>550</v>
      </c>
      <c r="C350" s="20" t="s">
        <v>551</v>
      </c>
      <c r="D350" s="53" t="s">
        <v>3</v>
      </c>
      <c r="E350" s="53" t="s">
        <v>284</v>
      </c>
      <c r="F350" s="53" t="s">
        <v>405</v>
      </c>
      <c r="G350" s="2"/>
      <c r="H350" s="53" t="s">
        <v>549</v>
      </c>
      <c r="I350" s="20" t="s">
        <v>552</v>
      </c>
      <c r="J350" s="20" t="s">
        <v>773</v>
      </c>
      <c r="K350" s="55">
        <v>8466087</v>
      </c>
      <c r="L350" s="54">
        <v>42926</v>
      </c>
      <c r="M350" s="88">
        <f t="shared" si="36"/>
        <v>7</v>
      </c>
      <c r="N350" s="17"/>
      <c r="O350" s="5"/>
      <c r="P350" s="5"/>
      <c r="Q350" s="5"/>
      <c r="R350" s="106">
        <v>42949</v>
      </c>
      <c r="S350" s="24">
        <f t="shared" ref="S350" si="37">MONTH(R350)</f>
        <v>8</v>
      </c>
      <c r="T350" s="10"/>
      <c r="U350" s="3"/>
      <c r="V350" s="59"/>
      <c r="W350" s="59"/>
      <c r="X350" s="59"/>
      <c r="Y350" s="59"/>
    </row>
    <row r="351" spans="1:25" ht="51" hidden="1" customHeight="1" x14ac:dyDescent="0.25">
      <c r="A351" s="3" t="s">
        <v>216</v>
      </c>
      <c r="B351" s="2" t="s">
        <v>403</v>
      </c>
      <c r="C351" s="2" t="s">
        <v>404</v>
      </c>
      <c r="D351" s="2" t="s">
        <v>3</v>
      </c>
      <c r="E351" s="2" t="s">
        <v>284</v>
      </c>
      <c r="F351" s="2" t="s">
        <v>405</v>
      </c>
      <c r="G351" s="2"/>
      <c r="H351" s="3" t="s">
        <v>216</v>
      </c>
      <c r="I351" s="3" t="s">
        <v>217</v>
      </c>
      <c r="J351" s="3" t="s">
        <v>218</v>
      </c>
      <c r="K351" s="28">
        <v>19351055</v>
      </c>
      <c r="L351" s="18">
        <v>42896</v>
      </c>
      <c r="M351" s="88">
        <f t="shared" si="36"/>
        <v>6</v>
      </c>
      <c r="N351" s="17"/>
      <c r="O351" s="17"/>
      <c r="P351" s="17"/>
      <c r="Q351" s="17"/>
      <c r="R351" s="17">
        <v>42891</v>
      </c>
      <c r="S351" s="24">
        <f t="shared" ref="S351:S363" si="38">MONTH(R351)</f>
        <v>6</v>
      </c>
      <c r="T351" s="5"/>
      <c r="U351" s="23"/>
      <c r="V351" s="3"/>
      <c r="W351" s="3"/>
      <c r="X351" s="3"/>
      <c r="Y351" s="59"/>
    </row>
    <row r="352" spans="1:25" ht="51" hidden="1" customHeight="1" x14ac:dyDescent="0.25">
      <c r="A352" s="3" t="s">
        <v>219</v>
      </c>
      <c r="B352" s="2" t="s">
        <v>406</v>
      </c>
      <c r="C352" s="2" t="s">
        <v>407</v>
      </c>
      <c r="D352" s="2" t="s">
        <v>56</v>
      </c>
      <c r="E352" s="2" t="s">
        <v>284</v>
      </c>
      <c r="F352" s="2" t="s">
        <v>277</v>
      </c>
      <c r="G352" s="2"/>
      <c r="H352" s="3" t="s">
        <v>219</v>
      </c>
      <c r="I352" s="3" t="s">
        <v>232</v>
      </c>
      <c r="J352" s="3" t="s">
        <v>233</v>
      </c>
      <c r="K352" s="28">
        <v>6520112.2999999998</v>
      </c>
      <c r="L352" s="10">
        <v>42884</v>
      </c>
      <c r="M352" s="88">
        <f t="shared" si="36"/>
        <v>5</v>
      </c>
      <c r="N352" s="17"/>
      <c r="O352" s="17"/>
      <c r="P352" s="17"/>
      <c r="Q352" s="17"/>
      <c r="R352" s="17">
        <v>42884</v>
      </c>
      <c r="S352" s="24">
        <f t="shared" si="38"/>
        <v>5</v>
      </c>
      <c r="T352" s="5"/>
      <c r="U352" s="23"/>
      <c r="V352" s="3"/>
      <c r="W352" s="3"/>
      <c r="X352" s="3"/>
      <c r="Y352" s="59"/>
    </row>
    <row r="353" spans="1:25" ht="51" hidden="1" customHeight="1" x14ac:dyDescent="0.25">
      <c r="A353" s="3" t="s">
        <v>219</v>
      </c>
      <c r="B353" s="2" t="s">
        <v>406</v>
      </c>
      <c r="C353" s="2" t="s">
        <v>407</v>
      </c>
      <c r="D353" s="2" t="s">
        <v>56</v>
      </c>
      <c r="E353" s="2" t="s">
        <v>284</v>
      </c>
      <c r="F353" s="2" t="s">
        <v>277</v>
      </c>
      <c r="G353" s="2"/>
      <c r="H353" s="3" t="s">
        <v>219</v>
      </c>
      <c r="I353" s="3" t="s">
        <v>240</v>
      </c>
      <c r="J353" s="3" t="s">
        <v>241</v>
      </c>
      <c r="K353" s="28">
        <v>4258423.5</v>
      </c>
      <c r="L353" s="10">
        <v>42884</v>
      </c>
      <c r="M353" s="88">
        <f t="shared" si="36"/>
        <v>5</v>
      </c>
      <c r="N353" s="17"/>
      <c r="O353" s="17"/>
      <c r="P353" s="17"/>
      <c r="Q353" s="17"/>
      <c r="R353" s="17">
        <v>42884</v>
      </c>
      <c r="S353" s="24">
        <f t="shared" si="38"/>
        <v>5</v>
      </c>
      <c r="T353" s="5"/>
      <c r="U353" s="23"/>
      <c r="V353" s="3"/>
      <c r="W353" s="3"/>
      <c r="X353" s="3"/>
      <c r="Y353" s="59"/>
    </row>
    <row r="354" spans="1:25" ht="51" hidden="1" customHeight="1" x14ac:dyDescent="0.25">
      <c r="A354" s="3" t="s">
        <v>219</v>
      </c>
      <c r="B354" s="2" t="s">
        <v>406</v>
      </c>
      <c r="C354" s="2" t="s">
        <v>407</v>
      </c>
      <c r="D354" s="2" t="s">
        <v>56</v>
      </c>
      <c r="E354" s="2" t="s">
        <v>284</v>
      </c>
      <c r="F354" s="2" t="s">
        <v>277</v>
      </c>
      <c r="G354" s="2"/>
      <c r="H354" s="3" t="s">
        <v>219</v>
      </c>
      <c r="I354" s="3" t="s">
        <v>230</v>
      </c>
      <c r="J354" s="3" t="s">
        <v>231</v>
      </c>
      <c r="K354" s="28">
        <v>12094373.75</v>
      </c>
      <c r="L354" s="10">
        <v>42884</v>
      </c>
      <c r="M354" s="88">
        <f t="shared" si="36"/>
        <v>5</v>
      </c>
      <c r="N354" s="17"/>
      <c r="O354" s="17"/>
      <c r="P354" s="17"/>
      <c r="Q354" s="17"/>
      <c r="R354" s="17">
        <v>42884</v>
      </c>
      <c r="S354" s="24">
        <f t="shared" si="38"/>
        <v>5</v>
      </c>
      <c r="T354" s="5"/>
      <c r="U354" s="23"/>
      <c r="V354" s="3"/>
      <c r="W354" s="3"/>
      <c r="X354" s="3"/>
      <c r="Y354" s="59"/>
    </row>
    <row r="355" spans="1:25" ht="89.25" hidden="1" customHeight="1" x14ac:dyDescent="0.25">
      <c r="A355" s="3" t="s">
        <v>219</v>
      </c>
      <c r="B355" s="2" t="s">
        <v>406</v>
      </c>
      <c r="C355" s="2" t="s">
        <v>407</v>
      </c>
      <c r="D355" s="2" t="s">
        <v>56</v>
      </c>
      <c r="E355" s="2" t="s">
        <v>284</v>
      </c>
      <c r="F355" s="2" t="s">
        <v>277</v>
      </c>
      <c r="G355" s="2"/>
      <c r="H355" s="3" t="s">
        <v>219</v>
      </c>
      <c r="I355" s="3" t="s">
        <v>242</v>
      </c>
      <c r="J355" s="3" t="s">
        <v>243</v>
      </c>
      <c r="K355" s="28">
        <v>3374076.7</v>
      </c>
      <c r="L355" s="10">
        <v>42884</v>
      </c>
      <c r="M355" s="88">
        <f t="shared" si="36"/>
        <v>5</v>
      </c>
      <c r="N355" s="17"/>
      <c r="O355" s="17"/>
      <c r="P355" s="17"/>
      <c r="Q355" s="17"/>
      <c r="R355" s="17">
        <v>42884</v>
      </c>
      <c r="S355" s="24">
        <f t="shared" si="38"/>
        <v>5</v>
      </c>
      <c r="T355" s="5"/>
      <c r="U355" s="23"/>
      <c r="V355" s="3"/>
      <c r="W355" s="3"/>
      <c r="X355" s="3"/>
      <c r="Y355" s="59"/>
    </row>
    <row r="356" spans="1:25" ht="51" hidden="1" x14ac:dyDescent="0.25">
      <c r="A356" s="3" t="s">
        <v>219</v>
      </c>
      <c r="B356" s="2" t="s">
        <v>406</v>
      </c>
      <c r="C356" s="2" t="s">
        <v>407</v>
      </c>
      <c r="D356" s="2" t="s">
        <v>56</v>
      </c>
      <c r="E356" s="2" t="s">
        <v>284</v>
      </c>
      <c r="F356" s="2" t="s">
        <v>277</v>
      </c>
      <c r="G356" s="2"/>
      <c r="H356" s="3" t="s">
        <v>219</v>
      </c>
      <c r="I356" s="3" t="s">
        <v>220</v>
      </c>
      <c r="J356" s="3" t="s">
        <v>221</v>
      </c>
      <c r="K356" s="28">
        <v>15205196.949999999</v>
      </c>
      <c r="L356" s="10">
        <v>42884</v>
      </c>
      <c r="M356" s="88">
        <f t="shared" si="36"/>
        <v>5</v>
      </c>
      <c r="N356" s="17"/>
      <c r="O356" s="17"/>
      <c r="P356" s="17"/>
      <c r="Q356" s="17"/>
      <c r="R356" s="17">
        <v>42881</v>
      </c>
      <c r="S356" s="122">
        <f t="shared" si="38"/>
        <v>5</v>
      </c>
      <c r="T356" s="5"/>
      <c r="U356" s="23"/>
      <c r="V356" s="3"/>
      <c r="W356" s="3"/>
      <c r="X356" s="3"/>
      <c r="Y356" s="59"/>
    </row>
    <row r="357" spans="1:25" ht="51" hidden="1" x14ac:dyDescent="0.25">
      <c r="A357" s="3" t="s">
        <v>219</v>
      </c>
      <c r="B357" s="2" t="s">
        <v>406</v>
      </c>
      <c r="C357" s="2" t="s">
        <v>407</v>
      </c>
      <c r="D357" s="2" t="s">
        <v>56</v>
      </c>
      <c r="E357" s="2" t="s">
        <v>284</v>
      </c>
      <c r="F357" s="2" t="s">
        <v>277</v>
      </c>
      <c r="G357" s="2"/>
      <c r="H357" s="3" t="s">
        <v>219</v>
      </c>
      <c r="I357" s="3" t="s">
        <v>238</v>
      </c>
      <c r="J357" s="3" t="s">
        <v>239</v>
      </c>
      <c r="K357" s="28">
        <v>5381785.2000000002</v>
      </c>
      <c r="L357" s="10">
        <v>42884</v>
      </c>
      <c r="M357" s="88">
        <f t="shared" si="36"/>
        <v>5</v>
      </c>
      <c r="N357" s="17"/>
      <c r="O357" s="17"/>
      <c r="P357" s="17"/>
      <c r="Q357" s="17"/>
      <c r="R357" s="17">
        <v>42884</v>
      </c>
      <c r="S357" s="122">
        <f t="shared" si="38"/>
        <v>5</v>
      </c>
      <c r="T357" s="5"/>
      <c r="U357" s="23"/>
      <c r="V357" s="3"/>
      <c r="W357" s="3"/>
      <c r="X357" s="3"/>
      <c r="Y357" s="59"/>
    </row>
    <row r="358" spans="1:25" ht="51" hidden="1" x14ac:dyDescent="0.25">
      <c r="A358" s="3" t="s">
        <v>219</v>
      </c>
      <c r="B358" s="2" t="s">
        <v>406</v>
      </c>
      <c r="C358" s="2" t="s">
        <v>407</v>
      </c>
      <c r="D358" s="2" t="s">
        <v>56</v>
      </c>
      <c r="E358" s="2" t="s">
        <v>284</v>
      </c>
      <c r="F358" s="2" t="s">
        <v>277</v>
      </c>
      <c r="G358" s="2"/>
      <c r="H358" s="3" t="s">
        <v>219</v>
      </c>
      <c r="I358" s="3" t="s">
        <v>236</v>
      </c>
      <c r="J358" s="3" t="s">
        <v>237</v>
      </c>
      <c r="K358" s="28">
        <v>1824623.6</v>
      </c>
      <c r="L358" s="10">
        <v>42884</v>
      </c>
      <c r="M358" s="88">
        <f t="shared" si="36"/>
        <v>5</v>
      </c>
      <c r="N358" s="17"/>
      <c r="O358" s="17"/>
      <c r="P358" s="17"/>
      <c r="Q358" s="17"/>
      <c r="R358" s="17">
        <v>42884</v>
      </c>
      <c r="S358" s="122">
        <f t="shared" si="38"/>
        <v>5</v>
      </c>
      <c r="T358" s="5"/>
      <c r="U358" s="23"/>
      <c r="V358" s="3"/>
      <c r="W358" s="3"/>
      <c r="X358" s="3"/>
      <c r="Y358" s="59"/>
    </row>
    <row r="359" spans="1:25" ht="51" hidden="1" x14ac:dyDescent="0.25">
      <c r="A359" s="3" t="s">
        <v>219</v>
      </c>
      <c r="B359" s="2" t="s">
        <v>406</v>
      </c>
      <c r="C359" s="2" t="s">
        <v>407</v>
      </c>
      <c r="D359" s="2" t="s">
        <v>56</v>
      </c>
      <c r="E359" s="2" t="s">
        <v>284</v>
      </c>
      <c r="F359" s="2" t="s">
        <v>277</v>
      </c>
      <c r="G359" s="2"/>
      <c r="H359" s="3" t="s">
        <v>219</v>
      </c>
      <c r="I359" s="3" t="s">
        <v>226</v>
      </c>
      <c r="J359" s="3" t="s">
        <v>227</v>
      </c>
      <c r="K359" s="28">
        <v>996987.95000000007</v>
      </c>
      <c r="L359" s="10">
        <v>42884</v>
      </c>
      <c r="M359" s="88">
        <f t="shared" si="36"/>
        <v>5</v>
      </c>
      <c r="N359" s="17"/>
      <c r="O359" s="17"/>
      <c r="P359" s="17"/>
      <c r="Q359" s="17"/>
      <c r="R359" s="17">
        <v>42877</v>
      </c>
      <c r="S359" s="122">
        <f t="shared" si="38"/>
        <v>5</v>
      </c>
      <c r="T359" s="5"/>
      <c r="U359" s="23"/>
      <c r="V359" s="3"/>
      <c r="W359" s="3"/>
      <c r="X359" s="3"/>
      <c r="Y359" s="59"/>
    </row>
    <row r="360" spans="1:25" ht="51" hidden="1" x14ac:dyDescent="0.25">
      <c r="A360" s="3" t="s">
        <v>219</v>
      </c>
      <c r="B360" s="2" t="s">
        <v>406</v>
      </c>
      <c r="C360" s="2" t="s">
        <v>407</v>
      </c>
      <c r="D360" s="2" t="s">
        <v>56</v>
      </c>
      <c r="E360" s="2" t="s">
        <v>284</v>
      </c>
      <c r="F360" s="2" t="s">
        <v>277</v>
      </c>
      <c r="G360" s="2"/>
      <c r="H360" s="3" t="s">
        <v>219</v>
      </c>
      <c r="I360" s="3" t="s">
        <v>234</v>
      </c>
      <c r="J360" s="3" t="s">
        <v>235</v>
      </c>
      <c r="K360" s="28">
        <v>8362328.9000000004</v>
      </c>
      <c r="L360" s="10">
        <v>42884</v>
      </c>
      <c r="M360" s="88">
        <f t="shared" si="36"/>
        <v>5</v>
      </c>
      <c r="N360" s="17"/>
      <c r="O360" s="17"/>
      <c r="P360" s="17"/>
      <c r="Q360" s="17"/>
      <c r="R360" s="17">
        <v>42884</v>
      </c>
      <c r="S360" s="122">
        <f t="shared" si="38"/>
        <v>5</v>
      </c>
      <c r="T360" s="5"/>
      <c r="U360" s="23"/>
      <c r="V360" s="3"/>
      <c r="W360" s="3"/>
      <c r="X360" s="3"/>
      <c r="Y360" s="59"/>
    </row>
    <row r="361" spans="1:25" ht="51" hidden="1" x14ac:dyDescent="0.25">
      <c r="A361" s="3" t="s">
        <v>219</v>
      </c>
      <c r="B361" s="2" t="s">
        <v>406</v>
      </c>
      <c r="C361" s="2" t="s">
        <v>407</v>
      </c>
      <c r="D361" s="2" t="s">
        <v>56</v>
      </c>
      <c r="E361" s="2" t="s">
        <v>284</v>
      </c>
      <c r="F361" s="2" t="s">
        <v>277</v>
      </c>
      <c r="G361" s="2"/>
      <c r="H361" s="3" t="s">
        <v>219</v>
      </c>
      <c r="I361" s="3" t="s">
        <v>222</v>
      </c>
      <c r="J361" s="3" t="s">
        <v>223</v>
      </c>
      <c r="K361" s="28">
        <v>9483571.5500000007</v>
      </c>
      <c r="L361" s="10">
        <v>42884</v>
      </c>
      <c r="M361" s="88">
        <f t="shared" si="36"/>
        <v>5</v>
      </c>
      <c r="N361" s="17"/>
      <c r="O361" s="17"/>
      <c r="P361" s="17"/>
      <c r="Q361" s="17"/>
      <c r="R361" s="17">
        <v>42881</v>
      </c>
      <c r="S361" s="122">
        <f t="shared" si="38"/>
        <v>5</v>
      </c>
      <c r="T361" s="5"/>
      <c r="U361" s="23"/>
      <c r="V361" s="3"/>
      <c r="W361" s="3"/>
      <c r="X361" s="3"/>
      <c r="Y361" s="59"/>
    </row>
    <row r="362" spans="1:25" ht="51" hidden="1" x14ac:dyDescent="0.25">
      <c r="A362" s="3" t="s">
        <v>219</v>
      </c>
      <c r="B362" s="2" t="s">
        <v>406</v>
      </c>
      <c r="C362" s="2" t="s">
        <v>407</v>
      </c>
      <c r="D362" s="2" t="s">
        <v>56</v>
      </c>
      <c r="E362" s="2" t="s">
        <v>284</v>
      </c>
      <c r="F362" s="2" t="s">
        <v>277</v>
      </c>
      <c r="G362" s="2"/>
      <c r="H362" s="3" t="s">
        <v>219</v>
      </c>
      <c r="I362" s="3" t="s">
        <v>228</v>
      </c>
      <c r="J362" s="3" t="s">
        <v>229</v>
      </c>
      <c r="K362" s="28">
        <v>1520519.95</v>
      </c>
      <c r="L362" s="10">
        <v>42884</v>
      </c>
      <c r="M362" s="88">
        <f t="shared" si="36"/>
        <v>5</v>
      </c>
      <c r="N362" s="17"/>
      <c r="O362" s="17"/>
      <c r="P362" s="17"/>
      <c r="Q362" s="17"/>
      <c r="R362" s="17">
        <v>42872</v>
      </c>
      <c r="S362" s="122">
        <f t="shared" si="38"/>
        <v>5</v>
      </c>
      <c r="T362" s="5"/>
      <c r="U362" s="23"/>
      <c r="V362" s="3"/>
      <c r="W362" s="3"/>
      <c r="X362" s="3"/>
      <c r="Y362" s="59"/>
    </row>
    <row r="363" spans="1:25" ht="51" hidden="1" x14ac:dyDescent="0.25">
      <c r="A363" s="3" t="s">
        <v>219</v>
      </c>
      <c r="B363" s="2" t="s">
        <v>406</v>
      </c>
      <c r="C363" s="2" t="s">
        <v>407</v>
      </c>
      <c r="D363" s="2" t="s">
        <v>56</v>
      </c>
      <c r="E363" s="2" t="s">
        <v>284</v>
      </c>
      <c r="F363" s="2" t="s">
        <v>277</v>
      </c>
      <c r="G363" s="2"/>
      <c r="H363" s="3" t="s">
        <v>219</v>
      </c>
      <c r="I363" s="3" t="s">
        <v>224</v>
      </c>
      <c r="J363" s="3" t="s">
        <v>225</v>
      </c>
      <c r="K363" s="28">
        <v>1520519.9500000002</v>
      </c>
      <c r="L363" s="10">
        <v>42884</v>
      </c>
      <c r="M363" s="88">
        <f t="shared" si="36"/>
        <v>5</v>
      </c>
      <c r="N363" s="17"/>
      <c r="O363" s="17"/>
      <c r="P363" s="17"/>
      <c r="Q363" s="17"/>
      <c r="R363" s="17">
        <v>42881</v>
      </c>
      <c r="S363" s="122">
        <f t="shared" si="38"/>
        <v>5</v>
      </c>
      <c r="T363" s="5"/>
      <c r="U363" s="23"/>
      <c r="V363" s="3"/>
      <c r="W363" s="3"/>
      <c r="X363" s="3"/>
      <c r="Y363" s="59"/>
    </row>
    <row r="364" spans="1:25" ht="12.75" hidden="1" customHeight="1" outlineLevel="1" x14ac:dyDescent="0.25">
      <c r="A364" s="53" t="s">
        <v>219</v>
      </c>
      <c r="B364" s="53" t="s">
        <v>406</v>
      </c>
      <c r="C364" s="20" t="s">
        <v>407</v>
      </c>
      <c r="D364" s="53" t="s">
        <v>57</v>
      </c>
      <c r="E364" s="53" t="s">
        <v>284</v>
      </c>
      <c r="F364" s="53" t="s">
        <v>277</v>
      </c>
      <c r="G364" s="75">
        <v>68</v>
      </c>
      <c r="H364" s="53" t="s">
        <v>219</v>
      </c>
      <c r="I364" s="20" t="s">
        <v>553</v>
      </c>
      <c r="J364" s="20" t="s">
        <v>554</v>
      </c>
      <c r="K364" s="55">
        <v>64334618.317278087</v>
      </c>
      <c r="L364" s="54">
        <v>42943</v>
      </c>
      <c r="M364" s="88">
        <f t="shared" si="36"/>
        <v>7</v>
      </c>
      <c r="N364" s="17"/>
      <c r="O364" s="5"/>
      <c r="P364" s="5"/>
      <c r="Q364" s="5">
        <v>42993</v>
      </c>
      <c r="R364" s="106">
        <v>42993</v>
      </c>
      <c r="S364" s="59" t="s">
        <v>124</v>
      </c>
      <c r="T364" s="1">
        <v>42993</v>
      </c>
      <c r="U364" s="3"/>
      <c r="V364" s="59"/>
      <c r="W364" s="59"/>
      <c r="X364" s="3" t="s">
        <v>683</v>
      </c>
      <c r="Y364" s="71" t="s">
        <v>811</v>
      </c>
    </row>
    <row r="365" spans="1:25" ht="12.75" customHeight="1" outlineLevel="1" x14ac:dyDescent="0.25">
      <c r="A365" s="185"/>
      <c r="B365" s="185"/>
      <c r="C365" s="186"/>
      <c r="D365" s="185"/>
      <c r="E365" s="185"/>
      <c r="F365" s="185"/>
      <c r="G365" s="179"/>
      <c r="H365" s="185"/>
      <c r="I365" s="186"/>
      <c r="J365" s="186"/>
      <c r="K365" s="187"/>
      <c r="L365" s="188"/>
      <c r="M365" s="189"/>
      <c r="N365" s="103"/>
      <c r="O365" s="180"/>
      <c r="P365" s="180"/>
      <c r="Q365" s="180"/>
      <c r="R365" s="190"/>
      <c r="S365" s="25"/>
      <c r="T365" s="180"/>
      <c r="U365" s="19"/>
      <c r="V365" s="25"/>
      <c r="W365" s="25"/>
      <c r="X365" s="19"/>
      <c r="Y365" s="180"/>
    </row>
    <row r="366" spans="1:25" ht="12.75" customHeight="1" outlineLevel="1" x14ac:dyDescent="0.25">
      <c r="A366" s="185"/>
      <c r="B366" s="185"/>
      <c r="C366" s="186"/>
      <c r="D366" s="185"/>
      <c r="E366" s="185"/>
      <c r="F366" s="185"/>
      <c r="G366" s="179"/>
      <c r="H366" s="185"/>
      <c r="I366" s="186"/>
      <c r="J366" s="186"/>
      <c r="K366" s="187"/>
      <c r="L366" s="188"/>
      <c r="M366" s="189"/>
      <c r="N366" s="103"/>
      <c r="O366" s="180"/>
      <c r="P366" s="180"/>
      <c r="Q366" s="180"/>
      <c r="R366" s="190"/>
      <c r="S366" s="25"/>
      <c r="T366" s="180"/>
      <c r="U366" s="19"/>
      <c r="V366" s="25"/>
      <c r="W366" s="25"/>
      <c r="X366" s="19"/>
      <c r="Y366" s="180"/>
    </row>
    <row r="367" spans="1:25" ht="12.75" customHeight="1" outlineLevel="1" x14ac:dyDescent="0.25">
      <c r="A367" s="185"/>
      <c r="B367" s="185"/>
      <c r="C367" s="186"/>
      <c r="D367" s="185"/>
      <c r="E367" s="185"/>
      <c r="F367" s="185"/>
      <c r="G367" s="179"/>
      <c r="H367" s="185"/>
      <c r="I367" s="186"/>
      <c r="J367" s="186"/>
      <c r="K367" s="187"/>
      <c r="L367" s="188"/>
      <c r="M367" s="189"/>
      <c r="N367" s="103"/>
      <c r="O367" s="180"/>
      <c r="P367" s="180"/>
      <c r="Q367" s="180"/>
      <c r="R367" s="190"/>
      <c r="S367" s="25"/>
      <c r="T367" s="180"/>
      <c r="U367" s="19"/>
      <c r="V367" s="25"/>
      <c r="W367" s="25"/>
      <c r="X367" s="19"/>
      <c r="Y367" s="180"/>
    </row>
    <row r="368" spans="1:25" ht="12.75" customHeight="1" outlineLevel="1" x14ac:dyDescent="0.25">
      <c r="A368" s="185"/>
      <c r="B368" s="185"/>
      <c r="C368" s="186"/>
      <c r="D368" s="185"/>
      <c r="E368" s="185"/>
      <c r="F368" s="185"/>
      <c r="G368" s="179"/>
      <c r="H368" s="185"/>
      <c r="I368" s="186"/>
      <c r="J368" s="186"/>
      <c r="K368" s="187"/>
      <c r="L368" s="188"/>
      <c r="M368" s="189"/>
      <c r="N368" s="103"/>
      <c r="O368" s="180"/>
      <c r="P368" s="180"/>
      <c r="Q368" s="180"/>
      <c r="R368" s="190"/>
      <c r="S368" s="25"/>
      <c r="T368" s="180"/>
      <c r="U368" s="19"/>
      <c r="V368" s="25"/>
      <c r="W368" s="25"/>
      <c r="X368" s="19"/>
      <c r="Y368" s="180"/>
    </row>
    <row r="369" spans="1:25" ht="12.75" customHeight="1" outlineLevel="1" x14ac:dyDescent="0.25">
      <c r="A369" s="185"/>
      <c r="B369" s="185"/>
      <c r="C369" s="186"/>
      <c r="D369" s="185"/>
      <c r="E369" s="185"/>
      <c r="F369" s="185"/>
      <c r="G369" s="179"/>
      <c r="H369" s="185"/>
      <c r="I369" s="186"/>
      <c r="J369" s="186"/>
      <c r="K369" s="187"/>
      <c r="L369" s="188"/>
      <c r="M369" s="189"/>
      <c r="N369" s="103"/>
      <c r="O369" s="180"/>
      <c r="P369" s="180"/>
      <c r="Q369" s="180"/>
      <c r="R369" s="190"/>
      <c r="S369" s="25"/>
      <c r="T369" s="180"/>
      <c r="U369" s="19"/>
      <c r="V369" s="25"/>
      <c r="W369" s="25"/>
      <c r="X369" s="19"/>
      <c r="Y369" s="180"/>
    </row>
    <row r="370" spans="1:25" ht="12.75" customHeight="1" outlineLevel="1" x14ac:dyDescent="0.25">
      <c r="A370" s="185"/>
      <c r="B370" s="185"/>
      <c r="C370" s="186"/>
      <c r="D370" s="185"/>
      <c r="E370" s="185"/>
      <c r="F370" s="185"/>
      <c r="G370" s="179"/>
      <c r="H370" s="185"/>
      <c r="I370" s="49"/>
      <c r="J370" s="49" t="s">
        <v>496</v>
      </c>
      <c r="K370" s="187"/>
      <c r="L370" s="188"/>
      <c r="M370" s="189"/>
      <c r="N370" s="30" t="s">
        <v>497</v>
      </c>
      <c r="O370" s="180"/>
      <c r="P370" s="180"/>
      <c r="Q370" s="7"/>
      <c r="R370" s="190"/>
      <c r="S370" s="25"/>
      <c r="T370" s="180"/>
      <c r="U370" s="19"/>
      <c r="V370" s="25"/>
      <c r="W370" s="25"/>
      <c r="X370" s="19"/>
      <c r="Y370" s="180"/>
    </row>
    <row r="371" spans="1:25" x14ac:dyDescent="0.25">
      <c r="G371" s="191" t="s">
        <v>642</v>
      </c>
      <c r="I371" s="7"/>
      <c r="J371" s="7"/>
      <c r="T371" s="113"/>
      <c r="Y371" s="113"/>
    </row>
    <row r="372" spans="1:25" x14ac:dyDescent="0.25">
      <c r="G372" s="191" t="s">
        <v>641</v>
      </c>
    </row>
  </sheetData>
  <autoFilter ref="A11:Y364">
    <filterColumn colId="17">
      <filters>
        <filter val="nav iesniegts"/>
      </filters>
    </filterColumn>
  </autoFilter>
  <sortState ref="A9:Y323">
    <sortCondition ref="B9:B323"/>
    <sortCondition ref="F9:F323"/>
  </sortState>
  <customSheetViews>
    <customSheetView guid="{DD224C07-7291-463E-8BEE-43F0AEF6DCCF}" scale="110" showPageBreaks="1" fitToPage="1" printArea="1" filter="1" showAutoFilter="1" hiddenColumns="1" topLeftCell="I1">
      <selection activeCell="K60" sqref="K60"/>
      <pageMargins left="0.70866141732283472" right="0.70866141732283472" top="0.74803149606299213" bottom="0.74803149606299213" header="0.31496062992125984" footer="0.31496062992125984"/>
      <pageSetup paperSize="9" scale="56" fitToHeight="0" orientation="landscape" r:id="rId1"/>
      <headerFooter>
        <oddFooter>&amp;C &amp;P no &amp;N</oddFooter>
      </headerFooter>
      <autoFilter ref="A11:Y340">
        <filterColumn colId="17">
          <filters>
            <filter val="nav iesniegts"/>
          </filters>
        </filterColumn>
      </autoFilter>
    </customSheetView>
    <customSheetView guid="{6E4A4EE3-60E1-42FA-AFB7-0452F0113865}" fitToPage="1" filter="1" showAutoFilter="1" hiddenColumns="1" topLeftCell="H305">
      <selection activeCell="I187" sqref="I187:I340"/>
      <pageMargins left="0.70866141732283472" right="0.70866141732283472" top="0.74803149606299213" bottom="0.74803149606299213" header="0.31496062992125984" footer="0.31496062992125984"/>
      <pageSetup paperSize="9" scale="56" fitToHeight="0" orientation="landscape" r:id="rId2"/>
      <headerFooter>
        <oddFooter>&amp;C &amp;P no &amp;N</oddFooter>
      </headerFooter>
      <autoFilter ref="A11:Y340">
        <filterColumn colId="7">
          <filters>
            <filter val="4.5.1."/>
            <filter val="8.1.2."/>
            <filter val="8.1.3."/>
            <filter val="9.3.2."/>
          </filters>
        </filterColumn>
        <filterColumn colId="17">
          <filters>
            <filter val="nav iesniegts"/>
          </filters>
        </filterColumn>
      </autoFilter>
    </customSheetView>
    <customSheetView guid="{8C54629E-189C-45BD-B471-052E1E1AA970}" fitToPage="1" filter="1" showAutoFilter="1" hiddenColumns="1" topLeftCell="H1">
      <selection activeCell="Y340" sqref="Y340"/>
      <pageMargins left="0.70866141732283472" right="0.70866141732283472" top="0.74803149606299213" bottom="0.74803149606299213" header="0.31496062992125984" footer="0.31496062992125984"/>
      <pageSetup paperSize="9" scale="56" fitToHeight="0" orientation="landscape" r:id="rId3"/>
      <headerFooter>
        <oddFooter>&amp;C &amp;P no &amp;N</oddFooter>
      </headerFooter>
      <autoFilter ref="A11:Y340">
        <filterColumn colId="17">
          <filters>
            <filter val="nav iesniegts"/>
          </filters>
        </filterColumn>
      </autoFilter>
    </customSheetView>
    <customSheetView guid="{5C6F0B19-D42B-4153-AFCC-0E3F563BD155}" scale="80" showPageBreaks="1" fitToPage="1" filter="1" showAutoFilter="1" hiddenColumns="1" topLeftCell="C1">
      <selection activeCell="E57" sqref="E57"/>
      <pageMargins left="0.70866141732283472" right="0.70866141732283472" top="0.74803149606299213" bottom="0.74803149606299213" header="0.31496062992125984" footer="0.31496062992125984"/>
      <pageSetup paperSize="9" scale="41" fitToHeight="0" orientation="landscape" r:id="rId4"/>
      <headerFooter>
        <oddFooter>&amp;C &amp;P no &amp;N</oddFooter>
      </headerFooter>
      <autoFilter ref="A11:Y340">
        <filterColumn colId="17">
          <filters>
            <filter val="nav iesniegts"/>
          </filters>
        </filterColumn>
      </autoFilter>
    </customSheetView>
    <customSheetView guid="{3C198650-E200-49E7-9C73-05D2051167FE}" scale="80" showPageBreaks="1" fitToPage="1" filter="1" showAutoFilter="1" topLeftCell="M1">
      <selection activeCell="M256" sqref="A256:XFD256"/>
      <pageMargins left="0.70866141732283472" right="0.70866141732283472" top="0.74803149606299213" bottom="0.74803149606299213" header="0.31496062992125984" footer="0.31496062992125984"/>
      <pageSetup paperSize="9" scale="28" fitToHeight="0" orientation="landscape" r:id="rId5"/>
      <headerFooter>
        <oddFooter>&amp;C &amp;P no &amp;N</oddFooter>
      </headerFooter>
      <autoFilter ref="A11:Y337">
        <filterColumn colId="17">
          <filters>
            <filter val="nav iesniegts"/>
          </filters>
        </filterColumn>
      </autoFilter>
    </customSheetView>
  </customSheetViews>
  <mergeCells count="36">
    <mergeCell ref="G6:J6"/>
    <mergeCell ref="G7:J7"/>
    <mergeCell ref="I8:I10"/>
    <mergeCell ref="J8:J10"/>
    <mergeCell ref="F8:F10"/>
    <mergeCell ref="A8:A10"/>
    <mergeCell ref="B8:B10"/>
    <mergeCell ref="C8:C10"/>
    <mergeCell ref="U8:U10"/>
    <mergeCell ref="R8:R10"/>
    <mergeCell ref="D8:D10"/>
    <mergeCell ref="E8:E10"/>
    <mergeCell ref="Y123:Y131"/>
    <mergeCell ref="Y267:Y268"/>
    <mergeCell ref="H8:H10"/>
    <mergeCell ref="G8:G10"/>
    <mergeCell ref="Y236:Y240"/>
    <mergeCell ref="Y99:Y104"/>
    <mergeCell ref="Y132:Y133"/>
    <mergeCell ref="Y137:Y138"/>
    <mergeCell ref="Y1:Y3"/>
    <mergeCell ref="L8:L10"/>
    <mergeCell ref="T8:T10"/>
    <mergeCell ref="W8:W10"/>
    <mergeCell ref="P8:P10"/>
    <mergeCell ref="S8:S10"/>
    <mergeCell ref="O8:O10"/>
    <mergeCell ref="N8:N10"/>
    <mergeCell ref="M8:M10"/>
    <mergeCell ref="Q8:Q10"/>
    <mergeCell ref="Y8:Y10"/>
    <mergeCell ref="X8:X10"/>
    <mergeCell ref="V8:V10"/>
    <mergeCell ref="G4:Y4"/>
    <mergeCell ref="K8:K10"/>
    <mergeCell ref="G5:J5"/>
  </mergeCells>
  <dataValidations count="2">
    <dataValidation type="list" errorStyle="warning" allowBlank="1" showInputMessage="1" showErrorMessage="1" errorTitle="Izvēle tikai no saraksta!" error="Lūdzu izvēlēties vienu no vērtībām sarakstā." sqref="T317:U317 O317:P317">
      <formula1>#REF!</formula1>
    </dataValidation>
    <dataValidation type="list" errorStyle="warning" allowBlank="1" showInputMessage="1" showErrorMessage="1" errorTitle="Izvēle tikai no saraksta!" error="Lūdzu izvēlēties vienu no vērtībām sarakstā." sqref="N370">
      <formula1>#REF!</formula1>
    </dataValidation>
  </dataValidations>
  <pageMargins left="0.31496062992125984" right="0.31496062992125984" top="1.1811023622047245" bottom="0.55118110236220474" header="0.31496062992125984" footer="0.31496062992125984"/>
  <pageSetup paperSize="9" scale="64" fitToHeight="0" orientation="landscape" r:id="rId6"/>
  <headerFooter>
    <oddFooter>&amp;L&amp;F&amp;C &amp;P no &amp;[8</oddFooter>
  </headerFooter>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view="pageBreakPreview" zoomScale="90" zoomScaleNormal="85" zoomScaleSheetLayoutView="90" workbookViewId="0">
      <selection activeCell="C1" sqref="C1:D1"/>
    </sheetView>
  </sheetViews>
  <sheetFormatPr defaultRowHeight="33" customHeight="1" x14ac:dyDescent="0.25"/>
  <cols>
    <col min="1" max="1" width="5.25" customWidth="1"/>
    <col min="2" max="2" width="58.125" style="15" customWidth="1"/>
    <col min="3" max="3" width="27.25" style="16" customWidth="1"/>
    <col min="4" max="4" width="16.75" style="16" customWidth="1"/>
    <col min="5" max="5" width="13.375" customWidth="1"/>
    <col min="11" max="11" width="9" customWidth="1"/>
  </cols>
  <sheetData>
    <row r="1" spans="1:11" ht="65.25" customHeight="1" x14ac:dyDescent="0.25">
      <c r="A1" s="269">
        <f>Projektu_iesniegumi!H2</f>
        <v>43003</v>
      </c>
      <c r="B1" s="269"/>
      <c r="C1" s="270" t="s">
        <v>896</v>
      </c>
      <c r="D1" s="270"/>
      <c r="K1" s="60"/>
    </row>
    <row r="2" spans="1:11" ht="50.25" customHeight="1" x14ac:dyDescent="0.25">
      <c r="A2" s="271" t="s">
        <v>887</v>
      </c>
      <c r="B2" s="271"/>
      <c r="C2" s="271"/>
      <c r="D2" s="271"/>
      <c r="K2" s="60"/>
    </row>
    <row r="3" spans="1:11" ht="31.5" customHeight="1" x14ac:dyDescent="0.25">
      <c r="A3" s="272" t="s">
        <v>60</v>
      </c>
      <c r="B3" s="272" t="s">
        <v>61</v>
      </c>
      <c r="C3" s="273" t="s">
        <v>498</v>
      </c>
      <c r="D3" s="274"/>
      <c r="E3" s="32"/>
      <c r="F3" s="32"/>
      <c r="K3" s="60"/>
    </row>
    <row r="4" spans="1:11" ht="26.25" customHeight="1" x14ac:dyDescent="0.25">
      <c r="A4" s="272"/>
      <c r="B4" s="272"/>
      <c r="C4" s="275"/>
      <c r="D4" s="276"/>
      <c r="E4" s="32"/>
      <c r="F4" s="32"/>
      <c r="K4" s="60"/>
    </row>
    <row r="5" spans="1:11" ht="33.75" customHeight="1" x14ac:dyDescent="0.25">
      <c r="A5" s="272"/>
      <c r="B5" s="272"/>
      <c r="C5" s="277"/>
      <c r="D5" s="278"/>
      <c r="E5" s="32"/>
      <c r="F5" s="32"/>
      <c r="K5" s="60"/>
    </row>
    <row r="6" spans="1:11" ht="33" customHeight="1" x14ac:dyDescent="0.25">
      <c r="A6" s="68"/>
      <c r="B6" s="33" t="s">
        <v>499</v>
      </c>
      <c r="C6" s="34">
        <v>138669449.77522448</v>
      </c>
      <c r="D6" s="35">
        <v>1</v>
      </c>
      <c r="E6" s="32"/>
      <c r="F6" s="32"/>
      <c r="K6" s="60"/>
    </row>
    <row r="7" spans="1:11" s="39" customFormat="1" ht="19.5" x14ac:dyDescent="0.3">
      <c r="A7" s="181">
        <v>1</v>
      </c>
      <c r="B7" s="156" t="s">
        <v>67</v>
      </c>
      <c r="C7" s="96">
        <f>'PI_neizpildes_FS_projekti '!D9</f>
        <v>37935940.027593583</v>
      </c>
      <c r="D7" s="95">
        <f t="shared" ref="D7:D41" si="0">C7/$C$6</f>
        <v>0.27357099987838451</v>
      </c>
      <c r="E7" s="38"/>
      <c r="F7" s="38"/>
    </row>
    <row r="8" spans="1:11" s="39" customFormat="1" ht="19.5" x14ac:dyDescent="0.3">
      <c r="A8" s="181">
        <v>2</v>
      </c>
      <c r="B8" s="156" t="s">
        <v>12</v>
      </c>
      <c r="C8" s="96">
        <f>'PI_neizpildes_FS_projekti '!D28</f>
        <v>18034946</v>
      </c>
      <c r="D8" s="95">
        <f t="shared" si="0"/>
        <v>0.13005709642054289</v>
      </c>
      <c r="E8" s="38"/>
      <c r="F8" s="38"/>
    </row>
    <row r="9" spans="1:11" s="39" customFormat="1" ht="19.5" x14ac:dyDescent="0.3">
      <c r="A9" s="181">
        <v>3</v>
      </c>
      <c r="B9" s="156" t="s">
        <v>312</v>
      </c>
      <c r="C9" s="96">
        <f>'PI_neizpildes_FS_projekti '!D35</f>
        <v>16141025.850000001</v>
      </c>
      <c r="D9" s="95">
        <f t="shared" si="0"/>
        <v>0.11639929253461172</v>
      </c>
      <c r="E9" s="38"/>
      <c r="F9" s="38"/>
    </row>
    <row r="10" spans="1:11" s="39" customFormat="1" ht="19.5" x14ac:dyDescent="0.3">
      <c r="A10" s="181">
        <v>4</v>
      </c>
      <c r="B10" s="156" t="s">
        <v>198</v>
      </c>
      <c r="C10" s="96">
        <f>'PI_neizpildes_FS_projekti '!D38</f>
        <v>12978208</v>
      </c>
      <c r="D10" s="95">
        <f t="shared" si="0"/>
        <v>9.3590967736851619E-2</v>
      </c>
      <c r="E10" s="38"/>
      <c r="F10" s="38"/>
    </row>
    <row r="11" spans="1:11" s="40" customFormat="1" ht="19.5" x14ac:dyDescent="0.3">
      <c r="A11" s="182">
        <v>5</v>
      </c>
      <c r="B11" s="157" t="s">
        <v>346</v>
      </c>
      <c r="C11" s="36">
        <f>'PI_neizpildes_FS_projekti '!D40</f>
        <v>9377482.3138999976</v>
      </c>
      <c r="D11" s="37">
        <f t="shared" si="0"/>
        <v>6.7624717117579822E-2</v>
      </c>
      <c r="E11" s="38"/>
      <c r="F11" s="38"/>
    </row>
    <row r="12" spans="1:11" s="39" customFormat="1" ht="19.5" x14ac:dyDescent="0.3">
      <c r="A12" s="182">
        <v>6</v>
      </c>
      <c r="B12" s="157" t="s">
        <v>10</v>
      </c>
      <c r="C12" s="36">
        <f>'PI_neizpildes_FS_projekti '!D44</f>
        <v>7165161.4773846949</v>
      </c>
      <c r="D12" s="37">
        <f t="shared" si="0"/>
        <v>5.1670800518780639E-2</v>
      </c>
      <c r="E12" s="38"/>
      <c r="F12" s="38"/>
    </row>
    <row r="13" spans="1:11" s="42" customFormat="1" ht="22.5" customHeight="1" x14ac:dyDescent="0.3">
      <c r="A13" s="182">
        <v>7</v>
      </c>
      <c r="B13" s="158" t="s">
        <v>209</v>
      </c>
      <c r="C13" s="36">
        <f>'PI_neizpildes_FS_projekti '!D48</f>
        <v>3636684</v>
      </c>
      <c r="D13" s="37">
        <f t="shared" si="0"/>
        <v>2.6225560178502649E-2</v>
      </c>
      <c r="E13" s="41"/>
      <c r="F13" s="41"/>
    </row>
    <row r="14" spans="1:11" s="39" customFormat="1" ht="19.5" x14ac:dyDescent="0.3">
      <c r="A14" s="182">
        <v>8</v>
      </c>
      <c r="B14" s="157" t="s">
        <v>14</v>
      </c>
      <c r="C14" s="36">
        <f>'PI_neizpildes_FS_projekti '!D50</f>
        <v>3240000</v>
      </c>
      <c r="D14" s="37">
        <f>C14/$C$6</f>
        <v>2.3364915669975336E-2</v>
      </c>
      <c r="E14" s="38"/>
      <c r="F14" s="38"/>
    </row>
    <row r="15" spans="1:11" s="42" customFormat="1" ht="19.5" x14ac:dyDescent="0.3">
      <c r="A15" s="182">
        <v>9</v>
      </c>
      <c r="B15" s="157" t="s">
        <v>713</v>
      </c>
      <c r="C15" s="36">
        <f>'PI_neizpildes_FS_projekti '!D54</f>
        <v>2957850</v>
      </c>
      <c r="D15" s="37">
        <f t="shared" si="0"/>
        <v>2.1330220930381651E-2</v>
      </c>
      <c r="E15" s="41"/>
      <c r="F15" s="41"/>
    </row>
    <row r="16" spans="1:11" s="43" customFormat="1" ht="26.25" customHeight="1" x14ac:dyDescent="0.3">
      <c r="A16" s="182">
        <v>10</v>
      </c>
      <c r="B16" s="158" t="s">
        <v>200</v>
      </c>
      <c r="C16" s="36">
        <f>'PI_neizpildes_FS_projekti '!D56</f>
        <v>2948459.58</v>
      </c>
      <c r="D16" s="37">
        <f t="shared" si="0"/>
        <v>2.1262502914515709E-2</v>
      </c>
      <c r="E16" s="41"/>
      <c r="F16" s="41"/>
    </row>
    <row r="17" spans="1:6" s="42" customFormat="1" ht="19.5" x14ac:dyDescent="0.3">
      <c r="A17" s="182">
        <v>11</v>
      </c>
      <c r="B17" s="157" t="s">
        <v>864</v>
      </c>
      <c r="C17" s="36">
        <v>2923830</v>
      </c>
      <c r="D17" s="37">
        <f>C17/$C$6</f>
        <v>2.1084889315846907E-2</v>
      </c>
      <c r="E17" s="41"/>
      <c r="F17" s="41"/>
    </row>
    <row r="18" spans="1:6" s="42" customFormat="1" ht="19.5" x14ac:dyDescent="0.3">
      <c r="A18" s="182">
        <v>12</v>
      </c>
      <c r="B18" s="157" t="s">
        <v>701</v>
      </c>
      <c r="C18" s="36">
        <f>'PI_neizpildes_FS_projekti '!D60</f>
        <v>2336650</v>
      </c>
      <c r="D18" s="37">
        <f>C18/$C$6</f>
        <v>1.6850503148224651E-2</v>
      </c>
      <c r="E18" s="41"/>
      <c r="F18" s="41"/>
    </row>
    <row r="19" spans="1:6" s="43" customFormat="1" ht="19.5" x14ac:dyDescent="0.3">
      <c r="A19" s="182">
        <v>13</v>
      </c>
      <c r="B19" s="157" t="s">
        <v>72</v>
      </c>
      <c r="C19" s="36">
        <f>'PI_neizpildes_FS_projekti '!D62</f>
        <v>2325582</v>
      </c>
      <c r="D19" s="37">
        <f t="shared" si="0"/>
        <v>1.6770687442473019E-2</v>
      </c>
      <c r="E19" s="94"/>
      <c r="F19" s="41"/>
    </row>
    <row r="20" spans="1:6" s="43" customFormat="1" ht="19.5" x14ac:dyDescent="0.3">
      <c r="A20" s="182">
        <v>14</v>
      </c>
      <c r="B20" s="157" t="s">
        <v>546</v>
      </c>
      <c r="C20" s="36">
        <f>'PI_neizpildes_FS_projekti '!D64</f>
        <v>2258969.35</v>
      </c>
      <c r="D20" s="37">
        <f t="shared" si="0"/>
        <v>1.6290317396237344E-2</v>
      </c>
      <c r="E20" s="41"/>
      <c r="F20" s="41"/>
    </row>
    <row r="21" spans="1:6" s="43" customFormat="1" ht="19.5" x14ac:dyDescent="0.3">
      <c r="A21" s="182">
        <v>15</v>
      </c>
      <c r="B21" s="158" t="s">
        <v>52</v>
      </c>
      <c r="C21" s="36">
        <f>'PI_neizpildes_FS_projekti '!D66</f>
        <v>2081865.9</v>
      </c>
      <c r="D21" s="37">
        <f t="shared" si="0"/>
        <v>1.5013154688178178E-2</v>
      </c>
      <c r="E21" s="41"/>
      <c r="F21" s="41"/>
    </row>
    <row r="22" spans="1:6" s="43" customFormat="1" ht="19.5" x14ac:dyDescent="0.3">
      <c r="A22" s="182">
        <v>16</v>
      </c>
      <c r="B22" s="157" t="s">
        <v>724</v>
      </c>
      <c r="C22" s="36">
        <f>'PI_neizpildes_FS_projekti '!D68</f>
        <v>1078490.1363461581</v>
      </c>
      <c r="D22" s="37">
        <f t="shared" si="0"/>
        <v>7.777417002045736E-3</v>
      </c>
      <c r="E22" s="41"/>
      <c r="F22" s="41"/>
    </row>
    <row r="23" spans="1:6" s="42" customFormat="1" ht="19.5" x14ac:dyDescent="0.3">
      <c r="A23" s="182">
        <v>17</v>
      </c>
      <c r="B23" s="157" t="s">
        <v>709</v>
      </c>
      <c r="C23" s="36">
        <f>'PI_neizpildes_FS_projekti '!D71</f>
        <v>1906322</v>
      </c>
      <c r="D23" s="37">
        <f t="shared" si="0"/>
        <v>1.3747238509203308E-2</v>
      </c>
      <c r="E23" s="41"/>
      <c r="F23" s="41"/>
    </row>
    <row r="24" spans="1:6" s="42" customFormat="1" ht="19.5" x14ac:dyDescent="0.3">
      <c r="A24" s="182">
        <v>18</v>
      </c>
      <c r="B24" s="157" t="s">
        <v>376</v>
      </c>
      <c r="C24" s="36">
        <f>'PI_neizpildes_FS_projekti '!D73</f>
        <v>1615000</v>
      </c>
      <c r="D24" s="37">
        <f t="shared" si="0"/>
        <v>1.1646400866361163E-2</v>
      </c>
      <c r="E24" s="41"/>
      <c r="F24" s="41"/>
    </row>
    <row r="25" spans="1:6" s="42" customFormat="1" ht="19.5" x14ac:dyDescent="0.3">
      <c r="A25" s="182">
        <v>19</v>
      </c>
      <c r="B25" s="157" t="s">
        <v>865</v>
      </c>
      <c r="C25" s="36">
        <v>1356692</v>
      </c>
      <c r="D25" s="37">
        <f t="shared" si="0"/>
        <v>9.7836401759661042E-3</v>
      </c>
      <c r="E25" s="41"/>
      <c r="F25" s="41"/>
    </row>
    <row r="26" spans="1:6" s="42" customFormat="1" ht="19.5" x14ac:dyDescent="0.3">
      <c r="A26" s="182">
        <v>20</v>
      </c>
      <c r="B26" s="157" t="s">
        <v>856</v>
      </c>
      <c r="C26" s="36">
        <v>1146746</v>
      </c>
      <c r="D26" s="37">
        <f t="shared" si="0"/>
        <v>8.2696369089140537E-3</v>
      </c>
      <c r="E26" s="41"/>
      <c r="F26" s="41"/>
    </row>
    <row r="27" spans="1:6" s="42" customFormat="1" ht="19.5" x14ac:dyDescent="0.3">
      <c r="A27" s="182">
        <v>21</v>
      </c>
      <c r="B27" s="157" t="s">
        <v>149</v>
      </c>
      <c r="C27" s="36">
        <f>'PI_neizpildes_FS_projekti '!D80</f>
        <v>1044527.14</v>
      </c>
      <c r="D27" s="37">
        <f t="shared" si="0"/>
        <v>7.5324964633026294E-3</v>
      </c>
      <c r="E27" s="41"/>
      <c r="F27" s="41"/>
    </row>
    <row r="28" spans="1:6" s="42" customFormat="1" ht="18.75" x14ac:dyDescent="0.3">
      <c r="A28" s="183">
        <v>22</v>
      </c>
      <c r="B28" s="117" t="s">
        <v>164</v>
      </c>
      <c r="C28" s="44">
        <f>'PI_neizpildes_FS_projekti '!D85</f>
        <v>847000</v>
      </c>
      <c r="D28" s="45">
        <f t="shared" si="0"/>
        <v>6.1080504853299718E-3</v>
      </c>
      <c r="E28" s="41"/>
      <c r="F28" s="41"/>
    </row>
    <row r="29" spans="1:6" s="47" customFormat="1" ht="18.75" x14ac:dyDescent="0.3">
      <c r="A29" s="183">
        <v>23</v>
      </c>
      <c r="B29" s="117" t="s">
        <v>357</v>
      </c>
      <c r="C29" s="44">
        <f>'PI_neizpildes_FS_projekti '!D87</f>
        <v>620500</v>
      </c>
      <c r="D29" s="45">
        <f>C29/$C$6</f>
        <v>4.4746698065492889E-3</v>
      </c>
      <c r="E29" s="46"/>
      <c r="F29" s="46"/>
    </row>
    <row r="30" spans="1:6" s="42" customFormat="1" ht="18.75" x14ac:dyDescent="0.3">
      <c r="A30" s="183">
        <v>24</v>
      </c>
      <c r="B30" s="117" t="s">
        <v>844</v>
      </c>
      <c r="C30" s="44">
        <v>383010</v>
      </c>
      <c r="D30" s="45">
        <f>C30/$C$6</f>
        <v>2.7620359107275471E-3</v>
      </c>
      <c r="E30" s="41"/>
      <c r="F30" s="41"/>
    </row>
    <row r="31" spans="1:6" s="42" customFormat="1" ht="18.75" x14ac:dyDescent="0.3">
      <c r="A31" s="183">
        <v>25</v>
      </c>
      <c r="B31" s="117" t="s">
        <v>867</v>
      </c>
      <c r="C31" s="44">
        <v>326400</v>
      </c>
      <c r="D31" s="45">
        <f>C31/$C$6</f>
        <v>2.3537989119382561E-3</v>
      </c>
      <c r="E31" s="41"/>
      <c r="F31" s="41"/>
    </row>
    <row r="32" spans="1:6" s="42" customFormat="1" ht="18.75" x14ac:dyDescent="0.3">
      <c r="A32" s="183">
        <v>26</v>
      </c>
      <c r="B32" s="117" t="s">
        <v>698</v>
      </c>
      <c r="C32" s="44">
        <v>314500</v>
      </c>
      <c r="D32" s="45">
        <f>C32/$C$6</f>
        <v>2.2679833266071735E-3</v>
      </c>
      <c r="E32" s="41"/>
      <c r="F32" s="41"/>
    </row>
    <row r="33" spans="1:6" s="43" customFormat="1" ht="18.75" x14ac:dyDescent="0.3">
      <c r="A33" s="183">
        <v>27</v>
      </c>
      <c r="B33" s="155" t="s">
        <v>166</v>
      </c>
      <c r="C33" s="44">
        <f>'PI_neizpildes_FS_projekti '!D96</f>
        <v>285000</v>
      </c>
      <c r="D33" s="45">
        <f t="shared" si="0"/>
        <v>2.0552472117107935E-3</v>
      </c>
      <c r="E33" s="41"/>
      <c r="F33" s="41"/>
    </row>
    <row r="34" spans="1:6" s="43" customFormat="1" ht="18.75" x14ac:dyDescent="0.3">
      <c r="A34" s="183">
        <v>28</v>
      </c>
      <c r="B34" s="155" t="s">
        <v>162</v>
      </c>
      <c r="C34" s="44">
        <f>'PI_neizpildes_FS_projekti '!D98</f>
        <v>272213</v>
      </c>
      <c r="D34" s="45">
        <f t="shared" si="0"/>
        <v>1.963035120145369E-3</v>
      </c>
      <c r="E34" s="41"/>
      <c r="F34" s="41"/>
    </row>
    <row r="35" spans="1:6" s="47" customFormat="1" ht="18.75" x14ac:dyDescent="0.3">
      <c r="A35" s="183">
        <v>29</v>
      </c>
      <c r="B35" s="117" t="s">
        <v>344</v>
      </c>
      <c r="C35" s="44">
        <f>'PI_neizpildes_FS_projekti '!D100</f>
        <v>259500</v>
      </c>
      <c r="D35" s="45">
        <f>C35/$C$6</f>
        <v>1.871356671715617E-3</v>
      </c>
      <c r="E35" s="46"/>
      <c r="F35" s="46"/>
    </row>
    <row r="36" spans="1:6" s="47" customFormat="1" ht="18.75" x14ac:dyDescent="0.3">
      <c r="A36" s="183">
        <v>30</v>
      </c>
      <c r="B36" s="117" t="s">
        <v>510</v>
      </c>
      <c r="C36" s="44">
        <f>'PI_neizpildes_FS_projekti '!D103</f>
        <v>233384</v>
      </c>
      <c r="D36" s="45">
        <f t="shared" si="0"/>
        <v>1.6830239131856554E-3</v>
      </c>
      <c r="E36" s="46"/>
      <c r="F36" s="46"/>
    </row>
    <row r="37" spans="1:6" s="47" customFormat="1" ht="18.75" x14ac:dyDescent="0.3">
      <c r="A37" s="183">
        <v>31</v>
      </c>
      <c r="B37" s="155" t="s">
        <v>170</v>
      </c>
      <c r="C37" s="44">
        <f>'PI_neizpildes_FS_projekti '!D105</f>
        <v>207364</v>
      </c>
      <c r="D37" s="45">
        <f t="shared" si="0"/>
        <v>1.4953834484533225E-3</v>
      </c>
      <c r="E37" s="46"/>
      <c r="F37" s="46"/>
    </row>
    <row r="38" spans="1:6" s="47" customFormat="1" ht="18.75" x14ac:dyDescent="0.3">
      <c r="A38" s="183">
        <v>32</v>
      </c>
      <c r="B38" s="155" t="s">
        <v>168</v>
      </c>
      <c r="C38" s="44">
        <f>'PI_neizpildes_FS_projekti '!D107</f>
        <v>206125</v>
      </c>
      <c r="D38" s="45">
        <f t="shared" si="0"/>
        <v>1.4864485316276746E-3</v>
      </c>
      <c r="E38" s="46"/>
      <c r="F38" s="46"/>
    </row>
    <row r="39" spans="1:6" s="47" customFormat="1" ht="18.75" x14ac:dyDescent="0.3">
      <c r="A39" s="183">
        <v>33</v>
      </c>
      <c r="B39" s="155" t="s">
        <v>868</v>
      </c>
      <c r="C39" s="44">
        <v>102510</v>
      </c>
      <c r="D39" s="45">
        <f t="shared" si="0"/>
        <v>7.392399707806085E-4</v>
      </c>
      <c r="E39" s="46"/>
      <c r="F39" s="46"/>
    </row>
    <row r="40" spans="1:6" s="48" customFormat="1" ht="18.75" x14ac:dyDescent="0.3">
      <c r="A40" s="183">
        <v>34</v>
      </c>
      <c r="B40" s="155" t="s">
        <v>23</v>
      </c>
      <c r="C40" s="44">
        <f>'PI_neizpildes_FS_projekti '!D111</f>
        <v>80512</v>
      </c>
      <c r="D40" s="45">
        <f t="shared" si="0"/>
        <v>5.8060373161143643E-4</v>
      </c>
      <c r="E40" s="46"/>
      <c r="F40" s="46"/>
    </row>
    <row r="41" spans="1:6" s="48" customFormat="1" ht="18.75" x14ac:dyDescent="0.3">
      <c r="A41" s="183">
        <v>35</v>
      </c>
      <c r="B41" s="155" t="s">
        <v>853</v>
      </c>
      <c r="C41" s="44">
        <v>41000</v>
      </c>
      <c r="D41" s="45">
        <f t="shared" si="0"/>
        <v>2.9566714273734218E-4</v>
      </c>
      <c r="E41" s="46"/>
      <c r="F41" s="46"/>
    </row>
    <row r="42" spans="1:6" ht="42.75" customHeight="1" x14ac:dyDescent="0.25">
      <c r="B42" s="49" t="s">
        <v>496</v>
      </c>
      <c r="C42" s="30" t="s">
        <v>497</v>
      </c>
      <c r="D42" s="30"/>
    </row>
    <row r="43" spans="1:6" ht="15.75" x14ac:dyDescent="0.25">
      <c r="A43" t="s">
        <v>642</v>
      </c>
      <c r="B43"/>
      <c r="C43" s="31"/>
      <c r="D43" s="31"/>
      <c r="E43" s="32"/>
      <c r="F43" s="32"/>
    </row>
    <row r="44" spans="1:6" ht="15.75" x14ac:dyDescent="0.25">
      <c r="A44" s="93" t="s">
        <v>641</v>
      </c>
      <c r="B44"/>
      <c r="C44" s="31"/>
      <c r="D44" s="31"/>
      <c r="E44" s="32"/>
      <c r="F44" s="32"/>
    </row>
  </sheetData>
  <customSheetViews>
    <customSheetView guid="{DD224C07-7291-463E-8BEE-43F0AEF6DCCF}" scale="90" showPageBreaks="1" showGridLines="0" fitToPage="1" printArea="1" state="hidden" view="pageBreakPreview">
      <selection activeCell="J55" sqref="J55"/>
      <pageMargins left="1.1811023622047245" right="0.31496062992125984" top="0.39370078740157483" bottom="0.39370078740157483" header="0.31496062992125984" footer="0.31496062992125984"/>
      <printOptions horizontalCentered="1"/>
      <pageSetup paperSize="9" scale="62" orientation="portrait" r:id="rId1"/>
      <headerFooter>
        <oddFooter>&amp;L&amp;F&amp;C &amp;P no &amp;[9</oddFooter>
      </headerFooter>
    </customSheetView>
    <customSheetView guid="{6E4A4EE3-60E1-42FA-AFB7-0452F0113865}" scale="90" showPageBreaks="1" showGridLines="0" fitToPage="1" printArea="1" state="hidden" view="pageBreakPreview">
      <selection activeCell="J55" sqref="J55"/>
      <pageMargins left="1.1811023622047245" right="0.31496062992125984" top="0.39370078740157483" bottom="0.39370078740157483" header="0.31496062992125984" footer="0.31496062992125984"/>
      <printOptions horizontalCentered="1"/>
      <pageSetup paperSize="9" scale="62" orientation="portrait" r:id="rId2"/>
      <headerFooter>
        <oddFooter>&amp;L&amp;F&amp;C &amp;P no &amp;[9</oddFooter>
      </headerFooter>
    </customSheetView>
    <customSheetView guid="{8C54629E-189C-45BD-B471-052E1E1AA970}" scale="90" showPageBreaks="1" showGridLines="0" fitToPage="1" printArea="1" state="hidden" view="pageBreakPreview">
      <selection activeCell="J55" sqref="J55"/>
      <pageMargins left="1.1811023622047245" right="0.31496062992125984" top="0.39370078740157483" bottom="0.39370078740157483" header="0.31496062992125984" footer="0.31496062992125984"/>
      <printOptions horizontalCentered="1"/>
      <pageSetup paperSize="9" scale="62" orientation="portrait" r:id="rId3"/>
      <headerFooter>
        <oddFooter>&amp;L&amp;F&amp;C &amp;P no &amp;[9</oddFooter>
      </headerFooter>
    </customSheetView>
    <customSheetView guid="{5C6F0B19-D42B-4153-AFCC-0E3F563BD155}" scale="90" showPageBreaks="1" showGridLines="0" fitToPage="1" printArea="1" state="hidden" view="pageBreakPreview">
      <selection activeCell="J55" sqref="J55"/>
      <pageMargins left="1.1811023622047245" right="0.31496062992125984" top="0.39370078740157483" bottom="0.39370078740157483" header="0.31496062992125984" footer="0.31496062992125984"/>
      <printOptions horizontalCentered="1"/>
      <pageSetup paperSize="9" scale="62" orientation="portrait" r:id="rId4"/>
      <headerFooter>
        <oddFooter>&amp;L&amp;F&amp;C &amp;P no &amp;[9</oddFooter>
      </headerFooter>
    </customSheetView>
    <customSheetView guid="{3C198650-E200-49E7-9C73-05D2051167FE}" scale="90" showPageBreaks="1" showGridLines="0" fitToPage="1" printArea="1" view="pageBreakPreview">
      <selection activeCell="J55" sqref="J55"/>
      <pageMargins left="1.1811023622047245" right="0.31496062992125984" top="0.39370078740157483" bottom="0.39370078740157483" header="0.31496062992125984" footer="0.31496062992125984"/>
      <printOptions horizontalCentered="1"/>
      <pageSetup paperSize="9" scale="62" orientation="portrait" r:id="rId5"/>
      <headerFooter>
        <oddFooter>&amp;L&amp;F&amp;C &amp;P no &amp;[9</oddFooter>
      </headerFooter>
    </customSheetView>
  </customSheetViews>
  <mergeCells count="6">
    <mergeCell ref="A1:B1"/>
    <mergeCell ref="C1:D1"/>
    <mergeCell ref="A2:D2"/>
    <mergeCell ref="A3:A5"/>
    <mergeCell ref="B3:B5"/>
    <mergeCell ref="C3:D5"/>
  </mergeCells>
  <dataValidations count="1">
    <dataValidation type="list" errorStyle="warning" allowBlank="1" showInputMessage="1" showErrorMessage="1" errorTitle="Izvēle tikai no saraksta!" error="Lūdzu izvēlēties vienu no vērtībām sarakstā." sqref="C42:D42">
      <formula1>#REF!</formula1>
    </dataValidation>
  </dataValidations>
  <hyperlinks>
    <hyperlink ref="A44" r:id="rId6"/>
  </hyperlinks>
  <printOptions horizontalCentered="1"/>
  <pageMargins left="1.1811023622047245" right="0.31496062992125984" top="0.39370078740157483" bottom="0.39370078740157483" header="0.31496062992125984" footer="0.31496062992125984"/>
  <pageSetup paperSize="9" scale="74" firstPageNumber="8" orientation="portrait" useFirstPageNumber="1" r:id="rId7"/>
  <headerFooter>
    <oddFooter>&amp;L&amp;F&amp;C &amp;P no &amp;[8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view="pageBreakPreview" topLeftCell="A96" zoomScale="90" zoomScaleNormal="85" zoomScaleSheetLayoutView="90" workbookViewId="0">
      <selection activeCell="A115" sqref="A115"/>
    </sheetView>
  </sheetViews>
  <sheetFormatPr defaultRowHeight="15.75" outlineLevelRow="1" x14ac:dyDescent="0.25"/>
  <cols>
    <col min="1" max="1" width="4.5" style="82" customWidth="1"/>
    <col min="2" max="2" width="8.25" style="83" customWidth="1"/>
    <col min="3" max="3" width="16.25" style="82" bestFit="1" customWidth="1"/>
    <col min="4" max="4" width="11.625" style="143" customWidth="1"/>
    <col min="5" max="5" width="32.125" style="82" customWidth="1"/>
    <col min="6" max="6" width="10.875" style="80" customWidth="1"/>
    <col min="7" max="7" width="11.375" style="81" customWidth="1"/>
    <col min="8" max="8" width="9.375" style="80" customWidth="1"/>
    <col min="9" max="10" width="9.25" style="80" customWidth="1"/>
    <col min="11" max="11" width="9.375" style="80" customWidth="1"/>
    <col min="12" max="12" width="12.875" style="80" customWidth="1"/>
    <col min="13" max="13" width="57.875" style="80" customWidth="1"/>
    <col min="14" max="16384" width="9" style="80"/>
  </cols>
  <sheetData>
    <row r="1" spans="1:13" ht="47.25" x14ac:dyDescent="0.25">
      <c r="A1" s="80"/>
      <c r="B1" s="7"/>
      <c r="C1" s="13"/>
      <c r="D1" s="140"/>
      <c r="E1" s="13"/>
      <c r="F1" s="29"/>
      <c r="G1" s="9"/>
      <c r="H1" s="112"/>
      <c r="I1" s="113"/>
      <c r="J1" s="113"/>
      <c r="K1" s="113"/>
      <c r="L1" s="9"/>
      <c r="M1" s="137" t="s">
        <v>684</v>
      </c>
    </row>
    <row r="2" spans="1:13" ht="15" customHeight="1" x14ac:dyDescent="0.25">
      <c r="A2" s="77"/>
      <c r="B2" s="9">
        <v>43003</v>
      </c>
      <c r="C2" s="136"/>
      <c r="D2" s="74"/>
      <c r="E2" s="13"/>
      <c r="F2" s="29"/>
      <c r="G2" s="9"/>
      <c r="H2" s="112"/>
      <c r="I2" s="113"/>
      <c r="J2" s="113"/>
      <c r="K2" s="113"/>
      <c r="L2" s="9"/>
      <c r="M2" s="7"/>
    </row>
    <row r="3" spans="1:13" ht="15.75" customHeight="1" thickBot="1" x14ac:dyDescent="0.3">
      <c r="A3" s="252" t="s">
        <v>885</v>
      </c>
      <c r="B3" s="282"/>
      <c r="C3" s="282"/>
      <c r="D3" s="282"/>
      <c r="E3" s="282"/>
      <c r="F3" s="282"/>
      <c r="G3" s="282"/>
      <c r="H3" s="282"/>
      <c r="I3" s="282"/>
      <c r="J3" s="282"/>
      <c r="K3" s="282"/>
      <c r="L3" s="282"/>
      <c r="M3" s="282"/>
    </row>
    <row r="4" spans="1:13" x14ac:dyDescent="0.25">
      <c r="A4" s="290" t="s">
        <v>60</v>
      </c>
      <c r="B4" s="291" t="s">
        <v>55</v>
      </c>
      <c r="C4" s="292" t="s">
        <v>61</v>
      </c>
      <c r="D4" s="293" t="s">
        <v>500</v>
      </c>
      <c r="E4" s="292" t="s">
        <v>62</v>
      </c>
      <c r="F4" s="289" t="s">
        <v>246</v>
      </c>
      <c r="G4" s="242" t="s">
        <v>63</v>
      </c>
      <c r="H4" s="248" t="s">
        <v>244</v>
      </c>
      <c r="I4" s="248" t="s">
        <v>412</v>
      </c>
      <c r="J4" s="248" t="s">
        <v>555</v>
      </c>
      <c r="K4" s="248" t="s">
        <v>774</v>
      </c>
      <c r="L4" s="244" t="s">
        <v>413</v>
      </c>
      <c r="M4" s="246" t="s">
        <v>820</v>
      </c>
    </row>
    <row r="5" spans="1:13" x14ac:dyDescent="0.25">
      <c r="A5" s="290"/>
      <c r="B5" s="291"/>
      <c r="C5" s="292"/>
      <c r="D5" s="293"/>
      <c r="E5" s="292"/>
      <c r="F5" s="289"/>
      <c r="G5" s="243"/>
      <c r="H5" s="248"/>
      <c r="I5" s="248"/>
      <c r="J5" s="248"/>
      <c r="K5" s="248"/>
      <c r="L5" s="245"/>
      <c r="M5" s="247"/>
    </row>
    <row r="6" spans="1:13" ht="29.25" customHeight="1" x14ac:dyDescent="0.25">
      <c r="A6" s="290"/>
      <c r="B6" s="291"/>
      <c r="C6" s="292"/>
      <c r="D6" s="293"/>
      <c r="E6" s="292"/>
      <c r="F6" s="289"/>
      <c r="G6" s="243"/>
      <c r="H6" s="249"/>
      <c r="I6" s="249"/>
      <c r="J6" s="249"/>
      <c r="K6" s="249"/>
      <c r="L6" s="245"/>
      <c r="M6" s="247"/>
    </row>
    <row r="7" spans="1:13" ht="22.5" customHeight="1" x14ac:dyDescent="0.25">
      <c r="A7" s="14" t="s">
        <v>56</v>
      </c>
      <c r="B7" s="6" t="s">
        <v>57</v>
      </c>
      <c r="C7" s="6" t="s">
        <v>58</v>
      </c>
      <c r="D7" s="14" t="s">
        <v>59</v>
      </c>
      <c r="E7" s="6" t="s">
        <v>609</v>
      </c>
      <c r="F7" s="27">
        <v>6</v>
      </c>
      <c r="G7" s="6" t="s">
        <v>64</v>
      </c>
      <c r="H7" s="14">
        <v>8</v>
      </c>
      <c r="I7" s="14">
        <v>9</v>
      </c>
      <c r="J7" s="14">
        <v>10</v>
      </c>
      <c r="K7" s="14">
        <v>11</v>
      </c>
      <c r="L7" s="14">
        <v>12</v>
      </c>
      <c r="M7" s="14">
        <v>13</v>
      </c>
    </row>
    <row r="8" spans="1:13" s="89" customFormat="1" ht="32.25" customHeight="1" x14ac:dyDescent="0.25">
      <c r="A8" s="285" t="s">
        <v>499</v>
      </c>
      <c r="B8" s="286"/>
      <c r="C8" s="286"/>
      <c r="D8" s="92">
        <f>SUM(D9:D114)</f>
        <v>138669449.77522442</v>
      </c>
      <c r="E8" s="90"/>
      <c r="F8" s="91">
        <f>F10+F11+F12+F13+F14+F15+F16+F17+F18+F19+F20+F21+F22+F23+F24+F25+F26+F27+F29+F33+F34+F30+F31+F32+F36+F37+F39+F41+F42+F43+F45+F46+F47+F51+F52+F53+F49+F55+F57+F65+F63+F67+F69+F70+F72+F74+F88+F89+F81+F82+F83+F84+F86+F97+F104+F106+F108+F101+F112+F59+F61+F76+F78+F79+F959+F91+F93+F95+F102+F110+F114+F99</f>
        <v>138669449.77522445</v>
      </c>
      <c r="G8" s="90"/>
      <c r="H8" s="283"/>
      <c r="I8" s="284"/>
      <c r="J8" s="284"/>
      <c r="K8" s="287"/>
      <c r="L8" s="288"/>
      <c r="M8" s="138"/>
    </row>
    <row r="9" spans="1:13" ht="25.5" x14ac:dyDescent="0.25">
      <c r="A9" s="144"/>
      <c r="B9" s="65"/>
      <c r="C9" s="145" t="s">
        <v>67</v>
      </c>
      <c r="D9" s="72">
        <f>F9</f>
        <v>37935940.027593583</v>
      </c>
      <c r="E9" s="65"/>
      <c r="F9" s="66">
        <f>F10+F11+F12+F13+F14+F15+F16+F17+F18+F19+F20+F21+F22+F23+F24+F25+F26+F27</f>
        <v>37935940.027593583</v>
      </c>
      <c r="G9" s="67"/>
      <c r="H9" s="67"/>
      <c r="I9" s="67"/>
      <c r="J9" s="67"/>
      <c r="K9" s="50"/>
      <c r="L9" s="149"/>
      <c r="M9" s="153"/>
    </row>
    <row r="10" spans="1:13" ht="38.25" outlineLevel="1" x14ac:dyDescent="0.25">
      <c r="A10" s="75">
        <v>1</v>
      </c>
      <c r="B10" s="20" t="s">
        <v>6</v>
      </c>
      <c r="C10" s="20" t="s">
        <v>67</v>
      </c>
      <c r="D10" s="141"/>
      <c r="E10" s="20" t="s">
        <v>297</v>
      </c>
      <c r="F10" s="28">
        <v>1658546.4977194446</v>
      </c>
      <c r="G10" s="18">
        <v>42916</v>
      </c>
      <c r="H10" s="17"/>
      <c r="I10" s="86"/>
      <c r="J10" s="17">
        <v>43007</v>
      </c>
      <c r="K10" s="5"/>
      <c r="L10" s="5" t="s">
        <v>779</v>
      </c>
      <c r="M10" s="71" t="s">
        <v>613</v>
      </c>
    </row>
    <row r="11" spans="1:13" ht="39.75" customHeight="1" outlineLevel="1" x14ac:dyDescent="0.25">
      <c r="A11" s="75">
        <v>2</v>
      </c>
      <c r="B11" s="20" t="s">
        <v>17</v>
      </c>
      <c r="C11" s="20" t="s">
        <v>67</v>
      </c>
      <c r="D11" s="141"/>
      <c r="E11" s="20" t="s">
        <v>304</v>
      </c>
      <c r="F11" s="28">
        <v>96903</v>
      </c>
      <c r="G11" s="18">
        <v>42916</v>
      </c>
      <c r="H11" s="17"/>
      <c r="I11" s="86"/>
      <c r="J11" s="17">
        <v>43007</v>
      </c>
      <c r="K11" s="5">
        <v>43007</v>
      </c>
      <c r="L11" s="5">
        <v>43008</v>
      </c>
      <c r="M11" s="262" t="s">
        <v>839</v>
      </c>
    </row>
    <row r="12" spans="1:13" ht="38.25" outlineLevel="1" x14ac:dyDescent="0.25">
      <c r="A12" s="75">
        <v>3</v>
      </c>
      <c r="B12" s="20" t="s">
        <v>17</v>
      </c>
      <c r="C12" s="20" t="s">
        <v>67</v>
      </c>
      <c r="D12" s="141"/>
      <c r="E12" s="20" t="s">
        <v>305</v>
      </c>
      <c r="F12" s="28">
        <v>1183895</v>
      </c>
      <c r="G12" s="18">
        <v>42916</v>
      </c>
      <c r="H12" s="17"/>
      <c r="I12" s="86"/>
      <c r="J12" s="17">
        <v>43007</v>
      </c>
      <c r="K12" s="5">
        <v>43007</v>
      </c>
      <c r="L12" s="5">
        <v>43008</v>
      </c>
      <c r="M12" s="279"/>
    </row>
    <row r="13" spans="1:13" ht="38.25" outlineLevel="1" x14ac:dyDescent="0.25">
      <c r="A13" s="75">
        <v>4</v>
      </c>
      <c r="B13" s="20" t="s">
        <v>17</v>
      </c>
      <c r="C13" s="20" t="s">
        <v>67</v>
      </c>
      <c r="D13" s="141"/>
      <c r="E13" s="20" t="s">
        <v>306</v>
      </c>
      <c r="F13" s="28">
        <v>340000</v>
      </c>
      <c r="G13" s="18">
        <v>42916</v>
      </c>
      <c r="H13" s="17"/>
      <c r="I13" s="86"/>
      <c r="J13" s="17">
        <v>43007</v>
      </c>
      <c r="K13" s="5">
        <v>43007</v>
      </c>
      <c r="L13" s="5">
        <v>43008</v>
      </c>
      <c r="M13" s="279"/>
    </row>
    <row r="14" spans="1:13" ht="38.25" outlineLevel="1" x14ac:dyDescent="0.25">
      <c r="A14" s="75">
        <v>5</v>
      </c>
      <c r="B14" s="20" t="s">
        <v>17</v>
      </c>
      <c r="C14" s="20" t="s">
        <v>67</v>
      </c>
      <c r="D14" s="141"/>
      <c r="E14" s="20" t="s">
        <v>307</v>
      </c>
      <c r="F14" s="28">
        <v>486055</v>
      </c>
      <c r="G14" s="18">
        <v>42916</v>
      </c>
      <c r="H14" s="17"/>
      <c r="I14" s="86"/>
      <c r="J14" s="17">
        <v>43007</v>
      </c>
      <c r="K14" s="5">
        <v>43007</v>
      </c>
      <c r="L14" s="5">
        <v>43008</v>
      </c>
      <c r="M14" s="279"/>
    </row>
    <row r="15" spans="1:13" ht="51" outlineLevel="1" x14ac:dyDescent="0.25">
      <c r="A15" s="75">
        <v>6</v>
      </c>
      <c r="B15" s="20" t="s">
        <v>17</v>
      </c>
      <c r="C15" s="20" t="s">
        <v>67</v>
      </c>
      <c r="D15" s="141"/>
      <c r="E15" s="20" t="s">
        <v>308</v>
      </c>
      <c r="F15" s="28">
        <v>579550</v>
      </c>
      <c r="G15" s="18">
        <v>42916</v>
      </c>
      <c r="H15" s="17"/>
      <c r="I15" s="86"/>
      <c r="J15" s="17">
        <v>43007</v>
      </c>
      <c r="K15" s="5">
        <v>43007</v>
      </c>
      <c r="L15" s="5">
        <v>43008</v>
      </c>
      <c r="M15" s="279"/>
    </row>
    <row r="16" spans="1:13" ht="38.25" outlineLevel="1" x14ac:dyDescent="0.25">
      <c r="A16" s="75">
        <v>7</v>
      </c>
      <c r="B16" s="53" t="s">
        <v>17</v>
      </c>
      <c r="C16" s="20" t="s">
        <v>67</v>
      </c>
      <c r="D16" s="141"/>
      <c r="E16" s="20" t="s">
        <v>703</v>
      </c>
      <c r="F16" s="55">
        <v>1086359.5</v>
      </c>
      <c r="G16" s="97">
        <v>42978</v>
      </c>
      <c r="H16" s="108"/>
      <c r="I16" s="108"/>
      <c r="J16" s="109"/>
      <c r="K16" s="5"/>
      <c r="L16" s="58">
        <v>43069</v>
      </c>
      <c r="M16" s="279"/>
    </row>
    <row r="17" spans="1:13" ht="51" outlineLevel="1" x14ac:dyDescent="0.25">
      <c r="A17" s="75">
        <v>8</v>
      </c>
      <c r="B17" s="53" t="s">
        <v>17</v>
      </c>
      <c r="C17" s="20" t="s">
        <v>67</v>
      </c>
      <c r="D17" s="141"/>
      <c r="E17" s="20" t="s">
        <v>704</v>
      </c>
      <c r="F17" s="55">
        <v>803476.1</v>
      </c>
      <c r="G17" s="97">
        <v>42978</v>
      </c>
      <c r="H17" s="108"/>
      <c r="I17" s="108"/>
      <c r="J17" s="109"/>
      <c r="K17" s="5"/>
      <c r="L17" s="58">
        <v>43039</v>
      </c>
      <c r="M17" s="279"/>
    </row>
    <row r="18" spans="1:13" ht="38.25" outlineLevel="1" x14ac:dyDescent="0.25">
      <c r="A18" s="75">
        <v>9</v>
      </c>
      <c r="B18" s="53" t="s">
        <v>17</v>
      </c>
      <c r="C18" s="20" t="s">
        <v>67</v>
      </c>
      <c r="D18" s="141"/>
      <c r="E18" s="20" t="s">
        <v>705</v>
      </c>
      <c r="F18" s="55">
        <v>1205290.6499999999</v>
      </c>
      <c r="G18" s="97">
        <v>42978</v>
      </c>
      <c r="H18" s="108"/>
      <c r="I18" s="108"/>
      <c r="J18" s="109"/>
      <c r="K18" s="5"/>
      <c r="L18" s="58">
        <v>43039</v>
      </c>
      <c r="M18" s="279"/>
    </row>
    <row r="19" spans="1:13" ht="38.25" outlineLevel="1" x14ac:dyDescent="0.25">
      <c r="A19" s="75">
        <v>10</v>
      </c>
      <c r="B19" s="98" t="s">
        <v>17</v>
      </c>
      <c r="C19" s="117" t="s">
        <v>67</v>
      </c>
      <c r="D19" s="142"/>
      <c r="E19" s="117" t="s">
        <v>706</v>
      </c>
      <c r="F19" s="118">
        <v>500000.01</v>
      </c>
      <c r="G19" s="97">
        <v>42978</v>
      </c>
      <c r="H19" s="108"/>
      <c r="I19" s="108"/>
      <c r="J19" s="109"/>
      <c r="K19" s="5"/>
      <c r="L19" s="58">
        <v>43100</v>
      </c>
      <c r="M19" s="263"/>
    </row>
    <row r="20" spans="1:13" ht="82.5" customHeight="1" outlineLevel="1" x14ac:dyDescent="0.25">
      <c r="A20" s="75">
        <v>11</v>
      </c>
      <c r="B20" s="53" t="s">
        <v>33</v>
      </c>
      <c r="C20" s="20" t="s">
        <v>67</v>
      </c>
      <c r="D20" s="141"/>
      <c r="E20" s="20" t="s">
        <v>717</v>
      </c>
      <c r="F20" s="55">
        <v>6106506.3179189889</v>
      </c>
      <c r="G20" s="54">
        <v>42978</v>
      </c>
      <c r="H20" s="108"/>
      <c r="I20" s="108"/>
      <c r="J20" s="109"/>
      <c r="K20" s="5"/>
      <c r="L20" s="130">
        <v>43070</v>
      </c>
      <c r="M20" s="134" t="s">
        <v>824</v>
      </c>
    </row>
    <row r="21" spans="1:13" ht="64.5" customHeight="1" outlineLevel="1" x14ac:dyDescent="0.25">
      <c r="A21" s="75">
        <v>12</v>
      </c>
      <c r="B21" s="53" t="s">
        <v>33</v>
      </c>
      <c r="C21" s="20" t="s">
        <v>67</v>
      </c>
      <c r="D21" s="141"/>
      <c r="E21" s="20" t="s">
        <v>718</v>
      </c>
      <c r="F21" s="55">
        <v>2878412</v>
      </c>
      <c r="G21" s="54">
        <v>42978</v>
      </c>
      <c r="H21" s="108"/>
      <c r="I21" s="108"/>
      <c r="J21" s="109"/>
      <c r="K21" s="5"/>
      <c r="L21" s="128" t="s">
        <v>800</v>
      </c>
      <c r="M21" s="133" t="s">
        <v>825</v>
      </c>
    </row>
    <row r="22" spans="1:13" ht="76.5" outlineLevel="1" x14ac:dyDescent="0.25">
      <c r="A22" s="75">
        <v>13</v>
      </c>
      <c r="B22" s="53" t="s">
        <v>33</v>
      </c>
      <c r="C22" s="20" t="s">
        <v>67</v>
      </c>
      <c r="D22" s="141"/>
      <c r="E22" s="20" t="s">
        <v>719</v>
      </c>
      <c r="F22" s="55">
        <v>3338375</v>
      </c>
      <c r="G22" s="54">
        <v>42978</v>
      </c>
      <c r="H22" s="108"/>
      <c r="I22" s="108"/>
      <c r="J22" s="109"/>
      <c r="K22" s="5"/>
      <c r="L22" s="130">
        <v>43070</v>
      </c>
      <c r="M22" s="71" t="s">
        <v>814</v>
      </c>
    </row>
    <row r="23" spans="1:13" ht="38.25" outlineLevel="1" x14ac:dyDescent="0.25">
      <c r="A23" s="75">
        <v>14</v>
      </c>
      <c r="B23" s="20" t="s">
        <v>33</v>
      </c>
      <c r="C23" s="20" t="s">
        <v>67</v>
      </c>
      <c r="D23" s="141"/>
      <c r="E23" s="20" t="s">
        <v>378</v>
      </c>
      <c r="F23" s="28">
        <v>9112716.5600000005</v>
      </c>
      <c r="G23" s="18">
        <v>42916</v>
      </c>
      <c r="H23" s="17"/>
      <c r="I23" s="86"/>
      <c r="J23" s="17">
        <v>43100</v>
      </c>
      <c r="K23" s="5"/>
      <c r="L23" s="17">
        <v>43100</v>
      </c>
      <c r="M23" s="71" t="s">
        <v>837</v>
      </c>
    </row>
    <row r="24" spans="1:13" ht="51.75" customHeight="1" outlineLevel="1" x14ac:dyDescent="0.25">
      <c r="A24" s="75">
        <v>15</v>
      </c>
      <c r="B24" s="98" t="s">
        <v>33</v>
      </c>
      <c r="C24" s="117" t="s">
        <v>67</v>
      </c>
      <c r="D24" s="142"/>
      <c r="E24" s="117" t="s">
        <v>730</v>
      </c>
      <c r="F24" s="118">
        <v>2488376.0756000001</v>
      </c>
      <c r="G24" s="97">
        <v>42978</v>
      </c>
      <c r="H24" s="108"/>
      <c r="I24" s="108"/>
      <c r="J24" s="109"/>
      <c r="K24" s="5"/>
      <c r="L24" s="129">
        <v>43098</v>
      </c>
      <c r="M24" s="71" t="s">
        <v>838</v>
      </c>
    </row>
    <row r="25" spans="1:13" ht="86.25" customHeight="1" outlineLevel="1" x14ac:dyDescent="0.25">
      <c r="A25" s="75">
        <v>16</v>
      </c>
      <c r="B25" s="20" t="s">
        <v>104</v>
      </c>
      <c r="C25" s="20" t="s">
        <v>67</v>
      </c>
      <c r="D25" s="141"/>
      <c r="E25" s="20" t="s">
        <v>392</v>
      </c>
      <c r="F25" s="28">
        <v>1471656</v>
      </c>
      <c r="G25" s="18">
        <v>42916</v>
      </c>
      <c r="H25" s="17"/>
      <c r="I25" s="86"/>
      <c r="J25" s="17"/>
      <c r="K25" s="5">
        <v>43008</v>
      </c>
      <c r="L25" s="5">
        <v>43008</v>
      </c>
      <c r="M25" s="133" t="s">
        <v>877</v>
      </c>
    </row>
    <row r="26" spans="1:13" ht="87.75" customHeight="1" outlineLevel="1" x14ac:dyDescent="0.25">
      <c r="A26" s="75">
        <v>17</v>
      </c>
      <c r="B26" s="20" t="s">
        <v>104</v>
      </c>
      <c r="C26" s="20" t="s">
        <v>67</v>
      </c>
      <c r="D26" s="141"/>
      <c r="E26" s="20" t="s">
        <v>393</v>
      </c>
      <c r="F26" s="28">
        <v>2795505.2163551538</v>
      </c>
      <c r="G26" s="18">
        <v>42916</v>
      </c>
      <c r="H26" s="17"/>
      <c r="I26" s="86"/>
      <c r="J26" s="17"/>
      <c r="K26" s="5">
        <v>43008</v>
      </c>
      <c r="L26" s="5" t="s">
        <v>782</v>
      </c>
      <c r="M26" s="71" t="s">
        <v>876</v>
      </c>
    </row>
    <row r="27" spans="1:13" ht="51" outlineLevel="1" x14ac:dyDescent="0.25">
      <c r="A27" s="75">
        <v>18</v>
      </c>
      <c r="B27" s="20" t="s">
        <v>49</v>
      </c>
      <c r="C27" s="20" t="s">
        <v>67</v>
      </c>
      <c r="D27" s="141"/>
      <c r="E27" s="20" t="s">
        <v>402</v>
      </c>
      <c r="F27" s="28">
        <v>1804317.1</v>
      </c>
      <c r="G27" s="18">
        <v>42916</v>
      </c>
      <c r="H27" s="17"/>
      <c r="I27" s="86"/>
      <c r="J27" s="17">
        <v>43089</v>
      </c>
      <c r="K27" s="5">
        <v>43089</v>
      </c>
      <c r="L27" s="5">
        <v>43008</v>
      </c>
      <c r="M27" s="71" t="s">
        <v>784</v>
      </c>
    </row>
    <row r="28" spans="1:13" x14ac:dyDescent="0.25">
      <c r="A28" s="144"/>
      <c r="B28" s="146"/>
      <c r="C28" s="64" t="s">
        <v>12</v>
      </c>
      <c r="D28" s="147">
        <f>F28</f>
        <v>18034946</v>
      </c>
      <c r="E28" s="145"/>
      <c r="F28" s="147">
        <f>F29+F33+F34+F30+F31+F32</f>
        <v>18034946</v>
      </c>
      <c r="G28" s="148"/>
      <c r="H28" s="149"/>
      <c r="I28" s="149"/>
      <c r="J28" s="150"/>
      <c r="K28" s="50"/>
      <c r="L28" s="149"/>
      <c r="M28" s="153"/>
    </row>
    <row r="29" spans="1:13" ht="38.25" outlineLevel="1" x14ac:dyDescent="0.25">
      <c r="A29" s="2">
        <v>19</v>
      </c>
      <c r="B29" s="2" t="s">
        <v>6</v>
      </c>
      <c r="C29" s="2" t="s">
        <v>12</v>
      </c>
      <c r="D29" s="75"/>
      <c r="E29" s="2" t="s">
        <v>13</v>
      </c>
      <c r="F29" s="28">
        <v>1572032</v>
      </c>
      <c r="G29" s="11">
        <v>42853</v>
      </c>
      <c r="H29" s="5">
        <v>42888</v>
      </c>
      <c r="I29" s="5"/>
      <c r="J29" s="5">
        <v>42947</v>
      </c>
      <c r="K29" s="5">
        <v>42969</v>
      </c>
      <c r="L29" s="5" t="s">
        <v>780</v>
      </c>
      <c r="M29" s="71" t="s">
        <v>843</v>
      </c>
    </row>
    <row r="30" spans="1:13" ht="63.75" outlineLevel="1" x14ac:dyDescent="0.25">
      <c r="A30" s="75">
        <v>20</v>
      </c>
      <c r="B30" s="53" t="s">
        <v>181</v>
      </c>
      <c r="C30" s="3" t="s">
        <v>12</v>
      </c>
      <c r="D30" s="141"/>
      <c r="E30" s="20" t="s">
        <v>534</v>
      </c>
      <c r="F30" s="55">
        <v>4507200</v>
      </c>
      <c r="G30" s="54">
        <v>42946</v>
      </c>
      <c r="H30" s="17"/>
      <c r="I30" s="5"/>
      <c r="J30" s="5"/>
      <c r="K30" s="5">
        <v>42978</v>
      </c>
      <c r="L30" s="10">
        <v>43008</v>
      </c>
      <c r="M30" s="133" t="s">
        <v>842</v>
      </c>
    </row>
    <row r="31" spans="1:13" ht="38.25" outlineLevel="1" x14ac:dyDescent="0.25">
      <c r="A31" s="75">
        <v>21</v>
      </c>
      <c r="B31" s="53" t="s">
        <v>176</v>
      </c>
      <c r="C31" s="3" t="s">
        <v>12</v>
      </c>
      <c r="D31" s="141"/>
      <c r="E31" s="20" t="s">
        <v>711</v>
      </c>
      <c r="F31" s="55">
        <v>4675000</v>
      </c>
      <c r="G31" s="54">
        <v>42978</v>
      </c>
      <c r="H31" s="108"/>
      <c r="I31" s="108"/>
      <c r="J31" s="109"/>
      <c r="K31" s="5"/>
      <c r="L31" s="58">
        <v>43018</v>
      </c>
      <c r="M31" s="133" t="s">
        <v>798</v>
      </c>
    </row>
    <row r="32" spans="1:13" ht="38.25" outlineLevel="1" x14ac:dyDescent="0.25">
      <c r="A32" s="75">
        <v>22</v>
      </c>
      <c r="B32" s="53" t="s">
        <v>33</v>
      </c>
      <c r="C32" s="3" t="s">
        <v>12</v>
      </c>
      <c r="D32" s="141"/>
      <c r="E32" s="20" t="s">
        <v>535</v>
      </c>
      <c r="F32" s="55">
        <v>427060</v>
      </c>
      <c r="G32" s="54">
        <v>42947</v>
      </c>
      <c r="H32" s="17"/>
      <c r="I32" s="5"/>
      <c r="J32" s="5"/>
      <c r="K32" s="5">
        <v>43162</v>
      </c>
      <c r="L32" s="10">
        <v>43189</v>
      </c>
      <c r="M32" s="71" t="s">
        <v>827</v>
      </c>
    </row>
    <row r="33" spans="1:13" ht="141" customHeight="1" outlineLevel="1" x14ac:dyDescent="0.25">
      <c r="A33" s="75">
        <v>23</v>
      </c>
      <c r="B33" s="3" t="s">
        <v>104</v>
      </c>
      <c r="C33" s="3" t="s">
        <v>12</v>
      </c>
      <c r="D33" s="24"/>
      <c r="E33" s="3" t="s">
        <v>208</v>
      </c>
      <c r="F33" s="28">
        <v>1471654</v>
      </c>
      <c r="G33" s="10">
        <v>42885</v>
      </c>
      <c r="H33" s="17"/>
      <c r="I33" s="17">
        <v>42919</v>
      </c>
      <c r="J33" s="17"/>
      <c r="K33" s="5">
        <v>42978</v>
      </c>
      <c r="L33" s="5">
        <v>43008</v>
      </c>
      <c r="M33" s="133" t="s">
        <v>806</v>
      </c>
    </row>
    <row r="34" spans="1:13" ht="25.5" outlineLevel="1" x14ac:dyDescent="0.25">
      <c r="A34" s="75">
        <v>24</v>
      </c>
      <c r="B34" s="53" t="s">
        <v>104</v>
      </c>
      <c r="C34" s="3" t="s">
        <v>12</v>
      </c>
      <c r="D34" s="141"/>
      <c r="E34" s="20" t="s">
        <v>543</v>
      </c>
      <c r="F34" s="55">
        <v>5382000</v>
      </c>
      <c r="G34" s="54">
        <v>42947</v>
      </c>
      <c r="H34" s="17"/>
      <c r="I34" s="5"/>
      <c r="J34" s="5"/>
      <c r="K34" s="5">
        <v>43100</v>
      </c>
      <c r="L34" s="10">
        <v>43098</v>
      </c>
      <c r="M34" s="71" t="s">
        <v>807</v>
      </c>
    </row>
    <row r="35" spans="1:13" ht="25.5" x14ac:dyDescent="0.25">
      <c r="A35" s="144"/>
      <c r="B35" s="65"/>
      <c r="C35" s="145" t="s">
        <v>312</v>
      </c>
      <c r="D35" s="72">
        <f>F35</f>
        <v>16141025.850000001</v>
      </c>
      <c r="E35" s="65"/>
      <c r="F35" s="66">
        <f>F36+F37</f>
        <v>16141025.850000001</v>
      </c>
      <c r="G35" s="67"/>
      <c r="H35" s="67"/>
      <c r="I35" s="67"/>
      <c r="J35" s="67"/>
      <c r="K35" s="50"/>
      <c r="L35" s="50"/>
      <c r="M35" s="65"/>
    </row>
    <row r="36" spans="1:13" ht="89.25" outlineLevel="1" x14ac:dyDescent="0.25">
      <c r="A36" s="75">
        <v>25</v>
      </c>
      <c r="B36" s="53" t="s">
        <v>104</v>
      </c>
      <c r="C36" s="20" t="s">
        <v>312</v>
      </c>
      <c r="D36" s="141"/>
      <c r="E36" s="20" t="s">
        <v>545</v>
      </c>
      <c r="F36" s="55">
        <v>4946055.7300000004</v>
      </c>
      <c r="G36" s="54">
        <v>42946</v>
      </c>
      <c r="H36" s="17"/>
      <c r="I36" s="5"/>
      <c r="J36" s="5"/>
      <c r="K36" s="5">
        <v>42978</v>
      </c>
      <c r="L36" s="10">
        <v>43007</v>
      </c>
      <c r="M36" s="133" t="s">
        <v>808</v>
      </c>
    </row>
    <row r="37" spans="1:13" ht="63.75" outlineLevel="1" x14ac:dyDescent="0.25">
      <c r="A37" s="75">
        <v>26</v>
      </c>
      <c r="B37" s="53" t="s">
        <v>539</v>
      </c>
      <c r="C37" s="20" t="s">
        <v>312</v>
      </c>
      <c r="D37" s="141"/>
      <c r="E37" s="20" t="s">
        <v>542</v>
      </c>
      <c r="F37" s="55">
        <v>11194970.120000001</v>
      </c>
      <c r="G37" s="54">
        <v>42947</v>
      </c>
      <c r="H37" s="17"/>
      <c r="I37" s="5"/>
      <c r="J37" s="5"/>
      <c r="K37" s="5">
        <v>43008</v>
      </c>
      <c r="L37" s="10">
        <v>43008</v>
      </c>
      <c r="M37" s="133" t="s">
        <v>805</v>
      </c>
    </row>
    <row r="38" spans="1:13" ht="38.25" x14ac:dyDescent="0.25">
      <c r="A38" s="144"/>
      <c r="B38" s="146"/>
      <c r="C38" s="145" t="s">
        <v>198</v>
      </c>
      <c r="D38" s="147">
        <f>F38</f>
        <v>12978208</v>
      </c>
      <c r="E38" s="145"/>
      <c r="F38" s="147">
        <f>F39</f>
        <v>12978208</v>
      </c>
      <c r="G38" s="148"/>
      <c r="H38" s="67"/>
      <c r="I38" s="50"/>
      <c r="J38" s="50"/>
      <c r="K38" s="50"/>
      <c r="L38" s="67"/>
      <c r="M38" s="65"/>
    </row>
    <row r="39" spans="1:13" ht="38.25" outlineLevel="1" x14ac:dyDescent="0.25">
      <c r="A39" s="75">
        <v>27</v>
      </c>
      <c r="B39" s="53" t="s">
        <v>36</v>
      </c>
      <c r="C39" s="20" t="s">
        <v>198</v>
      </c>
      <c r="D39" s="141"/>
      <c r="E39" s="20" t="s">
        <v>677</v>
      </c>
      <c r="F39" s="55">
        <v>12978208</v>
      </c>
      <c r="G39" s="54">
        <v>42947</v>
      </c>
      <c r="H39" s="17"/>
      <c r="I39" s="5"/>
      <c r="J39" s="5"/>
      <c r="K39" s="5">
        <v>42978</v>
      </c>
      <c r="L39" s="10">
        <v>43054</v>
      </c>
      <c r="M39" s="133" t="s">
        <v>804</v>
      </c>
    </row>
    <row r="40" spans="1:13" ht="25.5" x14ac:dyDescent="0.25">
      <c r="A40" s="144"/>
      <c r="B40" s="145"/>
      <c r="C40" s="145" t="s">
        <v>346</v>
      </c>
      <c r="D40" s="147">
        <f>F40</f>
        <v>9377482.3138999976</v>
      </c>
      <c r="E40" s="145"/>
      <c r="F40" s="66">
        <f>F41+F42+F43</f>
        <v>9377482.3138999976</v>
      </c>
      <c r="G40" s="152"/>
      <c r="H40" s="67"/>
      <c r="I40" s="65"/>
      <c r="J40" s="67"/>
      <c r="K40" s="50"/>
      <c r="L40" s="50"/>
      <c r="M40" s="153"/>
    </row>
    <row r="41" spans="1:13" ht="38.25" outlineLevel="1" x14ac:dyDescent="0.25">
      <c r="A41" s="75">
        <v>28</v>
      </c>
      <c r="B41" s="20" t="s">
        <v>17</v>
      </c>
      <c r="C41" s="20" t="s">
        <v>346</v>
      </c>
      <c r="D41" s="141"/>
      <c r="E41" s="20" t="s">
        <v>347</v>
      </c>
      <c r="F41" s="28">
        <v>159338</v>
      </c>
      <c r="G41" s="18">
        <v>42916</v>
      </c>
      <c r="H41" s="17"/>
      <c r="I41" s="86"/>
      <c r="J41" s="17">
        <v>43068</v>
      </c>
      <c r="K41" s="5">
        <v>43068</v>
      </c>
      <c r="L41" s="5">
        <v>43068</v>
      </c>
      <c r="M41" s="71" t="s">
        <v>792</v>
      </c>
    </row>
    <row r="42" spans="1:13" ht="30" customHeight="1" outlineLevel="1" x14ac:dyDescent="0.25">
      <c r="A42" s="75">
        <v>29</v>
      </c>
      <c r="B42" s="53" t="s">
        <v>33</v>
      </c>
      <c r="C42" s="20" t="s">
        <v>346</v>
      </c>
      <c r="D42" s="141"/>
      <c r="E42" s="20" t="s">
        <v>720</v>
      </c>
      <c r="F42" s="55">
        <v>4924480.3319999995</v>
      </c>
      <c r="G42" s="54">
        <v>42978</v>
      </c>
      <c r="H42" s="108"/>
      <c r="I42" s="108"/>
      <c r="J42" s="109"/>
      <c r="K42" s="5"/>
      <c r="L42" s="58">
        <v>43003</v>
      </c>
      <c r="M42" s="133" t="s">
        <v>828</v>
      </c>
    </row>
    <row r="43" spans="1:13" ht="38.25" outlineLevel="1" x14ac:dyDescent="0.25">
      <c r="A43" s="75">
        <v>30</v>
      </c>
      <c r="B43" s="53" t="s">
        <v>33</v>
      </c>
      <c r="C43" s="20" t="s">
        <v>346</v>
      </c>
      <c r="D43" s="141"/>
      <c r="E43" s="20" t="s">
        <v>538</v>
      </c>
      <c r="F43" s="55">
        <v>4293663.9818999991</v>
      </c>
      <c r="G43" s="54">
        <v>42947</v>
      </c>
      <c r="H43" s="17"/>
      <c r="I43" s="5"/>
      <c r="J43" s="5"/>
      <c r="K43" s="5">
        <v>43003</v>
      </c>
      <c r="L43" s="10">
        <v>43003</v>
      </c>
      <c r="M43" s="133" t="s">
        <v>803</v>
      </c>
    </row>
    <row r="44" spans="1:13" ht="25.5" x14ac:dyDescent="0.25">
      <c r="A44" s="144"/>
      <c r="B44" s="146"/>
      <c r="C44" s="145" t="s">
        <v>10</v>
      </c>
      <c r="D44" s="147">
        <f>F44</f>
        <v>7165161.4773846949</v>
      </c>
      <c r="E44" s="145"/>
      <c r="F44" s="147">
        <f>F45+F46+F47</f>
        <v>7165161.4773846949</v>
      </c>
      <c r="G44" s="148"/>
      <c r="H44" s="149"/>
      <c r="I44" s="149"/>
      <c r="J44" s="150"/>
      <c r="K44" s="50"/>
      <c r="L44" s="149"/>
      <c r="M44" s="65"/>
    </row>
    <row r="45" spans="1:13" ht="51" outlineLevel="1" x14ac:dyDescent="0.25">
      <c r="A45" s="75">
        <v>31</v>
      </c>
      <c r="B45" s="20" t="s">
        <v>104</v>
      </c>
      <c r="C45" s="20" t="s">
        <v>10</v>
      </c>
      <c r="D45" s="141"/>
      <c r="E45" s="20" t="s">
        <v>395</v>
      </c>
      <c r="F45" s="28">
        <v>6315161.4773846949</v>
      </c>
      <c r="G45" s="18">
        <v>42916</v>
      </c>
      <c r="H45" s="17"/>
      <c r="I45" s="86"/>
      <c r="J45" s="17"/>
      <c r="K45" s="5">
        <v>43069</v>
      </c>
      <c r="L45" s="5">
        <v>43069</v>
      </c>
      <c r="M45" s="71" t="s">
        <v>874</v>
      </c>
    </row>
    <row r="46" spans="1:13" ht="38.25" outlineLevel="1" x14ac:dyDescent="0.25">
      <c r="A46" s="75">
        <v>32</v>
      </c>
      <c r="B46" s="20" t="s">
        <v>17</v>
      </c>
      <c r="C46" s="20" t="s">
        <v>10</v>
      </c>
      <c r="D46" s="141"/>
      <c r="E46" s="20" t="s">
        <v>309</v>
      </c>
      <c r="F46" s="28">
        <v>425000</v>
      </c>
      <c r="G46" s="18">
        <v>42916</v>
      </c>
      <c r="H46" s="17"/>
      <c r="I46" s="86"/>
      <c r="J46" s="17" t="s">
        <v>477</v>
      </c>
      <c r="K46" s="5">
        <v>43008</v>
      </c>
      <c r="L46" s="10">
        <v>43039</v>
      </c>
      <c r="M46" s="71" t="s">
        <v>786</v>
      </c>
    </row>
    <row r="47" spans="1:13" ht="38.25" outlineLevel="1" x14ac:dyDescent="0.25">
      <c r="A47" s="75">
        <v>33</v>
      </c>
      <c r="B47" s="20" t="s">
        <v>17</v>
      </c>
      <c r="C47" s="20" t="s">
        <v>10</v>
      </c>
      <c r="D47" s="141"/>
      <c r="E47" s="20" t="s">
        <v>310</v>
      </c>
      <c r="F47" s="28">
        <v>425000</v>
      </c>
      <c r="G47" s="18">
        <v>42916</v>
      </c>
      <c r="H47" s="17"/>
      <c r="I47" s="86"/>
      <c r="J47" s="17" t="s">
        <v>478</v>
      </c>
      <c r="K47" s="5">
        <v>42978</v>
      </c>
      <c r="L47" s="10">
        <v>43008</v>
      </c>
      <c r="M47" s="71" t="s">
        <v>786</v>
      </c>
    </row>
    <row r="48" spans="1:13" x14ac:dyDescent="0.25">
      <c r="A48" s="144"/>
      <c r="B48" s="145"/>
      <c r="C48" s="65" t="s">
        <v>209</v>
      </c>
      <c r="D48" s="147">
        <f>F48</f>
        <v>3636684</v>
      </c>
      <c r="E48" s="145"/>
      <c r="F48" s="66">
        <f>F49</f>
        <v>3636684</v>
      </c>
      <c r="G48" s="152"/>
      <c r="H48" s="67"/>
      <c r="I48" s="65"/>
      <c r="J48" s="67"/>
      <c r="K48" s="50"/>
      <c r="L48" s="50"/>
      <c r="M48" s="65"/>
    </row>
    <row r="49" spans="1:13" ht="38.25" outlineLevel="1" x14ac:dyDescent="0.25">
      <c r="A49" s="75">
        <v>34</v>
      </c>
      <c r="B49" s="3" t="s">
        <v>104</v>
      </c>
      <c r="C49" s="3" t="s">
        <v>209</v>
      </c>
      <c r="D49" s="24"/>
      <c r="E49" s="3" t="s">
        <v>210</v>
      </c>
      <c r="F49" s="28">
        <v>3636684</v>
      </c>
      <c r="G49" s="10">
        <v>42886</v>
      </c>
      <c r="H49" s="17"/>
      <c r="I49" s="17">
        <v>43008</v>
      </c>
      <c r="J49" s="17"/>
      <c r="K49" s="5"/>
      <c r="L49" s="129">
        <v>43008</v>
      </c>
      <c r="M49" s="71" t="s">
        <v>809</v>
      </c>
    </row>
    <row r="50" spans="1:13" ht="25.5" x14ac:dyDescent="0.25">
      <c r="A50" s="144"/>
      <c r="B50" s="146"/>
      <c r="C50" s="64" t="s">
        <v>14</v>
      </c>
      <c r="D50" s="147">
        <f>F50</f>
        <v>3240000</v>
      </c>
      <c r="E50" s="145"/>
      <c r="F50" s="147">
        <f>+F51+F52+F53</f>
        <v>3240000</v>
      </c>
      <c r="G50" s="148"/>
      <c r="H50" s="67"/>
      <c r="I50" s="50"/>
      <c r="J50" s="50"/>
      <c r="K50" s="50"/>
      <c r="L50" s="67"/>
      <c r="M50" s="65"/>
    </row>
    <row r="51" spans="1:13" ht="38.25" outlineLevel="1" x14ac:dyDescent="0.25">
      <c r="A51" s="75">
        <v>35</v>
      </c>
      <c r="B51" s="20" t="s">
        <v>17</v>
      </c>
      <c r="C51" s="20" t="s">
        <v>14</v>
      </c>
      <c r="D51" s="141"/>
      <c r="E51" s="20" t="s">
        <v>311</v>
      </c>
      <c r="F51" s="28">
        <v>450000</v>
      </c>
      <c r="G51" s="18">
        <v>42887</v>
      </c>
      <c r="H51" s="17"/>
      <c r="I51" s="86"/>
      <c r="J51" s="17">
        <v>43098</v>
      </c>
      <c r="K51" s="5">
        <v>42979</v>
      </c>
      <c r="L51" s="139">
        <v>43040</v>
      </c>
      <c r="M51" s="71" t="s">
        <v>787</v>
      </c>
    </row>
    <row r="52" spans="1:13" ht="38.25" outlineLevel="1" x14ac:dyDescent="0.25">
      <c r="A52" s="75">
        <v>36</v>
      </c>
      <c r="B52" s="53" t="s">
        <v>17</v>
      </c>
      <c r="C52" s="20" t="s">
        <v>14</v>
      </c>
      <c r="D52" s="141"/>
      <c r="E52" s="20" t="s">
        <v>518</v>
      </c>
      <c r="F52" s="55">
        <v>290000</v>
      </c>
      <c r="G52" s="54">
        <v>42917</v>
      </c>
      <c r="H52" s="17"/>
      <c r="I52" s="5"/>
      <c r="J52" s="5"/>
      <c r="K52" s="5">
        <v>42979</v>
      </c>
      <c r="L52" s="129">
        <v>43040</v>
      </c>
      <c r="M52" s="71" t="s">
        <v>785</v>
      </c>
    </row>
    <row r="53" spans="1:13" ht="76.5" outlineLevel="1" x14ac:dyDescent="0.25">
      <c r="A53" s="75">
        <v>37</v>
      </c>
      <c r="B53" s="3" t="s">
        <v>33</v>
      </c>
      <c r="C53" s="3" t="s">
        <v>14</v>
      </c>
      <c r="D53" s="24"/>
      <c r="E53" s="3" t="s">
        <v>189</v>
      </c>
      <c r="F53" s="28">
        <v>2500000</v>
      </c>
      <c r="G53" s="10">
        <v>42885</v>
      </c>
      <c r="H53" s="17"/>
      <c r="I53" s="17">
        <v>43008</v>
      </c>
      <c r="J53" s="17"/>
      <c r="K53" s="5">
        <v>43008</v>
      </c>
      <c r="L53" s="129">
        <v>43008</v>
      </c>
      <c r="M53" s="71" t="s">
        <v>802</v>
      </c>
    </row>
    <row r="54" spans="1:13" ht="25.5" x14ac:dyDescent="0.25">
      <c r="A54" s="144"/>
      <c r="B54" s="146"/>
      <c r="C54" s="145" t="s">
        <v>713</v>
      </c>
      <c r="D54" s="147">
        <f>F54</f>
        <v>2957850</v>
      </c>
      <c r="E54" s="145"/>
      <c r="F54" s="147">
        <f>F55</f>
        <v>2957850</v>
      </c>
      <c r="G54" s="148"/>
      <c r="H54" s="67"/>
      <c r="I54" s="50"/>
      <c r="J54" s="50"/>
      <c r="K54" s="50"/>
      <c r="L54" s="67"/>
      <c r="M54" s="65"/>
    </row>
    <row r="55" spans="1:13" ht="53.25" customHeight="1" outlineLevel="1" x14ac:dyDescent="0.25">
      <c r="A55" s="75">
        <v>38</v>
      </c>
      <c r="B55" s="53" t="s">
        <v>181</v>
      </c>
      <c r="C55" s="20" t="s">
        <v>713</v>
      </c>
      <c r="D55" s="141"/>
      <c r="E55" s="20" t="s">
        <v>714</v>
      </c>
      <c r="F55" s="55">
        <v>2957850</v>
      </c>
      <c r="G55" s="54">
        <v>42978</v>
      </c>
      <c r="H55" s="108"/>
      <c r="I55" s="108"/>
      <c r="J55" s="109"/>
      <c r="K55" s="5"/>
      <c r="L55" s="58">
        <v>43014</v>
      </c>
      <c r="M55" s="133" t="s">
        <v>799</v>
      </c>
    </row>
    <row r="56" spans="1:13" x14ac:dyDescent="0.25">
      <c r="A56" s="144"/>
      <c r="B56" s="145"/>
      <c r="C56" s="65" t="s">
        <v>200</v>
      </c>
      <c r="D56" s="147">
        <f>F56</f>
        <v>2948459.58</v>
      </c>
      <c r="E56" s="145"/>
      <c r="F56" s="66">
        <f>F57</f>
        <v>2948459.58</v>
      </c>
      <c r="G56" s="152"/>
      <c r="H56" s="67"/>
      <c r="I56" s="65"/>
      <c r="J56" s="67"/>
      <c r="K56" s="50"/>
      <c r="L56" s="67"/>
      <c r="M56" s="65"/>
    </row>
    <row r="57" spans="1:13" ht="76.5" outlineLevel="1" x14ac:dyDescent="0.25">
      <c r="A57" s="75">
        <v>39</v>
      </c>
      <c r="B57" s="3" t="s">
        <v>181</v>
      </c>
      <c r="C57" s="3" t="s">
        <v>200</v>
      </c>
      <c r="D57" s="24"/>
      <c r="E57" s="3" t="s">
        <v>187</v>
      </c>
      <c r="F57" s="28">
        <v>2948459.58</v>
      </c>
      <c r="G57" s="10">
        <v>42886</v>
      </c>
      <c r="H57" s="17"/>
      <c r="I57" s="17">
        <v>42916</v>
      </c>
      <c r="J57" s="17"/>
      <c r="K57" s="5">
        <v>42993</v>
      </c>
      <c r="L57" s="5">
        <v>42993</v>
      </c>
      <c r="M57" s="133" t="s">
        <v>801</v>
      </c>
    </row>
    <row r="58" spans="1:13" ht="38.25" outlineLevel="1" x14ac:dyDescent="0.25">
      <c r="A58" s="144"/>
      <c r="B58" s="65"/>
      <c r="C58" s="65" t="s">
        <v>864</v>
      </c>
      <c r="D58" s="72">
        <f>F58</f>
        <v>2923830</v>
      </c>
      <c r="E58" s="65"/>
      <c r="F58" s="66">
        <f>F59</f>
        <v>2923830</v>
      </c>
      <c r="G58" s="67"/>
      <c r="H58" s="67"/>
      <c r="I58" s="67"/>
      <c r="J58" s="67"/>
      <c r="K58" s="50"/>
      <c r="L58" s="50"/>
      <c r="M58" s="153"/>
    </row>
    <row r="59" spans="1:13" ht="38.25" outlineLevel="1" x14ac:dyDescent="0.25">
      <c r="A59" s="75">
        <v>40</v>
      </c>
      <c r="B59" s="3" t="s">
        <v>29</v>
      </c>
      <c r="C59" s="3" t="s">
        <v>864</v>
      </c>
      <c r="D59" s="24"/>
      <c r="E59" s="3" t="s">
        <v>864</v>
      </c>
      <c r="F59" s="28">
        <v>2923830</v>
      </c>
      <c r="G59" s="10">
        <v>42951</v>
      </c>
      <c r="H59" s="17"/>
      <c r="I59" s="17"/>
      <c r="J59" s="17"/>
      <c r="K59" s="5"/>
      <c r="L59" s="5"/>
      <c r="M59" s="133" t="s">
        <v>866</v>
      </c>
    </row>
    <row r="60" spans="1:13" ht="25.5" outlineLevel="1" x14ac:dyDescent="0.25">
      <c r="A60" s="144"/>
      <c r="B60" s="65"/>
      <c r="C60" s="65" t="s">
        <v>701</v>
      </c>
      <c r="D60" s="72">
        <f>F60</f>
        <v>2336650</v>
      </c>
      <c r="E60" s="65"/>
      <c r="F60" s="66">
        <f>F61</f>
        <v>2336650</v>
      </c>
      <c r="G60" s="67"/>
      <c r="H60" s="67"/>
      <c r="I60" s="67"/>
      <c r="J60" s="67"/>
      <c r="K60" s="50"/>
      <c r="L60" s="50"/>
      <c r="M60" s="153"/>
    </row>
    <row r="61" spans="1:13" ht="25.5" outlineLevel="1" x14ac:dyDescent="0.25">
      <c r="A61" s="75">
        <v>41</v>
      </c>
      <c r="B61" s="3" t="s">
        <v>6</v>
      </c>
      <c r="C61" s="3" t="s">
        <v>701</v>
      </c>
      <c r="D61" s="3"/>
      <c r="E61" s="24" t="s">
        <v>855</v>
      </c>
      <c r="F61" s="3">
        <v>2336650</v>
      </c>
      <c r="G61" s="11">
        <v>42967</v>
      </c>
      <c r="H61" s="10"/>
      <c r="I61" s="17"/>
      <c r="J61" s="17"/>
      <c r="K61" s="17"/>
      <c r="L61" s="5"/>
      <c r="M61" s="5" t="s">
        <v>866</v>
      </c>
    </row>
    <row r="62" spans="1:13" ht="25.5" x14ac:dyDescent="0.25">
      <c r="A62" s="144"/>
      <c r="B62" s="64"/>
      <c r="C62" s="145" t="s">
        <v>72</v>
      </c>
      <c r="D62" s="72">
        <f>F63</f>
        <v>2325582</v>
      </c>
      <c r="E62" s="65"/>
      <c r="F62" s="66">
        <f>F63</f>
        <v>2325582</v>
      </c>
      <c r="G62" s="67"/>
      <c r="H62" s="67"/>
      <c r="I62" s="67"/>
      <c r="J62" s="67"/>
      <c r="K62" s="50"/>
      <c r="L62" s="50"/>
      <c r="M62" s="65"/>
    </row>
    <row r="63" spans="1:13" ht="126" customHeight="1" outlineLevel="1" x14ac:dyDescent="0.25">
      <c r="A63" s="75">
        <v>42</v>
      </c>
      <c r="B63" s="53" t="s">
        <v>104</v>
      </c>
      <c r="C63" s="20" t="s">
        <v>72</v>
      </c>
      <c r="D63" s="141"/>
      <c r="E63" s="20" t="s">
        <v>731</v>
      </c>
      <c r="F63" s="55">
        <v>2325582</v>
      </c>
      <c r="G63" s="54">
        <v>42978</v>
      </c>
      <c r="H63" s="108"/>
      <c r="I63" s="108"/>
      <c r="J63" s="109"/>
      <c r="K63" s="5"/>
      <c r="L63" s="128" t="s">
        <v>795</v>
      </c>
      <c r="M63" s="71" t="s">
        <v>815</v>
      </c>
    </row>
    <row r="64" spans="1:13" ht="25.5" x14ac:dyDescent="0.25">
      <c r="A64" s="144"/>
      <c r="B64" s="65"/>
      <c r="C64" s="145" t="s">
        <v>546</v>
      </c>
      <c r="D64" s="72">
        <f>F64</f>
        <v>2258969.35</v>
      </c>
      <c r="E64" s="65"/>
      <c r="F64" s="66">
        <f>F65</f>
        <v>2258969.35</v>
      </c>
      <c r="G64" s="67"/>
      <c r="H64" s="67"/>
      <c r="I64" s="67"/>
      <c r="J64" s="67"/>
      <c r="K64" s="50"/>
      <c r="L64" s="50"/>
      <c r="M64" s="153"/>
    </row>
    <row r="65" spans="1:13" ht="89.25" outlineLevel="1" x14ac:dyDescent="0.25">
      <c r="A65" s="75">
        <v>43</v>
      </c>
      <c r="B65" s="53" t="s">
        <v>104</v>
      </c>
      <c r="C65" s="20" t="s">
        <v>546</v>
      </c>
      <c r="D65" s="141"/>
      <c r="E65" s="20" t="s">
        <v>547</v>
      </c>
      <c r="F65" s="55">
        <v>2258969.35</v>
      </c>
      <c r="G65" s="54">
        <v>42947</v>
      </c>
      <c r="H65" s="17"/>
      <c r="I65" s="5"/>
      <c r="J65" s="5"/>
      <c r="K65" s="5">
        <v>43069</v>
      </c>
      <c r="L65" s="10">
        <v>43069</v>
      </c>
      <c r="M65" s="71" t="s">
        <v>875</v>
      </c>
    </row>
    <row r="66" spans="1:13" x14ac:dyDescent="0.25">
      <c r="A66" s="144"/>
      <c r="B66" s="65"/>
      <c r="C66" s="65" t="s">
        <v>52</v>
      </c>
      <c r="D66" s="72">
        <f>F66</f>
        <v>2081865.9</v>
      </c>
      <c r="E66" s="65"/>
      <c r="F66" s="66">
        <f>F67</f>
        <v>2081865.9</v>
      </c>
      <c r="G66" s="67"/>
      <c r="H66" s="67"/>
      <c r="I66" s="67"/>
      <c r="J66" s="67"/>
      <c r="K66" s="50"/>
      <c r="L66" s="50"/>
      <c r="M66" s="65"/>
    </row>
    <row r="67" spans="1:13" ht="25.5" outlineLevel="1" x14ac:dyDescent="0.25">
      <c r="A67" s="75">
        <v>44</v>
      </c>
      <c r="B67" s="3" t="s">
        <v>49</v>
      </c>
      <c r="C67" s="3" t="s">
        <v>52</v>
      </c>
      <c r="D67" s="24"/>
      <c r="E67" s="3" t="s">
        <v>52</v>
      </c>
      <c r="F67" s="28">
        <v>2081865.9</v>
      </c>
      <c r="G67" s="10">
        <v>42855</v>
      </c>
      <c r="H67" s="17"/>
      <c r="I67" s="17"/>
      <c r="J67" s="17">
        <v>42946</v>
      </c>
      <c r="K67" s="5">
        <v>42977</v>
      </c>
      <c r="L67" s="129">
        <v>42978</v>
      </c>
      <c r="M67" s="135" t="s">
        <v>873</v>
      </c>
    </row>
    <row r="68" spans="1:13" ht="25.5" x14ac:dyDescent="0.25">
      <c r="A68" s="144"/>
      <c r="B68" s="64"/>
      <c r="C68" s="145" t="s">
        <v>724</v>
      </c>
      <c r="D68" s="72">
        <f>F68</f>
        <v>1078490.1363461581</v>
      </c>
      <c r="E68" s="65"/>
      <c r="F68" s="154">
        <f>F69+F70</f>
        <v>1078490.1363461581</v>
      </c>
      <c r="G68" s="67"/>
      <c r="H68" s="67"/>
      <c r="I68" s="67"/>
      <c r="J68" s="67"/>
      <c r="K68" s="50"/>
      <c r="L68" s="67"/>
      <c r="M68" s="153"/>
    </row>
    <row r="69" spans="1:13" ht="25.5" outlineLevel="1" x14ac:dyDescent="0.25">
      <c r="A69" s="75">
        <v>45</v>
      </c>
      <c r="B69" s="53" t="s">
        <v>33</v>
      </c>
      <c r="C69" s="20" t="s">
        <v>724</v>
      </c>
      <c r="D69" s="141"/>
      <c r="E69" s="20" t="s">
        <v>725</v>
      </c>
      <c r="F69" s="55">
        <v>486150</v>
      </c>
      <c r="G69" s="54">
        <v>42978</v>
      </c>
      <c r="H69" s="108"/>
      <c r="I69" s="108"/>
      <c r="J69" s="109"/>
      <c r="K69" s="5"/>
      <c r="L69" s="130">
        <v>42978</v>
      </c>
      <c r="M69" s="133" t="s">
        <v>833</v>
      </c>
    </row>
    <row r="70" spans="1:13" ht="38.25" outlineLevel="1" x14ac:dyDescent="0.25">
      <c r="A70" s="75">
        <v>46</v>
      </c>
      <c r="B70" s="53" t="s">
        <v>33</v>
      </c>
      <c r="C70" s="20" t="s">
        <v>724</v>
      </c>
      <c r="D70" s="141"/>
      <c r="E70" s="20" t="s">
        <v>727</v>
      </c>
      <c r="F70" s="55">
        <v>592340.13634615799</v>
      </c>
      <c r="G70" s="54">
        <v>42978</v>
      </c>
      <c r="H70" s="108"/>
      <c r="I70" s="108"/>
      <c r="J70" s="109"/>
      <c r="K70" s="5"/>
      <c r="L70" s="59" t="s">
        <v>781</v>
      </c>
      <c r="M70" s="133" t="s">
        <v>835</v>
      </c>
    </row>
    <row r="71" spans="1:13" x14ac:dyDescent="0.25">
      <c r="A71" s="144"/>
      <c r="B71" s="65"/>
      <c r="C71" s="145" t="s">
        <v>709</v>
      </c>
      <c r="D71" s="72">
        <f>F71</f>
        <v>1906322</v>
      </c>
      <c r="E71" s="65"/>
      <c r="F71" s="66">
        <f>F72</f>
        <v>1906322</v>
      </c>
      <c r="G71" s="67"/>
      <c r="H71" s="67"/>
      <c r="I71" s="67"/>
      <c r="J71" s="67"/>
      <c r="K71" s="50"/>
      <c r="L71" s="50"/>
      <c r="M71" s="65"/>
    </row>
    <row r="72" spans="1:13" ht="63.75" outlineLevel="1" x14ac:dyDescent="0.25">
      <c r="A72" s="75">
        <v>47</v>
      </c>
      <c r="B72" s="53" t="s">
        <v>172</v>
      </c>
      <c r="C72" s="20" t="s">
        <v>709</v>
      </c>
      <c r="D72" s="141"/>
      <c r="E72" s="20" t="s">
        <v>710</v>
      </c>
      <c r="F72" s="55">
        <v>1906322</v>
      </c>
      <c r="G72" s="54">
        <v>42978</v>
      </c>
      <c r="H72" s="108"/>
      <c r="I72" s="108"/>
      <c r="J72" s="109"/>
      <c r="K72" s="5"/>
      <c r="L72" s="58">
        <v>43054</v>
      </c>
      <c r="M72" s="133" t="s">
        <v>797</v>
      </c>
    </row>
    <row r="73" spans="1:13" ht="25.5" x14ac:dyDescent="0.25">
      <c r="A73" s="144"/>
      <c r="B73" s="146"/>
      <c r="C73" s="145" t="s">
        <v>376</v>
      </c>
      <c r="D73" s="147">
        <f>F73</f>
        <v>1615000</v>
      </c>
      <c r="E73" s="145"/>
      <c r="F73" s="147">
        <f>F74</f>
        <v>1615000</v>
      </c>
      <c r="G73" s="148"/>
      <c r="H73" s="149"/>
      <c r="I73" s="149"/>
      <c r="J73" s="150"/>
      <c r="K73" s="50"/>
      <c r="L73" s="149"/>
      <c r="M73" s="65"/>
    </row>
    <row r="74" spans="1:13" ht="25.5" outlineLevel="1" x14ac:dyDescent="0.25">
      <c r="A74" s="75">
        <v>48</v>
      </c>
      <c r="B74" s="20" t="s">
        <v>33</v>
      </c>
      <c r="C74" s="20" t="s">
        <v>376</v>
      </c>
      <c r="D74" s="141"/>
      <c r="E74" s="20" t="s">
        <v>377</v>
      </c>
      <c r="F74" s="28">
        <v>1615000</v>
      </c>
      <c r="G74" s="18">
        <v>42916</v>
      </c>
      <c r="H74" s="17"/>
      <c r="I74" s="86"/>
      <c r="J74" s="17">
        <v>43003</v>
      </c>
      <c r="K74" s="5"/>
      <c r="L74" s="129">
        <v>43003</v>
      </c>
      <c r="M74" s="71" t="s">
        <v>836</v>
      </c>
    </row>
    <row r="75" spans="1:13" outlineLevel="1" x14ac:dyDescent="0.25">
      <c r="A75" s="144"/>
      <c r="B75" s="145"/>
      <c r="C75" s="145" t="s">
        <v>865</v>
      </c>
      <c r="D75" s="147">
        <f>F75</f>
        <v>1356692</v>
      </c>
      <c r="E75" s="145"/>
      <c r="F75" s="66">
        <f>F76</f>
        <v>1356692</v>
      </c>
      <c r="G75" s="152"/>
      <c r="H75" s="67"/>
      <c r="I75" s="65"/>
      <c r="J75" s="67"/>
      <c r="K75" s="50"/>
      <c r="L75" s="50"/>
      <c r="M75" s="65"/>
    </row>
    <row r="76" spans="1:13" ht="25.5" outlineLevel="1" x14ac:dyDescent="0.25">
      <c r="A76" s="75">
        <v>49</v>
      </c>
      <c r="B76" s="20" t="s">
        <v>29</v>
      </c>
      <c r="C76" s="20" t="s">
        <v>865</v>
      </c>
      <c r="D76" s="20"/>
      <c r="E76" s="141" t="s">
        <v>848</v>
      </c>
      <c r="F76" s="55">
        <v>1356692</v>
      </c>
      <c r="G76" s="11">
        <v>42951</v>
      </c>
      <c r="H76" s="18"/>
      <c r="I76" s="17"/>
      <c r="J76" s="86"/>
      <c r="K76" s="17"/>
      <c r="L76" s="5"/>
      <c r="M76" s="129" t="s">
        <v>866</v>
      </c>
    </row>
    <row r="77" spans="1:13" ht="25.5" outlineLevel="1" x14ac:dyDescent="0.25">
      <c r="A77" s="144"/>
      <c r="B77" s="145"/>
      <c r="C77" s="145" t="s">
        <v>856</v>
      </c>
      <c r="D77" s="147">
        <f>F77</f>
        <v>1146746</v>
      </c>
      <c r="E77" s="147"/>
      <c r="F77" s="147">
        <f>F78+F79</f>
        <v>1146746</v>
      </c>
      <c r="G77" s="50"/>
      <c r="H77" s="152"/>
      <c r="I77" s="67"/>
      <c r="J77" s="65"/>
      <c r="K77" s="67"/>
      <c r="L77" s="50"/>
      <c r="M77" s="50"/>
    </row>
    <row r="78" spans="1:13" ht="38.25" outlineLevel="1" x14ac:dyDescent="0.25">
      <c r="A78" s="75">
        <v>50</v>
      </c>
      <c r="B78" s="20" t="s">
        <v>6</v>
      </c>
      <c r="C78" s="20" t="s">
        <v>856</v>
      </c>
      <c r="D78" s="20"/>
      <c r="E78" s="20" t="s">
        <v>857</v>
      </c>
      <c r="F78" s="55">
        <v>739075</v>
      </c>
      <c r="G78" s="18">
        <v>42979</v>
      </c>
      <c r="H78" s="11"/>
      <c r="I78" s="18"/>
      <c r="J78" s="17"/>
      <c r="K78" s="86"/>
      <c r="L78" s="17"/>
      <c r="M78" s="129" t="s">
        <v>866</v>
      </c>
    </row>
    <row r="79" spans="1:13" ht="38.25" outlineLevel="1" x14ac:dyDescent="0.25">
      <c r="A79" s="75">
        <v>51</v>
      </c>
      <c r="B79" s="20" t="s">
        <v>6</v>
      </c>
      <c r="C79" s="20" t="s">
        <v>856</v>
      </c>
      <c r="D79" s="20"/>
      <c r="E79" s="20" t="s">
        <v>858</v>
      </c>
      <c r="F79" s="55">
        <v>407671</v>
      </c>
      <c r="G79" s="18">
        <v>42979</v>
      </c>
      <c r="H79" s="11"/>
      <c r="I79" s="18"/>
      <c r="J79" s="17"/>
      <c r="K79" s="86"/>
      <c r="L79" s="17"/>
      <c r="M79" s="129" t="s">
        <v>866</v>
      </c>
    </row>
    <row r="80" spans="1:13" ht="25.5" x14ac:dyDescent="0.25">
      <c r="A80" s="144"/>
      <c r="B80" s="146"/>
      <c r="C80" s="145" t="s">
        <v>149</v>
      </c>
      <c r="D80" s="147">
        <f>F80</f>
        <v>1044527.14</v>
      </c>
      <c r="E80" s="145"/>
      <c r="F80" s="147">
        <f>F81+F82+F83+F84</f>
        <v>1044527.14</v>
      </c>
      <c r="G80" s="148"/>
      <c r="H80" s="67"/>
      <c r="I80" s="50"/>
      <c r="J80" s="50"/>
      <c r="K80" s="50"/>
      <c r="L80" s="67"/>
      <c r="M80" s="153"/>
    </row>
    <row r="81" spans="1:13" ht="38.25" outlineLevel="1" x14ac:dyDescent="0.25">
      <c r="A81" s="75">
        <v>52</v>
      </c>
      <c r="B81" s="53" t="s">
        <v>17</v>
      </c>
      <c r="C81" s="20" t="s">
        <v>149</v>
      </c>
      <c r="D81" s="141"/>
      <c r="E81" s="20" t="s">
        <v>708</v>
      </c>
      <c r="F81" s="55">
        <v>309187</v>
      </c>
      <c r="G81" s="54">
        <v>42978</v>
      </c>
      <c r="H81" s="108"/>
      <c r="I81" s="108"/>
      <c r="J81" s="109"/>
      <c r="K81" s="5"/>
      <c r="L81" s="58">
        <v>43068</v>
      </c>
      <c r="M81" s="133" t="s">
        <v>793</v>
      </c>
    </row>
    <row r="82" spans="1:13" ht="25.5" outlineLevel="1" x14ac:dyDescent="0.25">
      <c r="A82" s="75">
        <v>53</v>
      </c>
      <c r="B82" s="53" t="s">
        <v>33</v>
      </c>
      <c r="C82" s="20" t="s">
        <v>149</v>
      </c>
      <c r="D82" s="141"/>
      <c r="E82" s="20" t="s">
        <v>721</v>
      </c>
      <c r="F82" s="55">
        <v>565340.14</v>
      </c>
      <c r="G82" s="54">
        <v>42978</v>
      </c>
      <c r="H82" s="108"/>
      <c r="I82" s="108"/>
      <c r="J82" s="109"/>
      <c r="K82" s="5"/>
      <c r="L82" s="58">
        <v>43003</v>
      </c>
      <c r="M82" s="133" t="s">
        <v>831</v>
      </c>
    </row>
    <row r="83" spans="1:13" ht="43.5" customHeight="1" outlineLevel="1" x14ac:dyDescent="0.25">
      <c r="A83" s="75">
        <v>54</v>
      </c>
      <c r="B83" s="53" t="s">
        <v>33</v>
      </c>
      <c r="C83" s="20" t="s">
        <v>149</v>
      </c>
      <c r="D83" s="141"/>
      <c r="E83" s="20" t="s">
        <v>722</v>
      </c>
      <c r="F83" s="55">
        <v>85000</v>
      </c>
      <c r="G83" s="54">
        <v>42978</v>
      </c>
      <c r="H83" s="108"/>
      <c r="I83" s="108"/>
      <c r="J83" s="109"/>
      <c r="K83" s="5"/>
      <c r="L83" s="58">
        <v>43003</v>
      </c>
      <c r="M83" s="280" t="s">
        <v>832</v>
      </c>
    </row>
    <row r="84" spans="1:13" ht="39.75" customHeight="1" outlineLevel="1" x14ac:dyDescent="0.25">
      <c r="A84" s="75">
        <v>55</v>
      </c>
      <c r="B84" s="53" t="s">
        <v>33</v>
      </c>
      <c r="C84" s="20" t="s">
        <v>149</v>
      </c>
      <c r="D84" s="141"/>
      <c r="E84" s="20" t="s">
        <v>723</v>
      </c>
      <c r="F84" s="55">
        <v>85000</v>
      </c>
      <c r="G84" s="54">
        <v>42978</v>
      </c>
      <c r="H84" s="108"/>
      <c r="I84" s="108"/>
      <c r="J84" s="109"/>
      <c r="K84" s="5"/>
      <c r="L84" s="58">
        <v>43003</v>
      </c>
      <c r="M84" s="281"/>
    </row>
    <row r="85" spans="1:13" ht="25.5" x14ac:dyDescent="0.25">
      <c r="A85" s="144"/>
      <c r="B85" s="145"/>
      <c r="C85" s="145" t="s">
        <v>164</v>
      </c>
      <c r="D85" s="147">
        <f>F85</f>
        <v>847000</v>
      </c>
      <c r="E85" s="145"/>
      <c r="F85" s="66">
        <f>F86</f>
        <v>847000</v>
      </c>
      <c r="G85" s="152"/>
      <c r="H85" s="67"/>
      <c r="I85" s="65"/>
      <c r="J85" s="67"/>
      <c r="K85" s="50"/>
      <c r="L85" s="50"/>
      <c r="M85" s="65"/>
    </row>
    <row r="86" spans="1:13" ht="72.75" customHeight="1" outlineLevel="1" x14ac:dyDescent="0.25">
      <c r="A86" s="75">
        <v>56</v>
      </c>
      <c r="B86" s="20" t="s">
        <v>17</v>
      </c>
      <c r="C86" s="20" t="s">
        <v>164</v>
      </c>
      <c r="D86" s="141"/>
      <c r="E86" s="20" t="s">
        <v>348</v>
      </c>
      <c r="F86" s="28">
        <v>847000</v>
      </c>
      <c r="G86" s="18">
        <v>42916</v>
      </c>
      <c r="H86" s="17"/>
      <c r="I86" s="86"/>
      <c r="J86" s="5">
        <v>42978</v>
      </c>
      <c r="K86" s="5"/>
      <c r="L86" s="5">
        <v>43068</v>
      </c>
      <c r="M86" s="133" t="s">
        <v>790</v>
      </c>
    </row>
    <row r="87" spans="1:13" ht="39.75" customHeight="1" x14ac:dyDescent="0.25">
      <c r="A87" s="144"/>
      <c r="B87" s="146"/>
      <c r="C87" s="145" t="s">
        <v>357</v>
      </c>
      <c r="D87" s="147">
        <f>F87</f>
        <v>620500</v>
      </c>
      <c r="E87" s="145"/>
      <c r="F87" s="147">
        <f>F88+F89</f>
        <v>620500</v>
      </c>
      <c r="G87" s="148"/>
      <c r="H87" s="149"/>
      <c r="I87" s="149"/>
      <c r="J87" s="150"/>
      <c r="K87" s="50"/>
      <c r="L87" s="149"/>
      <c r="M87" s="153"/>
    </row>
    <row r="88" spans="1:13" ht="77.25" customHeight="1" outlineLevel="1" x14ac:dyDescent="0.25">
      <c r="A88" s="75">
        <v>57</v>
      </c>
      <c r="B88" s="20" t="s">
        <v>355</v>
      </c>
      <c r="C88" s="20" t="s">
        <v>357</v>
      </c>
      <c r="D88" s="141"/>
      <c r="E88" s="20" t="s">
        <v>361</v>
      </c>
      <c r="F88" s="28">
        <v>348500</v>
      </c>
      <c r="G88" s="18">
        <v>42916</v>
      </c>
      <c r="H88" s="17"/>
      <c r="I88" s="86"/>
      <c r="J88" s="17">
        <v>43008</v>
      </c>
      <c r="K88" s="5">
        <v>43008</v>
      </c>
      <c r="L88" s="5">
        <v>43008</v>
      </c>
      <c r="M88" s="71" t="s">
        <v>822</v>
      </c>
    </row>
    <row r="89" spans="1:13" ht="63.75" outlineLevel="1" x14ac:dyDescent="0.25">
      <c r="A89" s="75">
        <v>58</v>
      </c>
      <c r="B89" s="53" t="s">
        <v>355</v>
      </c>
      <c r="C89" s="20" t="s">
        <v>357</v>
      </c>
      <c r="D89" s="141"/>
      <c r="E89" s="20" t="s">
        <v>712</v>
      </c>
      <c r="F89" s="55">
        <v>272000</v>
      </c>
      <c r="G89" s="54">
        <v>42978</v>
      </c>
      <c r="H89" s="108"/>
      <c r="I89" s="108"/>
      <c r="J89" s="109"/>
      <c r="K89" s="5"/>
      <c r="L89" s="108">
        <v>43039</v>
      </c>
      <c r="M89" s="71" t="s">
        <v>823</v>
      </c>
    </row>
    <row r="90" spans="1:13" ht="35.25" customHeight="1" outlineLevel="1" x14ac:dyDescent="0.25">
      <c r="A90" s="144"/>
      <c r="B90" s="145"/>
      <c r="C90" s="145" t="s">
        <v>844</v>
      </c>
      <c r="D90" s="147">
        <f>F90</f>
        <v>383010</v>
      </c>
      <c r="E90" s="145"/>
      <c r="F90" s="66">
        <f>F91</f>
        <v>383010</v>
      </c>
      <c r="G90" s="152"/>
      <c r="H90" s="67"/>
      <c r="I90" s="65"/>
      <c r="J90" s="50"/>
      <c r="K90" s="50"/>
      <c r="L90" s="50"/>
      <c r="M90" s="153"/>
    </row>
    <row r="91" spans="1:13" ht="28.5" customHeight="1" outlineLevel="1" x14ac:dyDescent="0.25">
      <c r="A91" s="184">
        <v>59</v>
      </c>
      <c r="B91" s="75" t="s">
        <v>29</v>
      </c>
      <c r="C91" s="20" t="s">
        <v>844</v>
      </c>
      <c r="D91" s="20"/>
      <c r="E91" s="20" t="s">
        <v>845</v>
      </c>
      <c r="F91" s="141">
        <v>383010</v>
      </c>
      <c r="G91" s="18">
        <v>42948</v>
      </c>
      <c r="H91" s="18"/>
      <c r="I91" s="17"/>
      <c r="J91" s="86"/>
      <c r="K91" s="5"/>
      <c r="L91" s="5"/>
      <c r="M91" s="129" t="s">
        <v>866</v>
      </c>
    </row>
    <row r="92" spans="1:13" ht="24.75" customHeight="1" outlineLevel="1" x14ac:dyDescent="0.25">
      <c r="A92" s="144"/>
      <c r="B92" s="145"/>
      <c r="C92" s="145" t="s">
        <v>867</v>
      </c>
      <c r="D92" s="147">
        <f>F92</f>
        <v>326400</v>
      </c>
      <c r="E92" s="145"/>
      <c r="F92" s="66">
        <f>F93</f>
        <v>326400</v>
      </c>
      <c r="G92" s="152"/>
      <c r="H92" s="67"/>
      <c r="I92" s="65"/>
      <c r="J92" s="50"/>
      <c r="K92" s="50"/>
      <c r="L92" s="50"/>
      <c r="M92" s="153"/>
    </row>
    <row r="93" spans="1:13" ht="28.5" customHeight="1" outlineLevel="1" x14ac:dyDescent="0.25">
      <c r="A93" s="80">
        <v>60</v>
      </c>
      <c r="B93" s="75" t="s">
        <v>29</v>
      </c>
      <c r="C93" s="20" t="s">
        <v>867</v>
      </c>
      <c r="D93" s="20"/>
      <c r="E93" s="20" t="s">
        <v>867</v>
      </c>
      <c r="F93" s="141">
        <v>326400</v>
      </c>
      <c r="G93" s="18">
        <v>42951</v>
      </c>
      <c r="H93" s="18"/>
      <c r="I93" s="17"/>
      <c r="J93" s="86"/>
      <c r="K93" s="5"/>
      <c r="L93" s="5"/>
      <c r="M93" s="129" t="s">
        <v>866</v>
      </c>
    </row>
    <row r="94" spans="1:13" ht="27.75" customHeight="1" outlineLevel="1" x14ac:dyDescent="0.25">
      <c r="A94" s="144"/>
      <c r="B94" s="145"/>
      <c r="C94" s="145" t="s">
        <v>698</v>
      </c>
      <c r="D94" s="147">
        <f>F94</f>
        <v>314500</v>
      </c>
      <c r="E94" s="145"/>
      <c r="F94" s="66">
        <f>F95</f>
        <v>314500</v>
      </c>
      <c r="G94" s="152"/>
      <c r="H94" s="67"/>
      <c r="I94" s="65"/>
      <c r="J94" s="50"/>
      <c r="K94" s="50"/>
      <c r="L94" s="50"/>
      <c r="M94" s="153"/>
    </row>
    <row r="95" spans="1:13" ht="26.25" customHeight="1" outlineLevel="1" x14ac:dyDescent="0.25">
      <c r="A95" s="80">
        <v>61</v>
      </c>
      <c r="B95" s="75" t="s">
        <v>6</v>
      </c>
      <c r="C95" s="20" t="s">
        <v>698</v>
      </c>
      <c r="D95" s="20"/>
      <c r="E95" s="20" t="s">
        <v>859</v>
      </c>
      <c r="F95" s="141">
        <v>314500</v>
      </c>
      <c r="G95" s="18">
        <v>42978</v>
      </c>
      <c r="H95" s="18"/>
      <c r="I95" s="17"/>
      <c r="J95" s="86"/>
      <c r="K95" s="5"/>
      <c r="L95" s="5"/>
      <c r="M95" s="129" t="s">
        <v>866</v>
      </c>
    </row>
    <row r="96" spans="1:13" ht="25.5" x14ac:dyDescent="0.25">
      <c r="A96" s="144"/>
      <c r="B96" s="146"/>
      <c r="C96" s="65" t="s">
        <v>166</v>
      </c>
      <c r="D96" s="147">
        <f>F96</f>
        <v>285000</v>
      </c>
      <c r="E96" s="145"/>
      <c r="F96" s="147">
        <f>F97</f>
        <v>285000</v>
      </c>
      <c r="G96" s="148"/>
      <c r="H96" s="67"/>
      <c r="I96" s="50"/>
      <c r="J96" s="50"/>
      <c r="K96" s="50"/>
      <c r="L96" s="67"/>
      <c r="M96" s="153"/>
    </row>
    <row r="97" spans="1:13" ht="51" outlineLevel="1" x14ac:dyDescent="0.25">
      <c r="A97" s="75">
        <v>62</v>
      </c>
      <c r="B97" s="2" t="s">
        <v>17</v>
      </c>
      <c r="C97" s="3" t="s">
        <v>166</v>
      </c>
      <c r="D97" s="24"/>
      <c r="E97" s="3" t="s">
        <v>167</v>
      </c>
      <c r="F97" s="28">
        <v>285000</v>
      </c>
      <c r="G97" s="8">
        <v>42886</v>
      </c>
      <c r="H97" s="17"/>
      <c r="I97" s="17">
        <v>42978</v>
      </c>
      <c r="J97" s="17"/>
      <c r="K97" s="5"/>
      <c r="L97" s="129">
        <v>43039</v>
      </c>
      <c r="M97" s="71" t="s">
        <v>794</v>
      </c>
    </row>
    <row r="98" spans="1:13" ht="25.5" x14ac:dyDescent="0.25">
      <c r="A98" s="144"/>
      <c r="B98" s="64"/>
      <c r="C98" s="65" t="s">
        <v>162</v>
      </c>
      <c r="D98" s="72">
        <f>F98</f>
        <v>272213</v>
      </c>
      <c r="E98" s="65"/>
      <c r="F98" s="66">
        <f>F99</f>
        <v>272213</v>
      </c>
      <c r="G98" s="67"/>
      <c r="H98" s="67"/>
      <c r="I98" s="67"/>
      <c r="J98" s="67"/>
      <c r="K98" s="50"/>
      <c r="L98" s="50"/>
      <c r="M98" s="65"/>
    </row>
    <row r="99" spans="1:13" ht="38.25" x14ac:dyDescent="0.25">
      <c r="A99" s="88">
        <v>63</v>
      </c>
      <c r="B99" s="87" t="s">
        <v>17</v>
      </c>
      <c r="C99" s="86" t="s">
        <v>162</v>
      </c>
      <c r="D99" s="86"/>
      <c r="E99" s="239" t="s">
        <v>163</v>
      </c>
      <c r="F99" s="86">
        <v>272213</v>
      </c>
      <c r="G99" s="5">
        <v>42947</v>
      </c>
      <c r="H99" s="17"/>
      <c r="I99" s="17"/>
      <c r="J99" s="17"/>
      <c r="K99" s="17">
        <v>43068</v>
      </c>
      <c r="L99" s="5">
        <v>43039</v>
      </c>
      <c r="M99" s="5" t="s">
        <v>882</v>
      </c>
    </row>
    <row r="100" spans="1:13" ht="44.25" customHeight="1" x14ac:dyDescent="0.25">
      <c r="A100" s="144"/>
      <c r="B100" s="146"/>
      <c r="C100" s="145" t="s">
        <v>344</v>
      </c>
      <c r="D100" s="147">
        <f>F100</f>
        <v>259500</v>
      </c>
      <c r="E100" s="145"/>
      <c r="F100" s="147">
        <f>F101+F102</f>
        <v>259500</v>
      </c>
      <c r="G100" s="148"/>
      <c r="H100" s="149"/>
      <c r="I100" s="149"/>
      <c r="J100" s="150"/>
      <c r="K100" s="50"/>
      <c r="L100" s="151"/>
      <c r="M100" s="65"/>
    </row>
    <row r="101" spans="1:13" ht="38.25" outlineLevel="1" x14ac:dyDescent="0.25">
      <c r="A101" s="75">
        <v>64</v>
      </c>
      <c r="B101" s="20" t="s">
        <v>17</v>
      </c>
      <c r="C101" s="20" t="s">
        <v>344</v>
      </c>
      <c r="D101" s="141"/>
      <c r="E101" s="20" t="s">
        <v>345</v>
      </c>
      <c r="F101" s="28">
        <v>157500</v>
      </c>
      <c r="G101" s="18">
        <v>42916</v>
      </c>
      <c r="H101" s="17"/>
      <c r="I101" s="86"/>
      <c r="J101" s="17"/>
      <c r="K101" s="5">
        <v>43068</v>
      </c>
      <c r="L101" s="5">
        <v>43068</v>
      </c>
      <c r="M101" s="133" t="s">
        <v>789</v>
      </c>
    </row>
    <row r="102" spans="1:13" ht="25.5" outlineLevel="1" x14ac:dyDescent="0.25">
      <c r="A102" s="75">
        <v>65</v>
      </c>
      <c r="B102" s="20" t="s">
        <v>6</v>
      </c>
      <c r="C102" s="20" t="s">
        <v>344</v>
      </c>
      <c r="D102" s="20"/>
      <c r="E102" s="141" t="s">
        <v>851</v>
      </c>
      <c r="F102" s="20">
        <v>102000</v>
      </c>
      <c r="G102" s="28" t="s">
        <v>852</v>
      </c>
      <c r="H102" s="18"/>
      <c r="I102" s="17"/>
      <c r="J102" s="86"/>
      <c r="K102" s="17"/>
      <c r="L102" s="5"/>
      <c r="M102" s="129" t="s">
        <v>866</v>
      </c>
    </row>
    <row r="103" spans="1:13" ht="25.5" x14ac:dyDescent="0.25">
      <c r="A103" s="144"/>
      <c r="B103" s="145"/>
      <c r="C103" s="145" t="s">
        <v>510</v>
      </c>
      <c r="D103" s="147">
        <f>F103</f>
        <v>233384</v>
      </c>
      <c r="E103" s="145"/>
      <c r="F103" s="66">
        <f>F104</f>
        <v>233384</v>
      </c>
      <c r="G103" s="152"/>
      <c r="H103" s="67"/>
      <c r="I103" s="65"/>
      <c r="J103" s="50"/>
      <c r="K103" s="50"/>
      <c r="L103" s="50"/>
      <c r="M103" s="153"/>
    </row>
    <row r="104" spans="1:13" ht="38.25" outlineLevel="1" x14ac:dyDescent="0.25">
      <c r="A104" s="75">
        <v>66</v>
      </c>
      <c r="B104" s="53" t="s">
        <v>17</v>
      </c>
      <c r="C104" s="20" t="s">
        <v>510</v>
      </c>
      <c r="D104" s="141"/>
      <c r="E104" s="20" t="s">
        <v>707</v>
      </c>
      <c r="F104" s="55">
        <v>233384</v>
      </c>
      <c r="G104" s="54">
        <v>42978</v>
      </c>
      <c r="H104" s="108"/>
      <c r="I104" s="108"/>
      <c r="J104" s="109"/>
      <c r="K104" s="5"/>
      <c r="L104" s="130">
        <v>43038</v>
      </c>
      <c r="M104" s="71" t="s">
        <v>791</v>
      </c>
    </row>
    <row r="105" spans="1:13" x14ac:dyDescent="0.25">
      <c r="A105" s="144"/>
      <c r="B105" s="65"/>
      <c r="C105" s="65" t="s">
        <v>170</v>
      </c>
      <c r="D105" s="72">
        <f>F105</f>
        <v>207364</v>
      </c>
      <c r="E105" s="65"/>
      <c r="F105" s="66">
        <f>F106</f>
        <v>207364</v>
      </c>
      <c r="G105" s="67"/>
      <c r="H105" s="67"/>
      <c r="I105" s="67"/>
      <c r="J105" s="67"/>
      <c r="K105" s="50"/>
      <c r="L105" s="50"/>
      <c r="M105" s="65"/>
    </row>
    <row r="106" spans="1:13" ht="51" outlineLevel="1" x14ac:dyDescent="0.25">
      <c r="A106" s="75">
        <v>67</v>
      </c>
      <c r="B106" s="3" t="s">
        <v>17</v>
      </c>
      <c r="C106" s="3" t="s">
        <v>170</v>
      </c>
      <c r="D106" s="24"/>
      <c r="E106" s="3" t="s">
        <v>171</v>
      </c>
      <c r="F106" s="28">
        <v>207364</v>
      </c>
      <c r="G106" s="10">
        <v>42886</v>
      </c>
      <c r="H106" s="17"/>
      <c r="I106" s="17">
        <v>42916</v>
      </c>
      <c r="J106" s="17"/>
      <c r="K106" s="5">
        <v>42978</v>
      </c>
      <c r="L106" s="129" t="s">
        <v>783</v>
      </c>
      <c r="M106" s="71" t="s">
        <v>796</v>
      </c>
    </row>
    <row r="107" spans="1:13" ht="25.5" x14ac:dyDescent="0.25">
      <c r="A107" s="144"/>
      <c r="B107" s="146"/>
      <c r="C107" s="65" t="s">
        <v>168</v>
      </c>
      <c r="D107" s="147">
        <f>F107</f>
        <v>206125</v>
      </c>
      <c r="E107" s="145"/>
      <c r="F107" s="147">
        <f>F108</f>
        <v>206125</v>
      </c>
      <c r="G107" s="148"/>
      <c r="H107" s="149"/>
      <c r="I107" s="149"/>
      <c r="J107" s="150"/>
      <c r="K107" s="50"/>
      <c r="L107" s="151"/>
      <c r="M107" s="153"/>
    </row>
    <row r="108" spans="1:13" ht="38.25" outlineLevel="1" x14ac:dyDescent="0.25">
      <c r="A108" s="75">
        <v>68</v>
      </c>
      <c r="B108" s="3" t="s">
        <v>17</v>
      </c>
      <c r="C108" s="3" t="s">
        <v>168</v>
      </c>
      <c r="D108" s="24"/>
      <c r="E108" s="3" t="s">
        <v>169</v>
      </c>
      <c r="F108" s="28">
        <v>206125</v>
      </c>
      <c r="G108" s="10">
        <v>42886</v>
      </c>
      <c r="H108" s="17"/>
      <c r="I108" s="17">
        <v>43040</v>
      </c>
      <c r="J108" s="17"/>
      <c r="K108" s="5">
        <v>43040</v>
      </c>
      <c r="L108" s="129">
        <v>43040</v>
      </c>
      <c r="M108" s="71" t="s">
        <v>813</v>
      </c>
    </row>
    <row r="109" spans="1:13" ht="25.5" outlineLevel="1" x14ac:dyDescent="0.25">
      <c r="A109" s="144"/>
      <c r="B109" s="145"/>
      <c r="C109" s="145" t="s">
        <v>868</v>
      </c>
      <c r="D109" s="147">
        <f>F109</f>
        <v>102510</v>
      </c>
      <c r="E109" s="145"/>
      <c r="F109" s="66">
        <f>F110</f>
        <v>102510</v>
      </c>
      <c r="G109" s="152"/>
      <c r="H109" s="67"/>
      <c r="I109" s="65"/>
      <c r="J109" s="67"/>
      <c r="K109" s="50"/>
      <c r="L109" s="50"/>
      <c r="M109" s="153"/>
    </row>
    <row r="110" spans="1:13" ht="25.5" outlineLevel="1" x14ac:dyDescent="0.25">
      <c r="A110" s="75">
        <v>69</v>
      </c>
      <c r="B110" s="20" t="s">
        <v>29</v>
      </c>
      <c r="C110" s="20" t="s">
        <v>868</v>
      </c>
      <c r="D110" s="20"/>
      <c r="E110" s="141" t="s">
        <v>850</v>
      </c>
      <c r="F110" s="20">
        <v>102510</v>
      </c>
      <c r="G110" s="11">
        <v>42951</v>
      </c>
      <c r="H110" s="18"/>
      <c r="I110" s="17"/>
      <c r="J110" s="86"/>
      <c r="K110" s="17"/>
      <c r="L110" s="5"/>
      <c r="M110" s="129" t="s">
        <v>866</v>
      </c>
    </row>
    <row r="111" spans="1:13" s="89" customFormat="1" ht="25.5" x14ac:dyDescent="0.25">
      <c r="A111" s="63"/>
      <c r="B111" s="61"/>
      <c r="C111" s="65" t="s">
        <v>23</v>
      </c>
      <c r="D111" s="62">
        <f>F112</f>
        <v>80512</v>
      </c>
      <c r="E111" s="61"/>
      <c r="F111" s="62">
        <f>F112</f>
        <v>80512</v>
      </c>
      <c r="G111" s="61"/>
      <c r="H111" s="63"/>
      <c r="I111" s="63"/>
      <c r="J111" s="63"/>
      <c r="K111" s="63"/>
      <c r="L111" s="63"/>
      <c r="M111" s="63"/>
    </row>
    <row r="112" spans="1:13" ht="42.75" customHeight="1" outlineLevel="1" x14ac:dyDescent="0.25">
      <c r="A112" s="75">
        <v>70</v>
      </c>
      <c r="B112" s="2" t="s">
        <v>17</v>
      </c>
      <c r="C112" s="3" t="s">
        <v>23</v>
      </c>
      <c r="D112" s="24"/>
      <c r="E112" s="3" t="s">
        <v>24</v>
      </c>
      <c r="F112" s="28">
        <v>80512</v>
      </c>
      <c r="G112" s="8">
        <v>42853</v>
      </c>
      <c r="H112" s="17">
        <v>42916</v>
      </c>
      <c r="I112" s="17"/>
      <c r="J112" s="17">
        <v>42947</v>
      </c>
      <c r="K112" s="5">
        <v>42983</v>
      </c>
      <c r="L112" s="5">
        <v>42983</v>
      </c>
      <c r="M112" s="71" t="s">
        <v>788</v>
      </c>
    </row>
    <row r="113" spans="1:13" ht="30.75" customHeight="1" outlineLevel="1" x14ac:dyDescent="0.25">
      <c r="A113" s="144"/>
      <c r="B113" s="64"/>
      <c r="C113" s="65" t="s">
        <v>853</v>
      </c>
      <c r="D113" s="72">
        <f>F113</f>
        <v>41000</v>
      </c>
      <c r="E113" s="65"/>
      <c r="F113" s="66">
        <f>F114</f>
        <v>41000</v>
      </c>
      <c r="G113" s="67"/>
      <c r="H113" s="67"/>
      <c r="I113" s="67"/>
      <c r="J113" s="67"/>
      <c r="K113" s="50"/>
      <c r="L113" s="50"/>
      <c r="M113" s="65"/>
    </row>
    <row r="114" spans="1:13" ht="33" customHeight="1" outlineLevel="1" x14ac:dyDescent="0.25">
      <c r="A114" s="75">
        <v>71</v>
      </c>
      <c r="B114" s="2" t="s">
        <v>6</v>
      </c>
      <c r="C114" s="3" t="s">
        <v>853</v>
      </c>
      <c r="D114" s="3"/>
      <c r="E114" s="24" t="s">
        <v>854</v>
      </c>
      <c r="F114" s="3">
        <v>41000</v>
      </c>
      <c r="G114" s="28">
        <v>42855</v>
      </c>
      <c r="H114" s="8"/>
      <c r="I114" s="17"/>
      <c r="J114" s="17"/>
      <c r="K114" s="17"/>
      <c r="L114" s="5"/>
      <c r="M114" s="129" t="s">
        <v>866</v>
      </c>
    </row>
    <row r="116" spans="1:13" x14ac:dyDescent="0.25">
      <c r="D116" s="84" t="s">
        <v>496</v>
      </c>
      <c r="F116" s="80" t="s">
        <v>497</v>
      </c>
    </row>
    <row r="118" spans="1:13" x14ac:dyDescent="0.25">
      <c r="A118" s="76" t="s">
        <v>642</v>
      </c>
      <c r="B118" s="80"/>
      <c r="C118" s="84"/>
      <c r="D118" s="84"/>
      <c r="F118" s="84"/>
      <c r="G118" s="82"/>
      <c r="H118" s="83"/>
      <c r="I118" s="82"/>
      <c r="J118" s="82"/>
      <c r="L118" s="81"/>
    </row>
    <row r="119" spans="1:13" x14ac:dyDescent="0.25">
      <c r="A119" s="85" t="s">
        <v>641</v>
      </c>
      <c r="B119" s="80"/>
      <c r="C119" s="84"/>
      <c r="D119" s="84"/>
      <c r="F119" s="84"/>
      <c r="G119" s="82"/>
      <c r="H119" s="83"/>
      <c r="I119" s="82"/>
      <c r="J119" s="82"/>
      <c r="L119" s="81"/>
    </row>
  </sheetData>
  <autoFilter ref="A7:M114"/>
  <sortState ref="A8:D104">
    <sortCondition descending="1" ref="A9"/>
  </sortState>
  <customSheetViews>
    <customSheetView guid="{DD224C07-7291-463E-8BEE-43F0AEF6DCCF}" scale="90" showPageBreaks="1" showGridLines="0" showAutoFilter="1" state="hidden" view="pageBreakPreview">
      <selection activeCell="K13" sqref="K13"/>
      <pageMargins left="0.31496062992125984" right="0.31496062992125984" top="1.1811023622047245" bottom="0.39370078740157483" header="0.31496062992125984" footer="0.11811023622047245"/>
      <pageSetup paperSize="9" scale="65" firstPageNumber="3" fitToHeight="0" orientation="landscape" useFirstPageNumber="1" r:id="rId1"/>
      <headerFooter>
        <oddFooter>&amp;L&amp;F&amp;C&amp;P no&amp;[ 9</oddFooter>
      </headerFooter>
      <autoFilter ref="A7:L124">
        <sortState ref="A9:I127">
          <sortCondition ref="C4:C131"/>
        </sortState>
      </autoFilter>
    </customSheetView>
    <customSheetView guid="{6E4A4EE3-60E1-42FA-AFB7-0452F0113865}" scale="90" showPageBreaks="1" showGridLines="0" showAutoFilter="1" state="hidden" view="pageBreakPreview">
      <selection activeCell="K13" sqref="K13"/>
      <pageMargins left="0.31496062992125984" right="0.31496062992125984" top="1.1811023622047245" bottom="0.39370078740157483" header="0.31496062992125984" footer="0.11811023622047245"/>
      <pageSetup paperSize="9" scale="65" firstPageNumber="3" fitToHeight="0" orientation="landscape" useFirstPageNumber="1" r:id="rId2"/>
      <headerFooter>
        <oddFooter>&amp;L&amp;F&amp;C&amp;P no&amp;[ 9</oddFooter>
      </headerFooter>
      <autoFilter ref="A7:L124">
        <sortState ref="A9:I127">
          <sortCondition ref="C4:C131"/>
        </sortState>
      </autoFilter>
    </customSheetView>
    <customSheetView guid="{8C54629E-189C-45BD-B471-052E1E1AA970}" scale="90" showPageBreaks="1" showGridLines="0" showAutoFilter="1" state="hidden" view="pageBreakPreview">
      <selection activeCell="K13" sqref="K13"/>
      <pageMargins left="0.31496062992125984" right="0.31496062992125984" top="1.1811023622047245" bottom="0.39370078740157483" header="0.31496062992125984" footer="0.11811023622047245"/>
      <pageSetup paperSize="9" scale="65" firstPageNumber="3" fitToHeight="0" orientation="landscape" useFirstPageNumber="1" r:id="rId3"/>
      <headerFooter>
        <oddFooter>&amp;L&amp;F&amp;C&amp;P no&amp;[ 9</oddFooter>
      </headerFooter>
      <autoFilter ref="A7:L124">
        <sortState ref="A9:I127">
          <sortCondition ref="C4:C131"/>
        </sortState>
      </autoFilter>
    </customSheetView>
    <customSheetView guid="{5C6F0B19-D42B-4153-AFCC-0E3F563BD155}" scale="90" showPageBreaks="1" showGridLines="0" showAutoFilter="1" state="hidden" view="pageBreakPreview">
      <selection activeCell="K13" sqref="K13"/>
      <pageMargins left="0.31496062992125984" right="0.31496062992125984" top="1.1811023622047245" bottom="0.39370078740157483" header="0.31496062992125984" footer="0.11811023622047245"/>
      <pageSetup paperSize="9" scale="65" firstPageNumber="3" fitToHeight="0" orientation="landscape" useFirstPageNumber="1" r:id="rId4"/>
      <headerFooter>
        <oddFooter>&amp;L&amp;F&amp;C&amp;P no&amp;[ 9</oddFooter>
      </headerFooter>
      <autoFilter ref="A7:L124">
        <sortState ref="A9:I127">
          <sortCondition ref="C4:C131"/>
        </sortState>
      </autoFilter>
    </customSheetView>
    <customSheetView guid="{3C198650-E200-49E7-9C73-05D2051167FE}" scale="90" showPageBreaks="1" showGridLines="0" showAutoFilter="1" view="pageBreakPreview">
      <selection activeCell="K13" sqref="K13"/>
      <pageMargins left="0.31496062992125984" right="0.31496062992125984" top="1.1811023622047245" bottom="0.39370078740157483" header="0.31496062992125984" footer="0.11811023622047245"/>
      <pageSetup paperSize="9" scale="65" firstPageNumber="3" fitToHeight="0" orientation="landscape" useFirstPageNumber="1" r:id="rId5"/>
      <headerFooter>
        <oddFooter>&amp;L&amp;F&amp;C&amp;P no&amp;[ 9</oddFooter>
      </headerFooter>
      <autoFilter ref="A7:L124">
        <sortState ref="A9:I127">
          <sortCondition ref="C4:C131"/>
        </sortState>
      </autoFilter>
    </customSheetView>
  </customSheetViews>
  <mergeCells count="19">
    <mergeCell ref="M11:M19"/>
    <mergeCell ref="M83:M84"/>
    <mergeCell ref="A3:M3"/>
    <mergeCell ref="H8:J8"/>
    <mergeCell ref="A8:C8"/>
    <mergeCell ref="K8:L8"/>
    <mergeCell ref="F4:F6"/>
    <mergeCell ref="G4:G6"/>
    <mergeCell ref="A4:A6"/>
    <mergeCell ref="B4:B6"/>
    <mergeCell ref="C4:C6"/>
    <mergeCell ref="E4:E6"/>
    <mergeCell ref="D4:D6"/>
    <mergeCell ref="M4:M6"/>
    <mergeCell ref="L4:L6"/>
    <mergeCell ref="H4:H6"/>
    <mergeCell ref="I4:I6"/>
    <mergeCell ref="J4:J6"/>
    <mergeCell ref="K4:K6"/>
  </mergeCells>
  <dataValidations count="1">
    <dataValidation type="list" errorStyle="warning" allowBlank="1" showInputMessage="1" showErrorMessage="1" errorTitle="Izvēle tikai no saraksta!" error="Lūdzu izvēlēties vienu no vērtībām sarakstā." sqref="L107 L70 I107:J107 I70:J70">
      <formula1>#REF!</formula1>
    </dataValidation>
  </dataValidations>
  <hyperlinks>
    <hyperlink ref="A119" r:id="rId6"/>
  </hyperlinks>
  <pageMargins left="0.31496062992125984" right="0.31496062992125984" top="1.1811023622047245" bottom="0.39370078740157483" header="0.31496062992125984" footer="0.11811023622047245"/>
  <pageSetup paperSize="9" scale="65" firstPageNumber="2" fitToHeight="0" orientation="landscape" useFirstPageNumber="1" r:id="rId7"/>
  <headerFooter>
    <oddFooter>&amp;L&amp;F&amp;C&amp;P no&amp;[ 8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3"/>
  <sheetViews>
    <sheetView workbookViewId="0">
      <selection activeCell="E32" sqref="E32"/>
    </sheetView>
  </sheetViews>
  <sheetFormatPr defaultRowHeight="15.75" x14ac:dyDescent="0.25"/>
  <cols>
    <col min="2" max="4" width="12.375" bestFit="1" customWidth="1"/>
    <col min="6" max="6" width="12.375" bestFit="1" customWidth="1"/>
    <col min="7" max="7" width="17.625" bestFit="1" customWidth="1"/>
    <col min="8" max="8" width="12.75" bestFit="1" customWidth="1"/>
    <col min="9" max="9" width="18.25" customWidth="1"/>
  </cols>
  <sheetData>
    <row r="5" spans="1:9" x14ac:dyDescent="0.25">
      <c r="A5" s="78" t="s">
        <v>633</v>
      </c>
      <c r="B5" s="78" t="s">
        <v>625</v>
      </c>
      <c r="C5" s="78" t="s">
        <v>626</v>
      </c>
      <c r="D5" s="78" t="s">
        <v>627</v>
      </c>
      <c r="E5" s="78"/>
      <c r="F5" s="78" t="s">
        <v>628</v>
      </c>
      <c r="G5" s="78" t="s">
        <v>629</v>
      </c>
      <c r="H5" s="78" t="s">
        <v>630</v>
      </c>
      <c r="I5" s="78" t="s">
        <v>631</v>
      </c>
    </row>
    <row r="6" spans="1:9" x14ac:dyDescent="0.25">
      <c r="A6" s="78" t="s">
        <v>634</v>
      </c>
      <c r="B6" s="78">
        <f>COUNTIF(Projektu_iesniegumi!M:M,"4")</f>
        <v>21</v>
      </c>
      <c r="C6" s="78">
        <f>COUNTIFS(Projektu_iesniegumi!M:M, "4", Projektu_iesniegumi!S:S,"4")</f>
        <v>1</v>
      </c>
      <c r="D6" s="78">
        <f>B6-C6</f>
        <v>20</v>
      </c>
      <c r="E6" s="78"/>
      <c r="F6" s="78">
        <f>COUNTIF(Projektu_iesniegumi!S:S,"4")</f>
        <v>21</v>
      </c>
      <c r="G6" s="78">
        <f>COUNTIFS(Projektu_iesniegumi!S:S, "4",Projektu_iesniegumi!M:M, "nebija plānots")</f>
        <v>20</v>
      </c>
      <c r="H6" s="78">
        <f>COUNTIFS(Projektu_iesniegumi!S:S,"4", Projektu_iesniegumi!M:M,"4")</f>
        <v>1</v>
      </c>
      <c r="I6" s="78"/>
    </row>
    <row r="7" spans="1:9" x14ac:dyDescent="0.25">
      <c r="A7" s="78" t="s">
        <v>634</v>
      </c>
      <c r="B7" s="78">
        <f>SUMIF(Projektu_iesniegumi!M:M,"4",Projektu_iesniegumi!K:K)</f>
        <v>44844194.770717904</v>
      </c>
      <c r="C7" s="78">
        <f>SUMIFS(Projektu_iesniegumi!K:K,Projektu_iesniegumi!M:M, "4 ", Projektu_iesniegumi!S:S,"4 ")</f>
        <v>1592826.0500000003</v>
      </c>
      <c r="D7" s="78">
        <f t="shared" ref="D7:D23" si="0">B7-C7</f>
        <v>43251368.720717907</v>
      </c>
      <c r="E7" s="78"/>
      <c r="F7" s="78">
        <f>SUMIF(Projektu_iesniegumi!S:S,"4",Projektu_iesniegumi!K:K)</f>
        <v>374618988.84000003</v>
      </c>
      <c r="G7" s="78">
        <f>SUMIFS(Projektu_iesniegumi!K:K,Projektu_iesniegumi!M:M,"nebija plānots", Projektu_iesniegumi!S:S, "4")</f>
        <v>373026162.79000002</v>
      </c>
      <c r="H7" s="78">
        <f>SUMIFS(Projektu_iesniegumi!K:K, Projektu_iesniegumi!M:M, "4", Projektu_iesniegumi!S:S, "4")</f>
        <v>1592826.0500000003</v>
      </c>
      <c r="I7" s="78"/>
    </row>
    <row r="8" spans="1:9" x14ac:dyDescent="0.25">
      <c r="A8" s="78" t="s">
        <v>635</v>
      </c>
      <c r="B8" s="78">
        <f>COUNTIF(Projektu_iesniegumi!M:M,"5")</f>
        <v>60</v>
      </c>
      <c r="C8" s="78">
        <f>COUNTIFS(Projektu_iesniegumi!M:M, "5", Projektu_iesniegumi!S:S, "5")</f>
        <v>22</v>
      </c>
      <c r="D8" s="78">
        <f t="shared" si="0"/>
        <v>38</v>
      </c>
      <c r="E8" s="78"/>
      <c r="F8" s="78">
        <f>COUNTIF(Projektu_iesniegumi!S:S,"5")</f>
        <v>32</v>
      </c>
      <c r="G8" s="78">
        <f>COUNTIFS(Projektu_iesniegumi!S:S, "5",Projektu_iesniegumi!M:M, "nebija plānots")</f>
        <v>3</v>
      </c>
      <c r="H8" s="78">
        <f>COUNTIFS(Projektu_iesniegumi!S:S,"5", Projektu_iesniegumi!M:M,"5")</f>
        <v>22</v>
      </c>
      <c r="I8" s="78">
        <f>COUNTIFS(Projektu_iesniegumi!M:M, "&lt;5", Projektu_iesniegumi!S:S, "5")</f>
        <v>7</v>
      </c>
    </row>
    <row r="9" spans="1:9" x14ac:dyDescent="0.25">
      <c r="A9" s="78" t="s">
        <v>635</v>
      </c>
      <c r="B9" s="78">
        <f>SUMIF(Projektu_iesniegumi!M:M,"5",Projektu_iesniegumi!K:K)</f>
        <v>213247042.23956454</v>
      </c>
      <c r="C9" s="78">
        <f>SUMIFS(Projektu_iesniegumi!K:K,Projektu_iesniegumi!M:M, "5 ", Projektu_iesniegumi!S:S,"5")</f>
        <v>116265828.50900002</v>
      </c>
      <c r="D9" s="78">
        <f t="shared" si="0"/>
        <v>96981213.73056452</v>
      </c>
      <c r="E9" s="78"/>
      <c r="F9" s="78">
        <f>SUMIF(Projektu_iesniegumi!S:S,"5",Projektu_iesniegumi!K:K)</f>
        <v>140852047.50971791</v>
      </c>
      <c r="G9" s="78">
        <f>SUMIFS(Projektu_iesniegumi!K:K,Projektu_iesniegumi!M:M,"nebija plānots", Projektu_iesniegumi!S:S, "5")</f>
        <v>20385920.300000001</v>
      </c>
      <c r="H9" s="78">
        <f>SUMIFS(Projektu_iesniegumi!K:K, Projektu_iesniegumi!M:M, "5", Projektu_iesniegumi!S:S, "5")</f>
        <v>116265828.50900002</v>
      </c>
      <c r="I9" s="78">
        <f>SUMIFS(Projektu_iesniegumi!K:K,Projektu_iesniegumi!M:M,"&lt;5",Projektu_iesniegumi!S:S,"5")</f>
        <v>4200298.7007179139</v>
      </c>
    </row>
    <row r="10" spans="1:9" x14ac:dyDescent="0.25">
      <c r="A10" s="78" t="s">
        <v>636</v>
      </c>
      <c r="B10" s="78">
        <f>COUNTIF(Projektu_iesniegumi!M:M,"6")</f>
        <v>96</v>
      </c>
      <c r="C10" s="78">
        <f>COUNTIFS(Projektu_iesniegumi!M:M, "6", Projektu_iesniegumi!S:S, "6")</f>
        <v>24</v>
      </c>
      <c r="D10" s="78">
        <f t="shared" si="0"/>
        <v>72</v>
      </c>
      <c r="E10" s="78"/>
      <c r="F10" s="78">
        <f>COUNTIF(Projektu_iesniegumi!S:S,"6")</f>
        <v>50</v>
      </c>
      <c r="G10" s="78">
        <f>COUNTIFS(Projektu_iesniegumi!S:S, "6",Projektu_iesniegumi!M:M, "nebija plānots")</f>
        <v>7</v>
      </c>
      <c r="H10" s="78">
        <f>COUNTIFS(Projektu_iesniegumi!S:S,"6", Projektu_iesniegumi!M:M,"6")</f>
        <v>24</v>
      </c>
      <c r="I10" s="78">
        <f>COUNTIFS(Projektu_iesniegumi!M:M, "&lt;6", Projektu_iesniegumi!S:S, "6")</f>
        <v>19</v>
      </c>
    </row>
    <row r="11" spans="1:9" x14ac:dyDescent="0.25">
      <c r="A11" s="78" t="s">
        <v>636</v>
      </c>
      <c r="B11" s="78">
        <f>SUMIF(Projektu_iesniegumi!M:M,"6",Projektu_iesniegumi!K:K)</f>
        <v>191949108.35137841</v>
      </c>
      <c r="C11" s="78">
        <f>SUMIFS(Projektu_iesniegumi!K:K,Projektu_iesniegumi!M:M, "6 ", Projektu_iesniegumi!S:S,"6")</f>
        <v>114979816.58000001</v>
      </c>
      <c r="D11" s="78">
        <f t="shared" si="0"/>
        <v>76969291.771378398</v>
      </c>
      <c r="E11" s="78"/>
      <c r="F11" s="78">
        <f>SUMIF(Projektu_iesniegumi!S:S,"6",Projektu_iesniegumi!K:K)</f>
        <v>189071742.89806789</v>
      </c>
      <c r="G11" s="78">
        <f>SUMIFS(Projektu_iesniegumi!K:K,Projektu_iesniegumi!M:M,"nebija plānots", Projektu_iesniegumi!S:S, "6")</f>
        <v>4683428.09</v>
      </c>
      <c r="H11" s="78">
        <f>SUMIFS(Projektu_iesniegumi!K:K, Projektu_iesniegumi!M:M, "6", Projektu_iesniegumi!S:S, "6")</f>
        <v>114979816.58000001</v>
      </c>
      <c r="I11" s="78">
        <f>SUMIFS(Projektu_iesniegumi!K:K,Projektu_iesniegumi!M:M,"&lt;6",Projektu_iesniegumi!S:S,"6")</f>
        <v>69408498.228067875</v>
      </c>
    </row>
    <row r="12" spans="1:9" x14ac:dyDescent="0.25">
      <c r="A12" s="78" t="s">
        <v>624</v>
      </c>
      <c r="B12" s="78">
        <f>COUNTIF(Projektu_iesniegumi!M:M,"7")</f>
        <v>34</v>
      </c>
      <c r="C12" s="78">
        <f>COUNTIFS(Projektu_iesniegumi!M:M, "7", Projektu_iesniegumi!S:S, "7")</f>
        <v>3</v>
      </c>
      <c r="D12" s="78">
        <f t="shared" si="0"/>
        <v>31</v>
      </c>
      <c r="E12" s="78"/>
      <c r="F12" s="78">
        <f>COUNTIF(Projektu_iesniegumi!S:S,"7")</f>
        <v>56</v>
      </c>
      <c r="G12" s="78">
        <f>COUNTIFS(Projektu_iesniegumi!S:S, "7",Projektu_iesniegumi!M:M, "nebija plānots")</f>
        <v>7</v>
      </c>
      <c r="H12" s="78">
        <f>COUNTIFS(Projektu_iesniegumi!S:S,"7", Projektu_iesniegumi!M:M,"7")</f>
        <v>3</v>
      </c>
      <c r="I12" s="78">
        <f>COUNTIFS(Projektu_iesniegumi!M:M, "&lt;7", Projektu_iesniegumi!S:S, "7")</f>
        <v>46</v>
      </c>
    </row>
    <row r="13" spans="1:9" x14ac:dyDescent="0.25">
      <c r="A13" s="78" t="s">
        <v>624</v>
      </c>
      <c r="B13" s="78">
        <f>SUMIF(Projektu_iesniegumi!M:M,"7",Projektu_iesniegumi!K:K)</f>
        <v>152037789.64917809</v>
      </c>
      <c r="C13" s="78">
        <f>SUMIFS(Projektu_iesniegumi!K:K,Projektu_iesniegumi!M:M, "7 ", Projektu_iesniegumi!S:S,"7")</f>
        <v>5491562</v>
      </c>
      <c r="D13" s="78">
        <f t="shared" si="0"/>
        <v>146546227.64917809</v>
      </c>
      <c r="E13" s="78"/>
      <c r="F13" s="78">
        <f>SUMIF(Projektu_iesniegumi!S:S,"7",Projektu_iesniegumi!K:K)</f>
        <v>77525475.495000005</v>
      </c>
      <c r="G13" s="78">
        <f>SUMIFS(Projektu_iesniegumi!K:K,Projektu_iesniegumi!M:M,"nebija plānots", Projektu_iesniegumi!S:S, "7")</f>
        <v>5867290.4500000002</v>
      </c>
      <c r="H13" s="78">
        <f>SUMIFS(Projektu_iesniegumi!K:K, Projektu_iesniegumi!M:M, "7", Projektu_iesniegumi!S:S, "7")</f>
        <v>5491562</v>
      </c>
      <c r="I13" s="78">
        <f>SUMIFS(Projektu_iesniegumi!K:K,Projektu_iesniegumi!M:M,"&lt;7",Projektu_iesniegumi!S:S,"7")</f>
        <v>66166623.045000002</v>
      </c>
    </row>
    <row r="14" spans="1:9" x14ac:dyDescent="0.25">
      <c r="A14" s="78" t="s">
        <v>632</v>
      </c>
      <c r="B14" s="78">
        <f>COUNTIF(Projektu_iesniegumi!M:M,"8")</f>
        <v>54</v>
      </c>
      <c r="C14" s="78">
        <f>COUNTIFS(Projektu_iesniegumi!M:M, "8", Projektu_iesniegumi!S:S, "8")</f>
        <v>20</v>
      </c>
      <c r="D14" s="78">
        <f t="shared" si="0"/>
        <v>34</v>
      </c>
      <c r="E14" s="79"/>
      <c r="F14" s="78">
        <f>COUNTIF(Projektu_iesniegumi!S:S,"8")</f>
        <v>64</v>
      </c>
      <c r="G14" s="78">
        <f>COUNTIFS(Projektu_iesniegumi!S:S, "8",Projektu_iesniegumi!M:M, "nebija plānots")</f>
        <v>7</v>
      </c>
      <c r="H14" s="78">
        <f>COUNTIFS(Projektu_iesniegumi!S:S,"8", Projektu_iesniegumi!M:M,"8")</f>
        <v>20</v>
      </c>
      <c r="I14" s="78">
        <f>COUNTIFS(Projektu_iesniegumi!M:M, "&lt;8", Projektu_iesniegumi!S:S, "8")</f>
        <v>37</v>
      </c>
    </row>
    <row r="15" spans="1:9" x14ac:dyDescent="0.25">
      <c r="A15" s="78" t="s">
        <v>632</v>
      </c>
      <c r="B15" s="78">
        <f>SUMIF(Projektu_iesniegumi!M:M,"8",Projektu_iesniegumi!K:K)</f>
        <v>76469770.886960372</v>
      </c>
      <c r="C15" s="78">
        <f>SUMIFS(Projektu_iesniegumi!K:K,Projektu_iesniegumi!M:M, "8 ", Projektu_iesniegumi!S:S,"8")</f>
        <v>24547714.07</v>
      </c>
      <c r="D15" s="78">
        <f t="shared" si="0"/>
        <v>51922056.816960372</v>
      </c>
      <c r="E15" s="73"/>
      <c r="F15" s="78">
        <f>SUMIF(Projektu_iesniegumi!S:S,"8",Projektu_iesniegumi!K:K)</f>
        <v>86307425.707415819</v>
      </c>
      <c r="G15" s="78">
        <f>SUMIFS(Projektu_iesniegumi!K:K,Projektu_iesniegumi!M:M,"nebija plānots", Projektu_iesniegumi!S:S, "8")</f>
        <v>9743020.2699999996</v>
      </c>
      <c r="H15" s="78">
        <f>SUMIFS(Projektu_iesniegumi!K:K, Projektu_iesniegumi!M:M, "8", Projektu_iesniegumi!S:S, "8")</f>
        <v>24547714.07</v>
      </c>
      <c r="I15" s="78">
        <f>SUMIFS(Projektu_iesniegumi!K:K,Projektu_iesniegumi!M:M,"&lt;8",Projektu_iesniegumi!S:S,"8")</f>
        <v>52016691.367415816</v>
      </c>
    </row>
    <row r="16" spans="1:9" x14ac:dyDescent="0.25">
      <c r="A16" s="78" t="s">
        <v>637</v>
      </c>
      <c r="B16" s="78">
        <f>COUNTIF(Projektu_iesniegumi!M:M,"9")</f>
        <v>13</v>
      </c>
      <c r="C16" s="78">
        <f>COUNTIFS(Projektu_iesniegumi!M30:M328, "9", Projektu_iesniegumi!S30:S328, "9")</f>
        <v>11</v>
      </c>
      <c r="D16" s="78">
        <f t="shared" si="0"/>
        <v>2</v>
      </c>
      <c r="E16" s="73"/>
      <c r="F16" s="78">
        <f>COUNTIF(Projektu_iesniegumi!S:S,"9")</f>
        <v>40</v>
      </c>
      <c r="G16" s="78">
        <f>COUNTIFS(Projektu_iesniegumi!S:S, "9",Projektu_iesniegumi!M:M, "nebija plānots")</f>
        <v>8</v>
      </c>
      <c r="H16" s="78">
        <f>COUNTIFS(Projektu_iesniegumi!S:S,"9", Projektu_iesniegumi!M:M,"9")</f>
        <v>11</v>
      </c>
      <c r="I16" s="78">
        <f>COUNTIFS(Projektu_iesniegumi!M:M, "&lt;9", Projektu_iesniegumi!S:S, "9")</f>
        <v>21</v>
      </c>
    </row>
    <row r="17" spans="1:9" x14ac:dyDescent="0.25">
      <c r="A17" s="78" t="s">
        <v>637</v>
      </c>
      <c r="B17" s="78">
        <f>SUMIF(Projektu_iesniegumi!M:M,"9",Projektu_iesniegumi!K:K)</f>
        <v>18262628</v>
      </c>
      <c r="C17" s="78">
        <f>SUMIFS(Projektu_iesniegumi!K:K,Projektu_iesniegumi!M:M, "9", Projektu_iesniegumi!S:S,"9")</f>
        <v>17665885</v>
      </c>
      <c r="D17" s="78">
        <f t="shared" si="0"/>
        <v>596743</v>
      </c>
      <c r="E17" s="73"/>
      <c r="F17" s="78">
        <f>SUMIF(Projektu_iesniegumi!S:S,"9",Projektu_iesniegumi!K:K)</f>
        <v>55348775.745095216</v>
      </c>
      <c r="G17" s="78">
        <f>SUMIFS(Projektu_iesniegumi!K:K,Projektu_iesniegumi!M:M,"nebija plānots", Projektu_iesniegumi!S:S, "9")</f>
        <v>13812037.890000001</v>
      </c>
      <c r="H17" s="78">
        <f>SUMIFS(Projektu_iesniegumi!K:K, Projektu_iesniegumi!M:M, "9", Projektu_iesniegumi!S:S, "9")</f>
        <v>17665885</v>
      </c>
      <c r="I17" s="78">
        <f>SUMIFS(Projektu_iesniegumi!K:K,Projektu_iesniegumi!M:M,"&lt;9",Projektu_iesniegumi!S:S,"9")</f>
        <v>23870852.855095223</v>
      </c>
    </row>
    <row r="18" spans="1:9" x14ac:dyDescent="0.25">
      <c r="A18" s="78" t="s">
        <v>638</v>
      </c>
      <c r="B18" s="78">
        <f>COUNTIF(Projektu_iesniegumi!M:M,"10")</f>
        <v>0</v>
      </c>
      <c r="C18" s="78">
        <f>COUNTIFS(Projektu_iesniegumi!M32:M330, "10", Projektu_iesniegumi!S32:S330, "10")</f>
        <v>0</v>
      </c>
      <c r="D18" s="78">
        <f t="shared" si="0"/>
        <v>0</v>
      </c>
      <c r="E18" s="73"/>
      <c r="F18" s="78">
        <f>COUNTIF(Projektu_iesniegumi!S:S,"10")</f>
        <v>0</v>
      </c>
      <c r="G18" s="78">
        <f>COUNTIFS(Projektu_iesniegumi!S:S, "10",Projektu_iesniegumi!M:M, "nebija plānots")</f>
        <v>0</v>
      </c>
      <c r="H18" s="78">
        <f>COUNTIFS(Projektu_iesniegumi!S:S,"10", Projektu_iesniegumi!M:M,"10")</f>
        <v>0</v>
      </c>
      <c r="I18" s="78">
        <f>COUNTIFS(Projektu_iesniegumi!M:M, "&lt;10", Projektu_iesniegumi!S:S, "10")</f>
        <v>0</v>
      </c>
    </row>
    <row r="19" spans="1:9" x14ac:dyDescent="0.25">
      <c r="A19" s="78" t="s">
        <v>638</v>
      </c>
      <c r="B19" s="78">
        <f>SUMIF(Projektu_iesniegumi!M:M,"10",Projektu_iesniegumi!K:K)</f>
        <v>0</v>
      </c>
      <c r="C19" s="78">
        <f>SUMIFS(Projektu_iesniegumi!K:K,Projektu_iesniegumi!M:M, "10", Projektu_iesniegumi!S:S,"10")</f>
        <v>0</v>
      </c>
      <c r="D19" s="78">
        <f t="shared" si="0"/>
        <v>0</v>
      </c>
      <c r="E19" s="73"/>
      <c r="F19" s="78">
        <f>SUMIF(Projektu_iesniegumi!S:S,"10",Projektu_iesniegumi!K:K)</f>
        <v>0</v>
      </c>
      <c r="G19" s="78">
        <f>SUMIFS(Projektu_iesniegumi!K:K,Projektu_iesniegumi!M:M,"nebija plānots", Projektu_iesniegumi!S:S, "10")</f>
        <v>0</v>
      </c>
      <c r="H19" s="78">
        <f>SUMIFS(Projektu_iesniegumi!K:K, Projektu_iesniegumi!M:M, "10", Projektu_iesniegumi!S:S, "10")</f>
        <v>0</v>
      </c>
      <c r="I19" s="78">
        <f>SUMIFS(Projektu_iesniegumi!K:K,Projektu_iesniegumi!M:M,"&lt;10",Projektu_iesniegumi!S:S,"10")</f>
        <v>0</v>
      </c>
    </row>
    <row r="20" spans="1:9" x14ac:dyDescent="0.25">
      <c r="A20" s="78" t="s">
        <v>639</v>
      </c>
      <c r="B20" s="78">
        <f>COUNTIF(Projektu_iesniegumi!M:M,"11")</f>
        <v>0</v>
      </c>
      <c r="C20" s="78">
        <f>COUNTIFS(Projektu_iesniegumi!M34:M332, "11", Projektu_iesniegumi!S34:S332, "11")</f>
        <v>0</v>
      </c>
      <c r="D20" s="78">
        <f t="shared" si="0"/>
        <v>0</v>
      </c>
      <c r="E20" s="73"/>
      <c r="F20" s="78">
        <f>COUNTIF(Projektu_iesniegumi!S:S,"11")</f>
        <v>0</v>
      </c>
      <c r="G20" s="78">
        <f>COUNTIFS(Projektu_iesniegumi!S:S, "11",Projektu_iesniegumi!M:M, "nebija plānots")</f>
        <v>0</v>
      </c>
      <c r="H20" s="78">
        <f>COUNTIFS(Projektu_iesniegumi!S:S,"11", Projektu_iesniegumi!M:M,"11")</f>
        <v>0</v>
      </c>
      <c r="I20" s="78">
        <f>COUNTIFS(Projektu_iesniegumi!M:M, "&lt;11", Projektu_iesniegumi!S:S, "11")</f>
        <v>0</v>
      </c>
    </row>
    <row r="21" spans="1:9" x14ac:dyDescent="0.25">
      <c r="A21" s="78" t="s">
        <v>639</v>
      </c>
      <c r="B21" s="78">
        <f>SUMIF(Projektu_iesniegumi!M:M,"11",Projektu_iesniegumi!K:K)</f>
        <v>0</v>
      </c>
      <c r="C21" s="78">
        <f>SUMIFS(Projektu_iesniegumi!K:K,Projektu_iesniegumi!M:M, "11", Projektu_iesniegumi!S:S,"11,")</f>
        <v>0</v>
      </c>
      <c r="D21" s="78">
        <f t="shared" si="0"/>
        <v>0</v>
      </c>
      <c r="E21" s="73"/>
      <c r="F21" s="78">
        <f>SUMIF(Projektu_iesniegumi!S:S,"12",Projektu_iesniegumi!K:K)</f>
        <v>0</v>
      </c>
      <c r="G21" s="78">
        <f>SUMIFS(Projektu_iesniegumi!K:K,Projektu_iesniegumi!M:M,"nebija plānots", Projektu_iesniegumi!S:S, "11")</f>
        <v>0</v>
      </c>
      <c r="H21" s="78">
        <f>SUMIFS(Projektu_iesniegumi!K:K, Projektu_iesniegumi!M:M, "11", Projektu_iesniegumi!S:S, "11")</f>
        <v>0</v>
      </c>
      <c r="I21" s="78">
        <f>SUMIFS(Projektu_iesniegumi!K:K,Projektu_iesniegumi!M:M,"&lt;11",Projektu_iesniegumi!S:S,"11")</f>
        <v>0</v>
      </c>
    </row>
    <row r="22" spans="1:9" x14ac:dyDescent="0.25">
      <c r="A22" s="78" t="s">
        <v>640</v>
      </c>
      <c r="B22" s="78">
        <f>COUNTIF(Projektu_iesniegumi!M:M,"12")</f>
        <v>0</v>
      </c>
      <c r="C22" s="78">
        <f>COUNTIFS(Projektu_iesniegumi!M36:M335, "12", Projektu_iesniegumi!S36:S335, "12")</f>
        <v>0</v>
      </c>
      <c r="D22" s="78">
        <f t="shared" si="0"/>
        <v>0</v>
      </c>
      <c r="E22" s="73"/>
      <c r="F22" s="78">
        <f>COUNTIF(Projektu_iesniegumi!S:S,"12")</f>
        <v>0</v>
      </c>
      <c r="G22" s="78">
        <f>COUNTIFS(Projektu_iesniegumi!S:S, "12",Projektu_iesniegumi!M:M, "nebija plānots")</f>
        <v>0</v>
      </c>
      <c r="H22" s="78">
        <f>COUNTIFS(Projektu_iesniegumi!S:S,"12", Projektu_iesniegumi!M:M,"12")</f>
        <v>0</v>
      </c>
      <c r="I22" s="78">
        <f>COUNTIFS(Projektu_iesniegumi!M:M, "&lt;12", Projektu_iesniegumi!S:S, "12")</f>
        <v>0</v>
      </c>
    </row>
    <row r="23" spans="1:9" x14ac:dyDescent="0.25">
      <c r="A23" s="78" t="s">
        <v>640</v>
      </c>
      <c r="B23" s="78">
        <f>SUMIF(Projektu_iesniegumi!M:M,"125",Projektu_iesniegumi!K:K)</f>
        <v>0</v>
      </c>
      <c r="C23" s="78">
        <f>SUMIFS(Projektu_iesniegumi!K:K,Projektu_iesniegumi!M:M, "12", Projektu_iesniegumi!S:S,"12")</f>
        <v>0</v>
      </c>
      <c r="D23" s="78">
        <f t="shared" si="0"/>
        <v>0</v>
      </c>
      <c r="E23" s="73"/>
      <c r="F23" s="78">
        <f>SUMIF(Projektu_iesniegumi!S:S,"12",Projektu_iesniegumi!K:K)</f>
        <v>0</v>
      </c>
      <c r="G23" s="78">
        <f>SUMIFS(Projektu_iesniegumi!K:K,Projektu_iesniegumi!M:M,"nebija plānots", Projektu_iesniegumi!S:S, "12")</f>
        <v>0</v>
      </c>
      <c r="H23" s="78">
        <f>SUMIFS(Projektu_iesniegumi!K:K, Projektu_iesniegumi!M:M, "12", Projektu_iesniegumi!S:S, "12")</f>
        <v>0</v>
      </c>
      <c r="I23" s="78">
        <f>SUMIFS(Projektu_iesniegumi!K:K,Projektu_iesniegumi!M:M,"&lt;12",Projektu_iesniegumi!S:S,"12")</f>
        <v>0</v>
      </c>
    </row>
  </sheetData>
  <customSheetViews>
    <customSheetView guid="{DD224C07-7291-463E-8BEE-43F0AEF6DCCF}" state="hidden">
      <selection activeCell="B18" sqref="B18"/>
      <pageMargins left="0.70866141732283472" right="0.70866141732283472" top="0.74803149606299213" bottom="0.74803149606299213" header="0.31496062992125984" footer="0.31496062992125984"/>
      <pageSetup paperSize="9" orientation="landscape" verticalDpi="0" r:id="rId1"/>
    </customSheetView>
    <customSheetView guid="{6E4A4EE3-60E1-42FA-AFB7-0452F0113865}" state="hidden">
      <selection activeCell="B18" sqref="B18"/>
      <pageMargins left="0.70866141732283472" right="0.70866141732283472" top="0.74803149606299213" bottom="0.74803149606299213" header="0.31496062992125984" footer="0.31496062992125984"/>
      <pageSetup paperSize="9" orientation="landscape" verticalDpi="0" r:id="rId2"/>
    </customSheetView>
    <customSheetView guid="{8C54629E-189C-45BD-B471-052E1E1AA970}" state="hidden">
      <selection activeCell="B18" sqref="B18"/>
      <pageMargins left="0.70866141732283472" right="0.70866141732283472" top="0.74803149606299213" bottom="0.74803149606299213" header="0.31496062992125984" footer="0.31496062992125984"/>
      <pageSetup paperSize="9" orientation="landscape" verticalDpi="0" r:id="rId3"/>
    </customSheetView>
    <customSheetView guid="{5C6F0B19-D42B-4153-AFCC-0E3F563BD155}" state="hidden">
      <selection activeCell="B18" sqref="B18"/>
      <pageMargins left="0.70866141732283472" right="0.70866141732283472" top="0.74803149606299213" bottom="0.74803149606299213" header="0.31496062992125984" footer="0.31496062992125984"/>
      <pageSetup paperSize="9" orientation="landscape" verticalDpi="0" r:id="rId4"/>
    </customSheetView>
    <customSheetView guid="{3C198650-E200-49E7-9C73-05D2051167FE}">
      <selection activeCell="E32" sqref="E32"/>
      <pageMargins left="0.70866141732283472" right="0.70866141732283472" top="0.74803149606299213" bottom="0.74803149606299213" header="0.31496062992125984" footer="0.31496062992125984"/>
      <pageSetup paperSize="9" orientation="landscape" verticalDpi="0" r:id="rId5"/>
    </customSheetView>
  </customSheetViews>
  <pageMargins left="0.70866141732283472" right="0.70866141732283472" top="0.74803149606299213" bottom="0.74803149606299213" header="0.31496062992125984" footer="0.31496062992125984"/>
  <pageSetup paperSize="9" orientation="landscape"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2" sqref="C12"/>
    </sheetView>
  </sheetViews>
  <sheetFormatPr defaultRowHeight="15.75" x14ac:dyDescent="0.25"/>
  <cols>
    <col min="2" max="2" width="17.625" bestFit="1" customWidth="1"/>
    <col min="3" max="3" width="12.75" bestFit="1" customWidth="1"/>
    <col min="4" max="4" width="16.625" bestFit="1" customWidth="1"/>
    <col min="5" max="5" width="9.875" bestFit="1" customWidth="1"/>
  </cols>
  <sheetData>
    <row r="1" spans="1:5" x14ac:dyDescent="0.25">
      <c r="A1" s="73"/>
      <c r="B1" s="73"/>
      <c r="C1" s="73"/>
      <c r="D1" s="73"/>
      <c r="E1" s="73"/>
    </row>
    <row r="2" spans="1:5" x14ac:dyDescent="0.25">
      <c r="A2" s="73"/>
      <c r="B2" s="78" t="s">
        <v>629</v>
      </c>
      <c r="C2" s="78" t="s">
        <v>630</v>
      </c>
      <c r="D2" s="78" t="s">
        <v>631</v>
      </c>
      <c r="E2" s="78" t="s">
        <v>627</v>
      </c>
    </row>
    <row r="3" spans="1:5" x14ac:dyDescent="0.25">
      <c r="A3" s="73" t="s">
        <v>634</v>
      </c>
      <c r="B3" s="73">
        <f>Sheet1!G6</f>
        <v>20</v>
      </c>
      <c r="C3" s="73">
        <f>Sheet1!H6</f>
        <v>1</v>
      </c>
      <c r="D3" s="73"/>
      <c r="E3" s="73">
        <f>Sheet1!D6</f>
        <v>20</v>
      </c>
    </row>
    <row r="4" spans="1:5" x14ac:dyDescent="0.25">
      <c r="A4" s="73" t="s">
        <v>634</v>
      </c>
      <c r="B4" s="73">
        <f>Sheet1!G7</f>
        <v>373026162.79000002</v>
      </c>
      <c r="C4" s="73">
        <f>Sheet1!H7</f>
        <v>1592826.0500000003</v>
      </c>
      <c r="D4" s="73"/>
      <c r="E4" s="73">
        <f>Sheet1!D7</f>
        <v>43251368.720717907</v>
      </c>
    </row>
    <row r="5" spans="1:5" x14ac:dyDescent="0.25">
      <c r="A5" s="73" t="s">
        <v>635</v>
      </c>
      <c r="B5" s="73">
        <f>Sheet1!G6+Sheet1!G8</f>
        <v>23</v>
      </c>
      <c r="C5" s="73">
        <f>C3+Sheet1!H8</f>
        <v>23</v>
      </c>
      <c r="D5" s="73">
        <f>Sheet1!I8</f>
        <v>7</v>
      </c>
      <c r="E5" s="73">
        <f>E3+Sheet1!D8</f>
        <v>58</v>
      </c>
    </row>
    <row r="6" spans="1:5" x14ac:dyDescent="0.25">
      <c r="A6" s="73" t="s">
        <v>635</v>
      </c>
      <c r="B6" s="73">
        <f>Sheet1!G7+Sheet1!G9</f>
        <v>393412083.09000003</v>
      </c>
      <c r="C6" s="73">
        <f>C4+Sheet1!H9</f>
        <v>117858654.55900002</v>
      </c>
      <c r="D6" s="73">
        <f>Sheet1!I9</f>
        <v>4200298.7007179139</v>
      </c>
      <c r="E6" s="73">
        <f>E4+Sheet1!D9</f>
        <v>140232582.45128244</v>
      </c>
    </row>
    <row r="7" spans="1:5" x14ac:dyDescent="0.25">
      <c r="A7" s="73" t="s">
        <v>636</v>
      </c>
      <c r="B7" s="73">
        <f>B5+Sheet1!G10</f>
        <v>30</v>
      </c>
      <c r="C7" s="73">
        <f>C5+Sheet1!H10</f>
        <v>47</v>
      </c>
      <c r="D7" s="73">
        <f>D5+Sheet1!I10</f>
        <v>26</v>
      </c>
      <c r="E7" s="73">
        <f>E5+Sheet1!D10</f>
        <v>130</v>
      </c>
    </row>
    <row r="8" spans="1:5" x14ac:dyDescent="0.25">
      <c r="A8" s="73" t="s">
        <v>636</v>
      </c>
      <c r="B8" s="73">
        <f>B6+Sheet1!G11</f>
        <v>398095511.18000001</v>
      </c>
      <c r="C8" s="73">
        <f>C6+Sheet1!H11</f>
        <v>232838471.13900003</v>
      </c>
      <c r="D8" s="73">
        <f>D6+Sheet1!I11</f>
        <v>73608796.928785786</v>
      </c>
      <c r="E8" s="73">
        <f>E6+Sheet1!D11</f>
        <v>217201874.22266084</v>
      </c>
    </row>
    <row r="9" spans="1:5" x14ac:dyDescent="0.25">
      <c r="A9" s="73" t="s">
        <v>624</v>
      </c>
      <c r="B9" s="73">
        <f>B7+Sheet1!G12</f>
        <v>37</v>
      </c>
      <c r="C9" s="73">
        <f>C7+Sheet1!H12</f>
        <v>50</v>
      </c>
      <c r="D9" s="73">
        <f>D7+Sheet1!I12</f>
        <v>72</v>
      </c>
      <c r="E9" s="73">
        <f>E7+Sheet1!D12</f>
        <v>161</v>
      </c>
    </row>
    <row r="10" spans="1:5" x14ac:dyDescent="0.25">
      <c r="A10" s="73" t="s">
        <v>624</v>
      </c>
      <c r="B10" s="73">
        <f>B8+Sheet1!G13</f>
        <v>403962801.63</v>
      </c>
      <c r="C10" s="73">
        <f>C8+Sheet1!H13</f>
        <v>238330033.13900003</v>
      </c>
      <c r="D10" s="73">
        <f>D8+Sheet1!I13</f>
        <v>139775419.97378579</v>
      </c>
      <c r="E10" s="73">
        <f>E8+Sheet1!D13</f>
        <v>363748101.87183893</v>
      </c>
    </row>
    <row r="11" spans="1:5" x14ac:dyDescent="0.25">
      <c r="A11" s="73" t="s">
        <v>632</v>
      </c>
      <c r="B11" s="73">
        <f>B9+Sheet1!G14</f>
        <v>44</v>
      </c>
      <c r="C11" s="73">
        <f>C9+Sheet1!H14</f>
        <v>70</v>
      </c>
      <c r="D11" s="73">
        <f>D9+Sheet1!D14</f>
        <v>106</v>
      </c>
      <c r="E11" s="73">
        <f>E9+Sheet1!D14</f>
        <v>195</v>
      </c>
    </row>
    <row r="12" spans="1:5" x14ac:dyDescent="0.25">
      <c r="A12" s="73" t="s">
        <v>632</v>
      </c>
      <c r="B12" s="73">
        <f>B10+Sheet1!G15</f>
        <v>413705821.89999998</v>
      </c>
      <c r="C12" s="73">
        <f>C10+Sheet1!H15</f>
        <v>262877747.20900002</v>
      </c>
      <c r="D12" s="73">
        <f>D10+Sheet1!D15</f>
        <v>191697476.79074615</v>
      </c>
      <c r="E12" s="73">
        <f>E10+Sheet1!D15</f>
        <v>415670158.68879932</v>
      </c>
    </row>
    <row r="13" spans="1:5" x14ac:dyDescent="0.25">
      <c r="A13" s="78" t="s">
        <v>637</v>
      </c>
      <c r="B13" s="73"/>
      <c r="C13" s="73"/>
      <c r="D13" s="73"/>
      <c r="E13" s="73"/>
    </row>
    <row r="14" spans="1:5" x14ac:dyDescent="0.25">
      <c r="A14" s="78" t="s">
        <v>637</v>
      </c>
      <c r="B14" s="73"/>
      <c r="C14" s="73"/>
      <c r="D14" s="73"/>
      <c r="E14" s="73"/>
    </row>
    <row r="15" spans="1:5" x14ac:dyDescent="0.25">
      <c r="A15" s="78" t="s">
        <v>638</v>
      </c>
      <c r="B15" s="73"/>
      <c r="C15" s="73"/>
      <c r="D15" s="73"/>
      <c r="E15" s="73"/>
    </row>
    <row r="16" spans="1:5" x14ac:dyDescent="0.25">
      <c r="A16" s="78" t="s">
        <v>638</v>
      </c>
      <c r="B16" s="73"/>
      <c r="C16" s="73"/>
      <c r="D16" s="73"/>
      <c r="E16" s="73"/>
    </row>
    <row r="17" spans="1:5" x14ac:dyDescent="0.25">
      <c r="A17" s="78" t="s">
        <v>639</v>
      </c>
      <c r="B17" s="73"/>
      <c r="C17" s="73"/>
      <c r="D17" s="73"/>
      <c r="E17" s="73"/>
    </row>
    <row r="18" spans="1:5" x14ac:dyDescent="0.25">
      <c r="A18" s="78" t="s">
        <v>639</v>
      </c>
      <c r="B18" s="73"/>
      <c r="C18" s="73"/>
      <c r="D18" s="73"/>
      <c r="E18" s="73"/>
    </row>
    <row r="19" spans="1:5" x14ac:dyDescent="0.25">
      <c r="A19" s="78" t="s">
        <v>640</v>
      </c>
      <c r="B19" s="73"/>
      <c r="C19" s="73"/>
      <c r="D19" s="73"/>
      <c r="E19" s="73"/>
    </row>
    <row r="20" spans="1:5" x14ac:dyDescent="0.25">
      <c r="A20" s="78" t="s">
        <v>640</v>
      </c>
      <c r="B20" s="73"/>
      <c r="C20" s="73"/>
      <c r="D20" s="73"/>
      <c r="E20" s="73"/>
    </row>
  </sheetData>
  <customSheetViews>
    <customSheetView guid="{DD224C07-7291-463E-8BEE-43F0AEF6DCCF}" state="hidden">
      <selection activeCell="B12" sqref="B12"/>
      <pageMargins left="0.7" right="0.7" top="0.75" bottom="0.75" header="0.3" footer="0.3"/>
      <pageSetup paperSize="9" orientation="portrait" verticalDpi="0" r:id="rId1"/>
    </customSheetView>
    <customSheetView guid="{6E4A4EE3-60E1-42FA-AFB7-0452F0113865}" state="hidden">
      <selection activeCell="B12" sqref="B12"/>
      <pageMargins left="0.7" right="0.7" top="0.75" bottom="0.75" header="0.3" footer="0.3"/>
      <pageSetup paperSize="9" orientation="portrait" verticalDpi="0" r:id="rId2"/>
    </customSheetView>
    <customSheetView guid="{8C54629E-189C-45BD-B471-052E1E1AA970}" state="hidden">
      <selection activeCell="B12" sqref="B12"/>
      <pageMargins left="0.7" right="0.7" top="0.75" bottom="0.75" header="0.3" footer="0.3"/>
      <pageSetup paperSize="9" orientation="portrait" verticalDpi="0" r:id="rId3"/>
    </customSheetView>
    <customSheetView guid="{5C6F0B19-D42B-4153-AFCC-0E3F563BD155}" state="hidden">
      <selection activeCell="B12" sqref="B12"/>
      <pageMargins left="0.7" right="0.7" top="0.75" bottom="0.75" header="0.3" footer="0.3"/>
      <pageSetup paperSize="9" orientation="portrait" verticalDpi="0" r:id="rId4"/>
    </customSheetView>
    <customSheetView guid="{3C198650-E200-49E7-9C73-05D2051167FE}">
      <selection activeCell="C12" sqref="C12"/>
      <pageMargins left="0.7" right="0.7" top="0.75" bottom="0.75" header="0.3" footer="0.3"/>
      <pageSetup paperSize="9" orientation="portrait" verticalDpi="0" r:id="rId5"/>
    </customSheetView>
  </customSheetView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Projektu_iesniegumi</vt:lpstr>
      <vt:lpstr>PI_neizpildes_FS_kopsummas</vt:lpstr>
      <vt:lpstr>PI_neizpildes_FS_projekti </vt:lpstr>
      <vt:lpstr>Sheet1</vt:lpstr>
      <vt:lpstr>kumulatīvi</vt:lpstr>
      <vt:lpstr>PI_neizpildes_FS_kopsummas!Print_Area</vt:lpstr>
      <vt:lpstr>Projektu_iesniegumi!Print_Area</vt:lpstr>
      <vt:lpstr>PI_neizpildes_FS_kopsummas!Print_Titles</vt:lpstr>
      <vt:lpstr>Projektu_iesniegumi!Print_Titles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Līdz 22.09.2017. plānoto ierobežotas projektu iesniegumu atlašu (IPIA) projektu iesniedzēju prognozētajā termiņā neiesniegtie projekti</dc:title>
  <dc:subject>Pielikums</dc:subject>
  <dc:creator>Ints Pelnis</dc:creator>
  <dc:description>ints.pelnis@fm.gov.lv_x000d_
67095470</dc:description>
  <cp:lastModifiedBy>Diāna Rancāne</cp:lastModifiedBy>
  <cp:lastPrinted>2017-09-26T07:34:19Z</cp:lastPrinted>
  <dcterms:created xsi:type="dcterms:W3CDTF">2017-05-15T06:05:30Z</dcterms:created>
  <dcterms:modified xsi:type="dcterms:W3CDTF">2017-09-26T14:18:39Z</dcterms:modified>
</cp:coreProperties>
</file>